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trlProps/ctrlProp2.xml" ContentType="application/vnd.ms-excel.controlpropertie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trlProps/ctrlProp3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summers\Desktop\Indoor Cannabis Analysis\"/>
    </mc:Choice>
  </mc:AlternateContent>
  <bookViews>
    <workbookView xWindow="0" yWindow="0" windowWidth="11190" windowHeight="4740" tabRatio="837"/>
  </bookViews>
  <sheets>
    <sheet name="Indoor Inputs" sheetId="6" r:id="rId1"/>
    <sheet name="Greenhouse Inputs" sheetId="14" r:id="rId2"/>
    <sheet name="Outdoor Inputs" sheetId="15" r:id="rId3"/>
    <sheet name="Process Model" sheetId="8" state="hidden" r:id="rId4"/>
    <sheet name="LCI Support" sheetId="23" r:id="rId5"/>
    <sheet name="LCI" sheetId="10" r:id="rId6"/>
    <sheet name="LCA" sheetId="7" r:id="rId7"/>
    <sheet name="States" sheetId="24" state="hidden" r:id="rId8"/>
    <sheet name="eGrid" sheetId="25" r:id="rId9"/>
    <sheet name="Sensitivity Analysis" sheetId="22" r:id="rId10"/>
    <sheet name="Figures" sheetId="16" r:id="rId11"/>
    <sheet name="Tables" sheetId="26" r:id="rId12"/>
    <sheet name="CO Tax" sheetId="1" state="hidden" r:id="rId13"/>
    <sheet name="Outdoor Backup Calcs" sheetId="21" r:id="rId14"/>
    <sheet name="Indoor Backup Calcs" sheetId="13" r:id="rId15"/>
    <sheet name="Indoor Raw Data" sheetId="2" r:id="rId16"/>
    <sheet name="CO Growers" sheetId="4" state="hidden" r:id="rId17"/>
    <sheet name="Validation" sheetId="19" r:id="rId18"/>
    <sheet name="Transportation" sheetId="17" r:id="rId19"/>
    <sheet name="Fuel Economy" sheetId="20" state="hidden" r:id="rId20"/>
    <sheet name="Conversions" sheetId="5" r:id="rId21"/>
    <sheet name="Properties" sheetId="12" r:id="rId22"/>
    <sheet name="Sources" sheetId="3" r:id="rId23"/>
    <sheet name="TEST" sheetId="18" r:id="rId24"/>
  </sheets>
  <externalReferences>
    <externalReference r:id="rId25"/>
    <externalReference r:id="rId26"/>
    <externalReference r:id="rId27"/>
  </externalReferences>
  <definedNames>
    <definedName name="_xlnm._FilterDatabase" localSheetId="10" hidden="1">Figures!$X$57:$Y$57</definedName>
    <definedName name="_xlnm._FilterDatabase" localSheetId="0" hidden="1">'Indoor Inputs'!$C$5:$S$91</definedName>
    <definedName name="_xlnm._FilterDatabase" localSheetId="9" hidden="1">'Sensitivity Analysis'!$C$161:$I$161</definedName>
    <definedName name="acre_feet_to_gallon">Conversions!$G$41</definedName>
    <definedName name="acre_ft_to_m3">[1]Conversions!$F$6</definedName>
    <definedName name="acre_to_ha">Conversions!$G$39</definedName>
    <definedName name="acre_to_m2">Conversions!$G$25</definedName>
    <definedName name="BTU_per_hour_to_W">Conversions!$G$30</definedName>
    <definedName name="BTU_to_J">Conversions!$G$24</definedName>
    <definedName name="conv_teaspoon_to_liter">Conversions!$G$43</definedName>
    <definedName name="day_to_hour">Conversions!$G$32</definedName>
    <definedName name="feet_to_meters">Conversions!$G$31</definedName>
    <definedName name="foot_to_in">Conversions!$G$40</definedName>
    <definedName name="ft3_to_in3">Conversions!$G$36</definedName>
    <definedName name="ft3_to_m3">Conversions!$G$12</definedName>
    <definedName name="gal_to_m3">Conversions!$G$10</definedName>
    <definedName name="gallon_to_pint">Conversions!$G$33</definedName>
    <definedName name="gals_to_liters">Conversions!$G$9</definedName>
    <definedName name="hectare_to_m2">Conversions!$G$45</definedName>
    <definedName name="HP_to_kW">Conversions!$G$23</definedName>
    <definedName name="hr_to_min">Conversions!$G$20</definedName>
    <definedName name="i_count_clone">TEST!$C$63</definedName>
    <definedName name="i_count_flower">TEST!$C$65</definedName>
    <definedName name="i_count_veg">TEST!$C$64</definedName>
    <definedName name="indoor_annual_bud_yield">'Indoor Inputs'!$K$117</definedName>
    <definedName name="input_guar_irrigation_flood">'[1]Detailed Inputs'!$K$112</definedName>
    <definedName name="kg_to_lb">Conversions!$G$8</definedName>
    <definedName name="kgs_to_grams">Conversions!$G$7</definedName>
    <definedName name="kJ_to_J">Conversions!$G$19</definedName>
    <definedName name="km2_to_acre">Conversions!$G$27</definedName>
    <definedName name="kW_to_W">Conversions!$G$17</definedName>
    <definedName name="kWh_to_MJ">Conversions!$G$14</definedName>
    <definedName name="lbs_to_grams">Conversions!$G$6</definedName>
    <definedName name="lbs_to_oz">Conversions!$G$28</definedName>
    <definedName name="length_break">TEST!$C$67</definedName>
    <definedName name="length_clone">TEST!$C$63</definedName>
    <definedName name="length_cure">TEST!$C$66</definedName>
    <definedName name="length_flower">TEST!$C$65</definedName>
    <definedName name="length_veg">TEST!$C$64</definedName>
    <definedName name="liters_to_cups">Conversions!$G$38</definedName>
    <definedName name="m2_to_ft2">Conversions!$G$26</definedName>
    <definedName name="m3_to_cm3">Conversions!$G$13</definedName>
    <definedName name="m3_to_liters">Conversions!$G$11</definedName>
    <definedName name="m3_to_pints">Conversions!$G$34</definedName>
    <definedName name="mi_to_km">Conversions!$G$44</definedName>
    <definedName name="min_to_sec">Conversions!$G$21</definedName>
    <definedName name="MJ_to_kJ">Conversions!$G$15</definedName>
    <definedName name="MJ_to_kWh">Conversions!$G$16</definedName>
    <definedName name="MW_to_W">Conversions!$G$18</definedName>
    <definedName name="outdoor_annual_yield">'Outdoor Inputs'!$J$63</definedName>
    <definedName name="output_LCA_acid">LCA!$C$42</definedName>
    <definedName name="output_LCA_carcin">LCA!$G$42</definedName>
    <definedName name="output_LCA_ecotox">LCA!$D$42</definedName>
    <definedName name="output_LCA_eutro">LCA!$E$42</definedName>
    <definedName name="output_LCA_GWP">LCA!$F$42</definedName>
    <definedName name="output_LCA_non_carcin">LCA!$H$42</definedName>
    <definedName name="output_LCA_ozone_dep">LCA!$I$42</definedName>
    <definedName name="output_LCA_ozone_form">LCA!$J$42</definedName>
    <definedName name="output_LCA_resource_dep">LCA!$K$42</definedName>
    <definedName name="output_LCA_resp">LCA!$L$42</definedName>
    <definedName name="oz_to_grams">Conversions!$G$37</definedName>
    <definedName name="oz_to_m3">Conversions!$G$42</definedName>
    <definedName name="prop_air_density">Properties!$I$6</definedName>
    <definedName name="prop_CO2_liquid_density">Properties!$I$8</definedName>
    <definedName name="prop_co2_specific_volume">Properties!$I$10</definedName>
    <definedName name="prop_coco_density">Properties!$I$20</definedName>
    <definedName name="prop_fert_gen_density">Properties!$I$16</definedName>
    <definedName name="prop_natural_gas_HHV">Properties!$I$2</definedName>
    <definedName name="prop_neem_density">Properties!$I$21</definedName>
    <definedName name="prop_NG_density">Properties!$I$3</definedName>
    <definedName name="prop_ng_heat_per_volume">Properties!$I$4</definedName>
    <definedName name="prop_peat_density">Properties!$I$15</definedName>
    <definedName name="prop_perlite_density">Properties!$I$19</definedName>
    <definedName name="prop_soap_density">Properties!$I$22</definedName>
    <definedName name="prop_water_density">Properties!$I$5</definedName>
    <definedName name="sensitivity_baseline_acid">'Sensitivity Analysis'!$C$11</definedName>
    <definedName name="sensitivity_baseline_carcin">'Sensitivity Analysis'!$G$11</definedName>
    <definedName name="sensitivity_baseline_ecotox">'Sensitivity Analysis'!$D$11</definedName>
    <definedName name="sensitivity_baseline_eutro">'Sensitivity Analysis'!$E$11</definedName>
    <definedName name="sensitivity_baseline_GWP">'Sensitivity Analysis'!$F$11</definedName>
    <definedName name="sensitivity_baseline_non_carcin">'Sensitivity Analysis'!$H$11</definedName>
    <definedName name="sensitivity_baseline_ozone_dep">'Sensitivity Analysis'!$I$11</definedName>
    <definedName name="sensitivity_baseline_ozone_form">'Sensitivity Analysis'!$J$11</definedName>
    <definedName name="sensitivity_baseline_resource_dep">'Sensitivity Analysis'!$K$11</definedName>
    <definedName name="sensitivity_baseline_resp">'Sensitivity Analysis'!$L$11</definedName>
    <definedName name="sensitivity_percent">'Sensitivity Analysis'!$C$7</definedName>
    <definedName name="tonnes_to_kgs">Conversions!$G$4</definedName>
    <definedName name="tonnes_to_tons">Conversions!$G$5</definedName>
    <definedName name="tons_to_kgs">Conversions!$G$3</definedName>
    <definedName name="tons_to_lbs">Conversions!$G$2</definedName>
    <definedName name="week_to_days">Conversions!$G$22</definedName>
    <definedName name="year_to_day">Conversions!$G$29</definedName>
  </definedNames>
  <calcPr calcId="162913"/>
</workbook>
</file>

<file path=xl/calcChain.xml><?xml version="1.0" encoding="utf-8"?>
<calcChain xmlns="http://schemas.openxmlformats.org/spreadsheetml/2006/main">
  <c r="B40" i="26" l="1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E283" i="16"/>
  <c r="F283" i="16"/>
  <c r="G283" i="16"/>
  <c r="H283" i="16"/>
  <c r="I283" i="16"/>
  <c r="J283" i="16"/>
  <c r="K283" i="16"/>
  <c r="D283" i="16"/>
  <c r="L297" i="16"/>
  <c r="C151" i="2" l="1"/>
  <c r="AL217" i="16" l="1"/>
  <c r="AK217" i="16"/>
  <c r="E272" i="16" l="1"/>
  <c r="F272" i="16"/>
  <c r="G272" i="16"/>
  <c r="H272" i="16"/>
  <c r="I272" i="16"/>
  <c r="J272" i="16"/>
  <c r="K272" i="16"/>
  <c r="D272" i="16"/>
  <c r="K268" i="16"/>
  <c r="E268" i="16"/>
  <c r="F268" i="16"/>
  <c r="G268" i="16"/>
  <c r="H268" i="16"/>
  <c r="I268" i="16"/>
  <c r="J268" i="16"/>
  <c r="D268" i="16"/>
  <c r="E265" i="16"/>
  <c r="F265" i="16"/>
  <c r="G265" i="16"/>
  <c r="H265" i="16"/>
  <c r="D265" i="16"/>
  <c r="B400" i="19"/>
  <c r="B399" i="19"/>
  <c r="H45" i="5"/>
  <c r="G45" i="5"/>
  <c r="B398" i="19"/>
  <c r="M319" i="19"/>
  <c r="M320" i="19"/>
  <c r="M318" i="19"/>
  <c r="L51" i="16" l="1"/>
  <c r="C25" i="26" l="1"/>
  <c r="B25" i="26"/>
  <c r="C24" i="26"/>
  <c r="B24" i="26"/>
  <c r="C105" i="26"/>
  <c r="D105" i="26"/>
  <c r="C106" i="26"/>
  <c r="D106" i="26"/>
  <c r="D107" i="26"/>
  <c r="C108" i="26"/>
  <c r="D108" i="26"/>
  <c r="C109" i="26"/>
  <c r="D109" i="26"/>
  <c r="C110" i="26"/>
  <c r="D110" i="26"/>
  <c r="C111" i="26"/>
  <c r="D111" i="26"/>
  <c r="C112" i="26"/>
  <c r="D112" i="26"/>
  <c r="C113" i="26"/>
  <c r="D113" i="26"/>
  <c r="C114" i="26"/>
  <c r="D114" i="26"/>
  <c r="D115" i="26"/>
  <c r="C116" i="26"/>
  <c r="D116" i="26"/>
  <c r="C117" i="26"/>
  <c r="D117" i="26"/>
  <c r="D118" i="26"/>
  <c r="C119" i="26"/>
  <c r="D119" i="26"/>
  <c r="C120" i="26"/>
  <c r="D120" i="26"/>
  <c r="C121" i="26"/>
  <c r="D121" i="26"/>
  <c r="C122" i="26"/>
  <c r="D122" i="26"/>
  <c r="C123" i="26"/>
  <c r="D123" i="26"/>
  <c r="C124" i="26"/>
  <c r="D124" i="26"/>
  <c r="C125" i="26"/>
  <c r="D125" i="26"/>
  <c r="C126" i="26"/>
  <c r="D126" i="26"/>
  <c r="C127" i="26"/>
  <c r="D127" i="26"/>
  <c r="C128" i="26"/>
  <c r="D128" i="26"/>
  <c r="C129" i="26"/>
  <c r="D129" i="26"/>
  <c r="C130" i="26"/>
  <c r="D130" i="26"/>
  <c r="C131" i="26"/>
  <c r="D131" i="26"/>
  <c r="C104" i="26"/>
  <c r="D104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M56" i="16"/>
  <c r="L55" i="16" s="1"/>
  <c r="E187" i="26" s="1"/>
  <c r="Y55" i="16"/>
  <c r="L57" i="16" s="1"/>
  <c r="E185" i="26"/>
  <c r="C207" i="26"/>
  <c r="D206" i="26"/>
  <c r="C206" i="26"/>
  <c r="D205" i="26"/>
  <c r="C205" i="26"/>
  <c r="D204" i="26"/>
  <c r="C204" i="26"/>
  <c r="D203" i="26"/>
  <c r="C203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C194" i="26"/>
  <c r="D193" i="26"/>
  <c r="C193" i="26"/>
  <c r="D192" i="26"/>
  <c r="C192" i="26"/>
  <c r="D191" i="26"/>
  <c r="C191" i="26"/>
  <c r="D190" i="26"/>
  <c r="C190" i="26"/>
  <c r="D189" i="26"/>
  <c r="C189" i="26"/>
  <c r="C188" i="26"/>
  <c r="C187" i="26"/>
  <c r="C186" i="26"/>
  <c r="C185" i="26"/>
  <c r="D184" i="26"/>
  <c r="C184" i="26"/>
  <c r="I297" i="2"/>
  <c r="I298" i="2"/>
  <c r="I299" i="2"/>
  <c r="I300" i="2"/>
  <c r="I301" i="2"/>
  <c r="I302" i="2"/>
  <c r="I303" i="2"/>
  <c r="I304" i="2"/>
  <c r="I305" i="2"/>
  <c r="I306" i="2"/>
  <c r="I307" i="2"/>
  <c r="I308" i="2"/>
  <c r="I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296" i="2"/>
  <c r="G299" i="2"/>
  <c r="G300" i="2"/>
  <c r="G301" i="2"/>
  <c r="G302" i="2"/>
  <c r="G303" i="2"/>
  <c r="G304" i="2"/>
  <c r="G305" i="2"/>
  <c r="G306" i="2"/>
  <c r="G307" i="2"/>
  <c r="G308" i="2"/>
  <c r="G297" i="2"/>
  <c r="G298" i="2"/>
  <c r="Y54" i="16" l="1"/>
  <c r="M58" i="16"/>
  <c r="E188" i="26"/>
  <c r="G296" i="2"/>
  <c r="B130" i="26" l="1"/>
  <c r="B131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04" i="26"/>
  <c r="B85" i="26"/>
  <c r="B84" i="26"/>
  <c r="B83" i="26"/>
  <c r="B82" i="26"/>
  <c r="B81" i="26"/>
  <c r="B80" i="26"/>
  <c r="D86" i="26"/>
  <c r="B89" i="26"/>
  <c r="B87" i="26"/>
  <c r="B86" i="26"/>
  <c r="B29" i="26"/>
  <c r="B28" i="26"/>
  <c r="B26" i="26"/>
  <c r="B22" i="26"/>
  <c r="B21" i="26"/>
  <c r="D79" i="26"/>
  <c r="C79" i="26"/>
  <c r="D23" i="26" l="1"/>
  <c r="D20" i="26"/>
  <c r="B79" i="26"/>
  <c r="D15" i="26"/>
  <c r="D16" i="26"/>
  <c r="D17" i="26"/>
  <c r="D18" i="26"/>
  <c r="D14" i="26"/>
  <c r="C18" i="26"/>
  <c r="B17" i="26"/>
  <c r="B16" i="26"/>
  <c r="B15" i="26"/>
  <c r="B14" i="26"/>
  <c r="C13" i="26"/>
  <c r="B13" i="26"/>
  <c r="C12" i="26"/>
  <c r="B12" i="26"/>
  <c r="B11" i="26"/>
  <c r="B78" i="26"/>
  <c r="B77" i="26"/>
  <c r="B76" i="26"/>
  <c r="C10" i="26"/>
  <c r="C9" i="26"/>
  <c r="B8" i="26"/>
  <c r="B7" i="26"/>
  <c r="B6" i="26"/>
  <c r="C4" i="26"/>
  <c r="B5" i="26"/>
  <c r="B4" i="26"/>
  <c r="G6" i="6"/>
  <c r="L49" i="16" l="1"/>
  <c r="K237" i="16"/>
  <c r="L237" i="16"/>
  <c r="M237" i="16"/>
  <c r="N237" i="16"/>
  <c r="O237" i="16"/>
  <c r="P237" i="16"/>
  <c r="Q237" i="16"/>
  <c r="K238" i="16"/>
  <c r="L238" i="16"/>
  <c r="M238" i="16"/>
  <c r="N238" i="16"/>
  <c r="O238" i="16"/>
  <c r="P238" i="16"/>
  <c r="Q238" i="16"/>
  <c r="K239" i="16"/>
  <c r="L239" i="16"/>
  <c r="M239" i="16"/>
  <c r="N239" i="16"/>
  <c r="O239" i="16"/>
  <c r="P239" i="16"/>
  <c r="Q239" i="16"/>
  <c r="K240" i="16"/>
  <c r="L240" i="16"/>
  <c r="M240" i="16"/>
  <c r="N240" i="16"/>
  <c r="O240" i="16"/>
  <c r="P240" i="16"/>
  <c r="Q240" i="16"/>
  <c r="K241" i="16"/>
  <c r="L241" i="16"/>
  <c r="M241" i="16"/>
  <c r="N241" i="16"/>
  <c r="O241" i="16"/>
  <c r="P241" i="16"/>
  <c r="Q241" i="16"/>
  <c r="K243" i="16"/>
  <c r="L243" i="16"/>
  <c r="M243" i="16"/>
  <c r="N243" i="16"/>
  <c r="O243" i="16"/>
  <c r="P243" i="16"/>
  <c r="Q243" i="16"/>
  <c r="K244" i="16"/>
  <c r="L244" i="16"/>
  <c r="M244" i="16"/>
  <c r="N244" i="16"/>
  <c r="O244" i="16"/>
  <c r="P244" i="16"/>
  <c r="Q244" i="16"/>
  <c r="K245" i="16"/>
  <c r="L245" i="16"/>
  <c r="M245" i="16"/>
  <c r="N245" i="16"/>
  <c r="O245" i="16"/>
  <c r="P245" i="16"/>
  <c r="Q245" i="16"/>
  <c r="J245" i="16"/>
  <c r="J244" i="16"/>
  <c r="J243" i="16"/>
  <c r="J238" i="16"/>
  <c r="J237" i="16"/>
  <c r="O246" i="16" l="1"/>
  <c r="Q246" i="16"/>
  <c r="P246" i="16"/>
  <c r="M246" i="16"/>
  <c r="N246" i="16"/>
  <c r="K246" i="16"/>
  <c r="L246" i="16"/>
  <c r="K221" i="16"/>
  <c r="L221" i="16"/>
  <c r="M221" i="16"/>
  <c r="N221" i="16"/>
  <c r="O221" i="16"/>
  <c r="P221" i="16"/>
  <c r="Q221" i="16"/>
  <c r="K222" i="16"/>
  <c r="L222" i="16"/>
  <c r="M222" i="16"/>
  <c r="N222" i="16"/>
  <c r="O222" i="16"/>
  <c r="P222" i="16"/>
  <c r="Q222" i="16"/>
  <c r="K223" i="16"/>
  <c r="L223" i="16"/>
  <c r="M223" i="16"/>
  <c r="N223" i="16"/>
  <c r="O223" i="16"/>
  <c r="P223" i="16"/>
  <c r="Q223" i="16"/>
  <c r="K224" i="16"/>
  <c r="L224" i="16"/>
  <c r="M224" i="16"/>
  <c r="N224" i="16"/>
  <c r="O224" i="16"/>
  <c r="P224" i="16"/>
  <c r="P234" i="16" s="1"/>
  <c r="Q224" i="16"/>
  <c r="K225" i="16"/>
  <c r="L225" i="16"/>
  <c r="M225" i="16"/>
  <c r="N225" i="16"/>
  <c r="O225" i="16"/>
  <c r="P225" i="16"/>
  <c r="Q225" i="16"/>
  <c r="K227" i="16"/>
  <c r="L227" i="16"/>
  <c r="M227" i="16"/>
  <c r="N227" i="16"/>
  <c r="O227" i="16"/>
  <c r="P227" i="16"/>
  <c r="Q227" i="16"/>
  <c r="K228" i="16"/>
  <c r="L228" i="16"/>
  <c r="M228" i="16"/>
  <c r="N228" i="16"/>
  <c r="O228" i="16"/>
  <c r="P228" i="16"/>
  <c r="Q228" i="16"/>
  <c r="K230" i="16"/>
  <c r="L230" i="16"/>
  <c r="M230" i="16"/>
  <c r="N230" i="16"/>
  <c r="O230" i="16"/>
  <c r="P230" i="16"/>
  <c r="Q230" i="16"/>
  <c r="J227" i="16"/>
  <c r="K231" i="16"/>
  <c r="J230" i="16"/>
  <c r="J228" i="16"/>
  <c r="J224" i="16"/>
  <c r="K215" i="16"/>
  <c r="L215" i="16"/>
  <c r="L231" i="16" s="1"/>
  <c r="M215" i="16"/>
  <c r="M231" i="16" s="1"/>
  <c r="N215" i="16"/>
  <c r="AK218" i="16" s="1"/>
  <c r="O215" i="16"/>
  <c r="O231" i="16" s="1"/>
  <c r="Q215" i="16"/>
  <c r="Q231" i="16" s="1"/>
  <c r="P215" i="16"/>
  <c r="P231" i="16" s="1"/>
  <c r="J215" i="16"/>
  <c r="AL218" i="16" s="1"/>
  <c r="O248" i="16" l="1"/>
  <c r="K248" i="16"/>
  <c r="L234" i="16"/>
  <c r="K234" i="16"/>
  <c r="Q234" i="16"/>
  <c r="N231" i="16"/>
  <c r="Q248" i="16"/>
  <c r="M248" i="16"/>
  <c r="N248" i="16"/>
  <c r="O234" i="16"/>
  <c r="N234" i="16"/>
  <c r="M234" i="16"/>
  <c r="J231" i="16"/>
  <c r="P248" i="16"/>
  <c r="L248" i="16"/>
  <c r="AB170" i="18"/>
  <c r="AG170" i="18"/>
  <c r="AK170" i="18"/>
  <c r="D170" i="18"/>
  <c r="E170" i="18"/>
  <c r="AC170" i="18" s="1"/>
  <c r="F170" i="18"/>
  <c r="AD170" i="18" s="1"/>
  <c r="H170" i="18"/>
  <c r="AF170" i="18" s="1"/>
  <c r="I170" i="18"/>
  <c r="J170" i="18"/>
  <c r="AH170" i="18" s="1"/>
  <c r="K170" i="18"/>
  <c r="AI170" i="18" s="1"/>
  <c r="L170" i="18"/>
  <c r="AJ170" i="18" s="1"/>
  <c r="M170" i="18"/>
  <c r="L128" i="6"/>
  <c r="L127" i="6"/>
  <c r="B170" i="18"/>
  <c r="A432" i="2" l="1"/>
  <c r="K122" i="6" l="1"/>
  <c r="B425" i="2" s="1"/>
  <c r="B441" i="2" s="1"/>
  <c r="C41" i="17"/>
  <c r="K125" i="6"/>
  <c r="D41" i="17" s="1"/>
  <c r="L124" i="6"/>
  <c r="L123" i="6"/>
  <c r="D161" i="18"/>
  <c r="E161" i="18"/>
  <c r="F161" i="18"/>
  <c r="H161" i="18"/>
  <c r="I161" i="18"/>
  <c r="J161" i="18"/>
  <c r="K161" i="18"/>
  <c r="L161" i="18"/>
  <c r="M161" i="18"/>
  <c r="D169" i="18"/>
  <c r="AB169" i="18" s="1"/>
  <c r="E169" i="18"/>
  <c r="AC169" i="18" s="1"/>
  <c r="F169" i="18"/>
  <c r="AD169" i="18" s="1"/>
  <c r="H169" i="18"/>
  <c r="AF169" i="18" s="1"/>
  <c r="I169" i="18"/>
  <c r="AG169" i="18" s="1"/>
  <c r="J169" i="18"/>
  <c r="AH169" i="18" s="1"/>
  <c r="K169" i="18"/>
  <c r="AI169" i="18" s="1"/>
  <c r="L169" i="18"/>
  <c r="AJ169" i="18" s="1"/>
  <c r="M169" i="18"/>
  <c r="AK169" i="18" s="1"/>
  <c r="C164" i="18"/>
  <c r="C165" i="18"/>
  <c r="C166" i="18"/>
  <c r="B169" i="18"/>
  <c r="B168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C17" i="17"/>
  <c r="C16" i="17"/>
  <c r="C15" i="17"/>
  <c r="K121" i="6"/>
  <c r="D17" i="17" s="1"/>
  <c r="K120" i="6"/>
  <c r="D16" i="17" s="1"/>
  <c r="K119" i="6"/>
  <c r="D15" i="17" s="1"/>
  <c r="G44" i="10" l="1"/>
  <c r="G43" i="10"/>
  <c r="E405" i="2"/>
  <c r="E403" i="2"/>
  <c r="B404" i="2"/>
  <c r="B388" i="2" l="1"/>
  <c r="B389" i="2" s="1"/>
  <c r="C386" i="2" s="1"/>
  <c r="D36" i="17"/>
  <c r="D37" i="17"/>
  <c r="D38" i="17"/>
  <c r="D35" i="17"/>
  <c r="B36" i="17"/>
  <c r="B46" i="17" s="1"/>
  <c r="B37" i="17"/>
  <c r="B47" i="17" s="1"/>
  <c r="B38" i="17"/>
  <c r="B48" i="17" s="1"/>
  <c r="B35" i="17"/>
  <c r="B45" i="17" s="1"/>
  <c r="G3" i="10"/>
  <c r="A384" i="19" l="1"/>
  <c r="A381" i="19"/>
  <c r="F387" i="19"/>
  <c r="F386" i="19"/>
  <c r="B377" i="19"/>
  <c r="C377" i="19" s="1"/>
  <c r="B376" i="19" l="1"/>
  <c r="G371" i="19"/>
  <c r="G370" i="19"/>
  <c r="L53" i="16"/>
  <c r="E186" i="26" s="1"/>
  <c r="H44" i="5"/>
  <c r="G44" i="5"/>
  <c r="B11" i="17" l="1"/>
  <c r="B29" i="17" s="1"/>
  <c r="B10" i="17"/>
  <c r="B28" i="17" s="1"/>
  <c r="B5" i="17"/>
  <c r="B23" i="17" s="1"/>
  <c r="B6" i="17"/>
  <c r="B24" i="17" s="1"/>
  <c r="B7" i="17"/>
  <c r="B25" i="17" s="1"/>
  <c r="B8" i="17"/>
  <c r="B26" i="17" s="1"/>
  <c r="B9" i="17"/>
  <c r="B27" i="17" s="1"/>
  <c r="B4" i="17"/>
  <c r="B22" i="17" s="1"/>
  <c r="B3" i="17"/>
  <c r="B21" i="17" s="1"/>
  <c r="F55" i="16" l="1"/>
  <c r="A379" i="2"/>
  <c r="N141" i="16" l="1"/>
  <c r="M96" i="16" l="1"/>
  <c r="Y75" i="16" s="1"/>
  <c r="M94" i="16"/>
  <c r="Y74" i="16" s="1"/>
  <c r="M92" i="16"/>
  <c r="Y71" i="16" s="1"/>
  <c r="M90" i="16"/>
  <c r="Y73" i="16" s="1"/>
  <c r="M86" i="16"/>
  <c r="L310" i="22" l="1"/>
  <c r="M311" i="22"/>
  <c r="N303" i="22" l="1"/>
  <c r="M309" i="22" l="1"/>
  <c r="L309" i="22"/>
  <c r="L303" i="22"/>
  <c r="H315" i="22"/>
  <c r="I315" i="22"/>
  <c r="G315" i="22"/>
  <c r="L304" i="22"/>
  <c r="M303" i="22"/>
  <c r="F315" i="22"/>
  <c r="E315" i="22"/>
  <c r="Y97" i="16" l="1"/>
  <c r="M84" i="16"/>
  <c r="Y96" i="16"/>
  <c r="M64" i="16"/>
  <c r="Y95" i="16"/>
  <c r="M88" i="16"/>
  <c r="Y93" i="16"/>
  <c r="Y92" i="16"/>
  <c r="M76" i="16"/>
  <c r="Y91" i="16"/>
  <c r="M74" i="16"/>
  <c r="M70" i="16"/>
  <c r="M78" i="16"/>
  <c r="M80" i="16"/>
  <c r="M82" i="16"/>
  <c r="Y90" i="16"/>
  <c r="M72" i="16"/>
  <c r="Y88" i="16"/>
  <c r="M68" i="16"/>
  <c r="Y89" i="16"/>
  <c r="M66" i="16"/>
  <c r="Y87" i="16"/>
  <c r="Y86" i="16"/>
  <c r="M62" i="16"/>
  <c r="Y85" i="16"/>
  <c r="M60" i="16"/>
  <c r="Y83" i="16"/>
  <c r="L220" i="16" l="1"/>
  <c r="M220" i="16"/>
  <c r="N220" i="16"/>
  <c r="O220" i="16"/>
  <c r="Q220" i="16"/>
  <c r="P220" i="16"/>
  <c r="K220" i="16"/>
  <c r="J220" i="16"/>
  <c r="F184" i="16" l="1"/>
  <c r="R45" i="16" s="1"/>
  <c r="F183" i="16"/>
  <c r="F180" i="16"/>
  <c r="M45" i="16" s="1"/>
  <c r="F185" i="16"/>
  <c r="F100" i="16"/>
  <c r="G93" i="16" s="1"/>
  <c r="X51" i="16"/>
  <c r="X63" i="16"/>
  <c r="X69" i="16"/>
  <c r="X65" i="16"/>
  <c r="X72" i="16"/>
  <c r="X70" i="16"/>
  <c r="X62" i="16"/>
  <c r="X68" i="16"/>
  <c r="X67" i="16"/>
  <c r="X64" i="16"/>
  <c r="X59" i="16"/>
  <c r="X61" i="16"/>
  <c r="X60" i="16"/>
  <c r="X66" i="16"/>
  <c r="X58" i="16"/>
  <c r="X57" i="16"/>
  <c r="X55" i="16"/>
  <c r="X54" i="16"/>
  <c r="X53" i="16"/>
  <c r="X52" i="16"/>
  <c r="V347" i="16"/>
  <c r="W347" i="16"/>
  <c r="X347" i="16"/>
  <c r="Y347" i="16"/>
  <c r="Z347" i="16"/>
  <c r="AA347" i="16"/>
  <c r="V348" i="16"/>
  <c r="W348" i="16"/>
  <c r="X348" i="16"/>
  <c r="Y348" i="16"/>
  <c r="Z348" i="16"/>
  <c r="AA348" i="16"/>
  <c r="V349" i="16"/>
  <c r="W349" i="16"/>
  <c r="X349" i="16"/>
  <c r="Y349" i="16"/>
  <c r="Z349" i="16"/>
  <c r="AA349" i="16"/>
  <c r="V350" i="16"/>
  <c r="W350" i="16"/>
  <c r="X350" i="16"/>
  <c r="Y350" i="16"/>
  <c r="Z350" i="16"/>
  <c r="AA350" i="16"/>
  <c r="V351" i="16"/>
  <c r="W351" i="16"/>
  <c r="X351" i="16"/>
  <c r="Y351" i="16"/>
  <c r="Z351" i="16"/>
  <c r="AA351" i="16"/>
  <c r="V352" i="16"/>
  <c r="W352" i="16"/>
  <c r="X352" i="16"/>
  <c r="Y352" i="16"/>
  <c r="Z352" i="16"/>
  <c r="AA352" i="16"/>
  <c r="V353" i="16"/>
  <c r="W353" i="16"/>
  <c r="X353" i="16"/>
  <c r="Y353" i="16"/>
  <c r="Z353" i="16"/>
  <c r="AA353" i="16"/>
  <c r="V354" i="16"/>
  <c r="W354" i="16"/>
  <c r="X354" i="16"/>
  <c r="Y354" i="16"/>
  <c r="Z354" i="16"/>
  <c r="AA354" i="16"/>
  <c r="V355" i="16"/>
  <c r="W355" i="16"/>
  <c r="X355" i="16"/>
  <c r="Y355" i="16"/>
  <c r="Z355" i="16"/>
  <c r="AA355" i="16"/>
  <c r="V356" i="16"/>
  <c r="W356" i="16"/>
  <c r="X356" i="16"/>
  <c r="Y356" i="16"/>
  <c r="Z356" i="16"/>
  <c r="AA356" i="16"/>
  <c r="V357" i="16"/>
  <c r="W357" i="16"/>
  <c r="X357" i="16"/>
  <c r="Y357" i="16"/>
  <c r="Z357" i="16"/>
  <c r="AA357" i="16"/>
  <c r="V358" i="16"/>
  <c r="W358" i="16"/>
  <c r="X358" i="16"/>
  <c r="Y358" i="16"/>
  <c r="Z358" i="16"/>
  <c r="AA358" i="16"/>
  <c r="V359" i="16"/>
  <c r="W359" i="16"/>
  <c r="X359" i="16"/>
  <c r="Y359" i="16"/>
  <c r="Z359" i="16"/>
  <c r="AA359" i="16"/>
  <c r="V360" i="16"/>
  <c r="W360" i="16"/>
  <c r="X360" i="16"/>
  <c r="Y360" i="16"/>
  <c r="Z360" i="16"/>
  <c r="AA360" i="16"/>
  <c r="V361" i="16"/>
  <c r="W361" i="16"/>
  <c r="X361" i="16"/>
  <c r="Y361" i="16"/>
  <c r="Z361" i="16"/>
  <c r="AA361" i="16"/>
  <c r="V362" i="16"/>
  <c r="W362" i="16"/>
  <c r="X362" i="16"/>
  <c r="Y362" i="16"/>
  <c r="Z362" i="16"/>
  <c r="AA362" i="16"/>
  <c r="V363" i="16"/>
  <c r="W363" i="16"/>
  <c r="X363" i="16"/>
  <c r="Y363" i="16"/>
  <c r="Z363" i="16"/>
  <c r="AA363" i="16"/>
  <c r="V364" i="16"/>
  <c r="W364" i="16"/>
  <c r="X364" i="16"/>
  <c r="Y364" i="16"/>
  <c r="Z364" i="16"/>
  <c r="AA364" i="16"/>
  <c r="V365" i="16"/>
  <c r="W365" i="16"/>
  <c r="X365" i="16"/>
  <c r="Y365" i="16"/>
  <c r="Z365" i="16"/>
  <c r="AA365" i="16"/>
  <c r="V366" i="16"/>
  <c r="W366" i="16"/>
  <c r="X366" i="16"/>
  <c r="Y366" i="16"/>
  <c r="Z366" i="16"/>
  <c r="AA366" i="16"/>
  <c r="V367" i="16"/>
  <c r="W367" i="16"/>
  <c r="X367" i="16"/>
  <c r="Y367" i="16"/>
  <c r="Z367" i="16"/>
  <c r="AA367" i="16"/>
  <c r="V368" i="16"/>
  <c r="W368" i="16"/>
  <c r="X368" i="16"/>
  <c r="Y368" i="16"/>
  <c r="Z368" i="16"/>
  <c r="AA368" i="16"/>
  <c r="V369" i="16"/>
  <c r="W369" i="16"/>
  <c r="X369" i="16"/>
  <c r="Y369" i="16"/>
  <c r="Z369" i="16"/>
  <c r="AA369" i="16"/>
  <c r="V370" i="16"/>
  <c r="W370" i="16"/>
  <c r="X370" i="16"/>
  <c r="Y370" i="16"/>
  <c r="Z370" i="16"/>
  <c r="AA370" i="16"/>
  <c r="V371" i="16"/>
  <c r="W371" i="16"/>
  <c r="X371" i="16"/>
  <c r="Y371" i="16"/>
  <c r="Z371" i="16"/>
  <c r="AA371" i="16"/>
  <c r="V372" i="16"/>
  <c r="W372" i="16"/>
  <c r="X372" i="16"/>
  <c r="Y372" i="16"/>
  <c r="Z372" i="16"/>
  <c r="AA372" i="16"/>
  <c r="V373" i="16"/>
  <c r="W373" i="16"/>
  <c r="X373" i="16"/>
  <c r="Y373" i="16"/>
  <c r="Z373" i="16"/>
  <c r="AA373" i="16"/>
  <c r="V374" i="16"/>
  <c r="W374" i="16"/>
  <c r="X374" i="16"/>
  <c r="Y374" i="16"/>
  <c r="Z374" i="16"/>
  <c r="AA374" i="16"/>
  <c r="V375" i="16"/>
  <c r="W375" i="16"/>
  <c r="X375" i="16"/>
  <c r="Y375" i="16"/>
  <c r="Z375" i="16"/>
  <c r="AA375" i="16"/>
  <c r="V376" i="16"/>
  <c r="W376" i="16"/>
  <c r="X376" i="16"/>
  <c r="Y376" i="16"/>
  <c r="Z376" i="16"/>
  <c r="AA376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47" i="16"/>
  <c r="B402" i="19" l="1"/>
  <c r="I50" i="16"/>
  <c r="G92" i="16"/>
  <c r="G96" i="16"/>
  <c r="G99" i="16"/>
  <c r="G95" i="16"/>
  <c r="G98" i="16"/>
  <c r="G94" i="16"/>
  <c r="G97" i="16"/>
  <c r="G304" i="16"/>
  <c r="F304" i="16"/>
  <c r="E304" i="16"/>
  <c r="D304" i="16"/>
  <c r="G303" i="16"/>
  <c r="G302" i="16"/>
  <c r="G301" i="16"/>
  <c r="F302" i="16"/>
  <c r="F301" i="16"/>
  <c r="E302" i="16"/>
  <c r="E301" i="16"/>
  <c r="D302" i="16"/>
  <c r="D301" i="16"/>
  <c r="G300" i="16"/>
  <c r="G299" i="16"/>
  <c r="F300" i="16"/>
  <c r="F299" i="16"/>
  <c r="E300" i="16"/>
  <c r="E299" i="16"/>
  <c r="D300" i="16"/>
  <c r="D299" i="16"/>
  <c r="M50" i="16" l="1"/>
  <c r="Y51" i="16" l="1"/>
  <c r="Y79" i="16" s="1"/>
  <c r="I49" i="16"/>
  <c r="Z51" i="16" s="1"/>
  <c r="J240" i="16"/>
  <c r="J241" i="16"/>
  <c r="J239" i="16"/>
  <c r="J246" i="16" l="1"/>
  <c r="M259" i="22"/>
  <c r="F228" i="16" l="1"/>
  <c r="G16" i="6"/>
  <c r="C76" i="26" s="1"/>
  <c r="F182" i="16" l="1"/>
  <c r="O45" i="16" s="1"/>
  <c r="F181" i="16"/>
  <c r="H172" i="22" s="1"/>
  <c r="F179" i="16"/>
  <c r="L45" i="16" s="1"/>
  <c r="F178" i="16"/>
  <c r="K45" i="16" s="1"/>
  <c r="S45" i="16" s="1"/>
  <c r="H163" i="22"/>
  <c r="H166" i="22"/>
  <c r="H173" i="22"/>
  <c r="P193" i="22"/>
  <c r="H110" i="6"/>
  <c r="H167" i="22" l="1"/>
  <c r="J50" i="16"/>
  <c r="J49" i="16"/>
  <c r="AA51" i="16" s="1"/>
  <c r="H168" i="22"/>
  <c r="H164" i="22"/>
  <c r="H165" i="22"/>
  <c r="H170" i="22"/>
  <c r="H171" i="22"/>
  <c r="N45" i="16"/>
  <c r="B93" i="16" s="1"/>
  <c r="N139" i="16"/>
  <c r="N142" i="16" s="1"/>
  <c r="N143" i="16" s="1"/>
  <c r="N144" i="16" s="1"/>
  <c r="N147" i="16" s="1"/>
  <c r="H169" i="22"/>
  <c r="H174" i="22"/>
  <c r="H175" i="22"/>
  <c r="H162" i="22"/>
  <c r="J162" i="22" s="1"/>
  <c r="O88" i="2"/>
  <c r="O120" i="2"/>
  <c r="O122" i="2" s="1"/>
  <c r="O123" i="2" s="1"/>
  <c r="P98" i="2" l="1"/>
  <c r="O108" i="2"/>
  <c r="O109" i="2" s="1"/>
  <c r="O99" i="2"/>
  <c r="P101" i="2"/>
  <c r="R100" i="2" l="1"/>
  <c r="P102" i="2"/>
  <c r="P99" i="2"/>
  <c r="O89" i="2"/>
  <c r="O86" i="2"/>
  <c r="O87" i="2" s="1"/>
  <c r="R75" i="2"/>
  <c r="Q75" i="2"/>
  <c r="P75" i="2"/>
  <c r="O75" i="2"/>
  <c r="O76" i="2" s="1"/>
  <c r="G138" i="6" l="1"/>
  <c r="G135" i="6"/>
  <c r="G133" i="6"/>
  <c r="H92" i="2" l="1"/>
  <c r="H93" i="2" s="1"/>
  <c r="G62" i="6" s="1"/>
  <c r="F303" i="16" s="1"/>
  <c r="G92" i="2"/>
  <c r="G93" i="2" s="1"/>
  <c r="H86" i="2"/>
  <c r="H85" i="2"/>
  <c r="H84" i="2"/>
  <c r="H83" i="2"/>
  <c r="H82" i="2"/>
  <c r="H81" i="2"/>
  <c r="H80" i="2"/>
  <c r="H79" i="2"/>
  <c r="G86" i="2"/>
  <c r="G85" i="2"/>
  <c r="G84" i="2"/>
  <c r="G83" i="2"/>
  <c r="G82" i="2"/>
  <c r="G81" i="2"/>
  <c r="G80" i="2"/>
  <c r="G79" i="2"/>
  <c r="O49" i="6"/>
  <c r="O48" i="6"/>
  <c r="P48" i="6" s="1"/>
  <c r="G87" i="2" l="1"/>
  <c r="G88" i="2" s="1"/>
  <c r="H87" i="2"/>
  <c r="H88" i="2" s="1"/>
  <c r="G60" i="6"/>
  <c r="D303" i="16" s="1"/>
  <c r="G61" i="6"/>
  <c r="E303" i="16" s="1"/>
  <c r="Y65" i="16"/>
  <c r="Y61" i="16"/>
  <c r="Y60" i="16"/>
  <c r="Q117" i="16"/>
  <c r="AJ193" i="22"/>
  <c r="AK193" i="22"/>
  <c r="AI193" i="22"/>
  <c r="Q82" i="6" l="1"/>
  <c r="R82" i="6" s="1"/>
  <c r="S82" i="6" s="1"/>
  <c r="Q86" i="6"/>
  <c r="R86" i="6" s="1"/>
  <c r="S86" i="6" s="1"/>
  <c r="AJ247" i="22"/>
  <c r="AI247" i="22"/>
  <c r="AK247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R247" i="22"/>
  <c r="Q247" i="22"/>
  <c r="P247" i="22"/>
  <c r="Q84" i="6" l="1"/>
  <c r="R84" i="6" s="1"/>
  <c r="S84" i="6" s="1"/>
  <c r="Q88" i="6"/>
  <c r="R88" i="6" s="1"/>
  <c r="S88" i="6" s="1"/>
  <c r="Q89" i="6"/>
  <c r="R89" i="6" s="1"/>
  <c r="S89" i="6" s="1"/>
  <c r="Q85" i="6"/>
  <c r="R85" i="6" s="1"/>
  <c r="S85" i="6" s="1"/>
  <c r="Q81" i="6"/>
  <c r="R81" i="6" s="1"/>
  <c r="S81" i="6" s="1"/>
  <c r="Q87" i="6"/>
  <c r="R87" i="6" s="1"/>
  <c r="S87" i="6" s="1"/>
  <c r="Q83" i="6"/>
  <c r="R83" i="6" s="1"/>
  <c r="S83" i="6" s="1"/>
  <c r="J222" i="16"/>
  <c r="A164" i="22"/>
  <c r="A163" i="22"/>
  <c r="G108" i="6"/>
  <c r="G53" i="6"/>
  <c r="C17" i="26" s="1"/>
  <c r="G52" i="6"/>
  <c r="G51" i="6"/>
  <c r="C15" i="26" s="1"/>
  <c r="G50" i="6"/>
  <c r="C14" i="26" s="1"/>
  <c r="R193" i="22"/>
  <c r="Q193" i="22"/>
  <c r="L193" i="22"/>
  <c r="AB180" i="22"/>
  <c r="X180" i="22"/>
  <c r="T180" i="22"/>
  <c r="AB179" i="22"/>
  <c r="X179" i="22"/>
  <c r="T179" i="22"/>
  <c r="AB178" i="22"/>
  <c r="X178" i="22"/>
  <c r="T178" i="22"/>
  <c r="AB177" i="22"/>
  <c r="X177" i="22"/>
  <c r="T177" i="22"/>
  <c r="AB176" i="22"/>
  <c r="X176" i="22"/>
  <c r="T176" i="22"/>
  <c r="AB175" i="22"/>
  <c r="X175" i="22"/>
  <c r="T175" i="22"/>
  <c r="AB174" i="22"/>
  <c r="X174" i="22"/>
  <c r="T174" i="22"/>
  <c r="F165" i="22"/>
  <c r="D165" i="22"/>
  <c r="AB173" i="22"/>
  <c r="X173" i="22"/>
  <c r="T173" i="22"/>
  <c r="F174" i="22"/>
  <c r="D174" i="22"/>
  <c r="AB172" i="22"/>
  <c r="X172" i="22"/>
  <c r="T172" i="22"/>
  <c r="F169" i="22"/>
  <c r="D169" i="22"/>
  <c r="F166" i="22"/>
  <c r="D166" i="22"/>
  <c r="F167" i="22"/>
  <c r="D167" i="22"/>
  <c r="F164" i="22"/>
  <c r="D164" i="22"/>
  <c r="F162" i="22"/>
  <c r="D162" i="22"/>
  <c r="F163" i="22"/>
  <c r="D163" i="22"/>
  <c r="F173" i="22"/>
  <c r="F16" i="6"/>
  <c r="F94" i="6"/>
  <c r="F110" i="6"/>
  <c r="F20" i="6"/>
  <c r="F15" i="6"/>
  <c r="F19" i="6"/>
  <c r="F12" i="6"/>
  <c r="F13" i="6"/>
  <c r="F14" i="6"/>
  <c r="C137" i="18"/>
  <c r="G37" i="6"/>
  <c r="F37" i="6" s="1"/>
  <c r="A51" i="7"/>
  <c r="C16" i="26" l="1"/>
  <c r="G29" i="6"/>
  <c r="F29" i="6" s="1"/>
  <c r="K37" i="6"/>
  <c r="J221" i="16" l="1"/>
  <c r="J225" i="16"/>
  <c r="J223" i="16"/>
  <c r="T178" i="16"/>
  <c r="T182" i="16"/>
  <c r="T179" i="16"/>
  <c r="J234" i="16" l="1"/>
  <c r="J248" i="16"/>
  <c r="U182" i="16"/>
  <c r="U181" i="16"/>
  <c r="U178" i="16"/>
  <c r="U179" i="16"/>
  <c r="U180" i="16"/>
  <c r="U183" i="16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6" i="25"/>
  <c r="K7" i="25"/>
  <c r="K8" i="25"/>
  <c r="K9" i="25"/>
  <c r="K10" i="25"/>
  <c r="K5" i="25"/>
  <c r="C163" i="18" l="1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C134" i="18"/>
  <c r="C135" i="18"/>
  <c r="C136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32" i="18"/>
  <c r="D132" i="18"/>
  <c r="E132" i="18"/>
  <c r="F132" i="18"/>
  <c r="G132" i="18"/>
  <c r="H132" i="18"/>
  <c r="I132" i="18"/>
  <c r="J132" i="18"/>
  <c r="K132" i="18"/>
  <c r="L132" i="18"/>
  <c r="M132" i="18"/>
  <c r="B132" i="18"/>
  <c r="E117" i="18"/>
  <c r="G117" i="18" s="1"/>
  <c r="E118" i="18"/>
  <c r="G118" i="18"/>
  <c r="E119" i="18"/>
  <c r="G119" i="18" s="1"/>
  <c r="E120" i="18"/>
  <c r="G120" i="18"/>
  <c r="E121" i="18"/>
  <c r="G121" i="18" s="1"/>
  <c r="E122" i="18"/>
  <c r="G122" i="18" s="1"/>
  <c r="E123" i="18"/>
  <c r="G123" i="18" s="1"/>
  <c r="E124" i="18"/>
  <c r="G124" i="18" s="1"/>
  <c r="E125" i="18"/>
  <c r="G125" i="18" s="1"/>
  <c r="E126" i="18"/>
  <c r="G126" i="18"/>
  <c r="I21" i="12"/>
  <c r="I22" i="12"/>
  <c r="I28" i="6"/>
  <c r="D85" i="26" s="1"/>
  <c r="I27" i="6"/>
  <c r="D84" i="26" s="1"/>
  <c r="I26" i="6"/>
  <c r="D83" i="26" s="1"/>
  <c r="B360" i="2"/>
  <c r="B361" i="2"/>
  <c r="E20" i="12" l="1"/>
  <c r="I20" i="12" s="1"/>
  <c r="I19" i="12"/>
  <c r="J19" i="12"/>
  <c r="G91" i="6"/>
  <c r="C80" i="26" s="1"/>
  <c r="G113" i="6"/>
  <c r="C87" i="26" s="1"/>
  <c r="G115" i="6"/>
  <c r="C89" i="26" s="1"/>
  <c r="G114" i="6"/>
  <c r="C88" i="26" s="1"/>
  <c r="A92" i="7"/>
  <c r="A88" i="7"/>
  <c r="A89" i="7"/>
  <c r="A90" i="7"/>
  <c r="A91" i="7"/>
  <c r="A87" i="7"/>
  <c r="L43" i="6"/>
  <c r="G43" i="6"/>
  <c r="G41" i="6"/>
  <c r="F41" i="6" s="1"/>
  <c r="G40" i="6"/>
  <c r="F40" i="6" s="1"/>
  <c r="G45" i="6"/>
  <c r="F45" i="6" s="1"/>
  <c r="G46" i="6"/>
  <c r="F46" i="6" s="1"/>
  <c r="G47" i="6"/>
  <c r="F47" i="6" s="1"/>
  <c r="G39" i="6"/>
  <c r="F39" i="6" s="1"/>
  <c r="G33" i="6"/>
  <c r="F33" i="6" s="1"/>
  <c r="G32" i="6"/>
  <c r="F32" i="6" s="1"/>
  <c r="G34" i="6"/>
  <c r="F34" i="6" s="1"/>
  <c r="G35" i="6"/>
  <c r="F35" i="6" s="1"/>
  <c r="G38" i="6"/>
  <c r="F38" i="6" s="1"/>
  <c r="G36" i="6"/>
  <c r="F36" i="6" s="1"/>
  <c r="G30" i="6"/>
  <c r="F30" i="6" s="1"/>
  <c r="G31" i="6"/>
  <c r="F31" i="6" s="1"/>
  <c r="G42" i="6"/>
  <c r="F42" i="6" s="1"/>
  <c r="N360" i="19"/>
  <c r="O360" i="19"/>
  <c r="P360" i="19"/>
  <c r="Q360" i="19"/>
  <c r="N361" i="19"/>
  <c r="O361" i="19"/>
  <c r="P361" i="19"/>
  <c r="Q361" i="19"/>
  <c r="N362" i="19"/>
  <c r="O362" i="19"/>
  <c r="P362" i="19"/>
  <c r="Q362" i="19"/>
  <c r="N363" i="19"/>
  <c r="O363" i="19"/>
  <c r="P363" i="19"/>
  <c r="Q363" i="19"/>
  <c r="G44" i="6"/>
  <c r="N359" i="19"/>
  <c r="O359" i="19"/>
  <c r="P359" i="19"/>
  <c r="Q359" i="19"/>
  <c r="A342" i="2"/>
  <c r="Q358" i="19"/>
  <c r="P358" i="19"/>
  <c r="O358" i="19"/>
  <c r="N358" i="19"/>
  <c r="Q357" i="19"/>
  <c r="P357" i="19"/>
  <c r="O357" i="19"/>
  <c r="N357" i="19"/>
  <c r="Q356" i="19"/>
  <c r="P356" i="19"/>
  <c r="O356" i="19"/>
  <c r="N356" i="19"/>
  <c r="Q355" i="19"/>
  <c r="P355" i="19"/>
  <c r="O355" i="19"/>
  <c r="N355" i="19"/>
  <c r="Q354" i="19"/>
  <c r="P354" i="19"/>
  <c r="O354" i="19"/>
  <c r="N354" i="19"/>
  <c r="Q352" i="19"/>
  <c r="P352" i="19"/>
  <c r="O352" i="19"/>
  <c r="N352" i="19"/>
  <c r="Q351" i="19"/>
  <c r="P351" i="19"/>
  <c r="O351" i="19"/>
  <c r="N351" i="19"/>
  <c r="Q350" i="19"/>
  <c r="P350" i="19"/>
  <c r="O350" i="19"/>
  <c r="N350" i="19"/>
  <c r="Q349" i="19"/>
  <c r="P349" i="19"/>
  <c r="O349" i="19"/>
  <c r="N349" i="19"/>
  <c r="Q348" i="19"/>
  <c r="P348" i="19"/>
  <c r="O348" i="19"/>
  <c r="N348" i="19"/>
  <c r="Q347" i="19"/>
  <c r="P347" i="19"/>
  <c r="O347" i="19"/>
  <c r="N347" i="19"/>
  <c r="Q346" i="19"/>
  <c r="P346" i="19"/>
  <c r="O346" i="19"/>
  <c r="N346" i="19"/>
  <c r="K44" i="6" l="1"/>
  <c r="F44" i="6"/>
  <c r="K43" i="6"/>
  <c r="F43" i="6"/>
  <c r="G22" i="6"/>
  <c r="A347" i="2"/>
  <c r="A348" i="2" s="1"/>
  <c r="B336" i="2"/>
  <c r="B337" i="2" s="1"/>
  <c r="B338" i="2" s="1"/>
  <c r="D333" i="2"/>
  <c r="D334" i="2" s="1"/>
  <c r="B332" i="2"/>
  <c r="B334" i="2" s="1"/>
  <c r="D330" i="2"/>
  <c r="D331" i="2" s="1"/>
  <c r="B319" i="2"/>
  <c r="B318" i="2"/>
  <c r="Q317" i="2"/>
  <c r="C120" i="2"/>
  <c r="C116" i="2"/>
  <c r="E112" i="18"/>
  <c r="D112" i="18"/>
  <c r="E111" i="18"/>
  <c r="D111" i="18"/>
  <c r="E110" i="18"/>
  <c r="D110" i="18"/>
  <c r="E109" i="18"/>
  <c r="D109" i="18"/>
  <c r="E108" i="18"/>
  <c r="D108" i="18"/>
  <c r="E107" i="18"/>
  <c r="D107" i="18"/>
  <c r="E106" i="18"/>
  <c r="D106" i="18"/>
  <c r="E105" i="18"/>
  <c r="D105" i="18"/>
  <c r="E104" i="18"/>
  <c r="D104" i="18"/>
  <c r="E103" i="18"/>
  <c r="D103" i="18"/>
  <c r="O329" i="19"/>
  <c r="P329" i="19"/>
  <c r="Q329" i="19"/>
  <c r="O330" i="19"/>
  <c r="P330" i="19"/>
  <c r="Q330" i="19"/>
  <c r="O331" i="19"/>
  <c r="P331" i="19"/>
  <c r="Q331" i="19"/>
  <c r="O332" i="19"/>
  <c r="P332" i="19"/>
  <c r="Q332" i="19"/>
  <c r="O333" i="19"/>
  <c r="P333" i="19"/>
  <c r="Q333" i="19"/>
  <c r="O334" i="19"/>
  <c r="P334" i="19"/>
  <c r="Q334" i="19"/>
  <c r="O335" i="19"/>
  <c r="P335" i="19"/>
  <c r="Q335" i="19"/>
  <c r="O336" i="19"/>
  <c r="P336" i="19"/>
  <c r="Q336" i="19"/>
  <c r="O337" i="19"/>
  <c r="P337" i="19"/>
  <c r="Q337" i="19"/>
  <c r="O338" i="19"/>
  <c r="P338" i="19"/>
  <c r="Q338" i="19"/>
  <c r="O339" i="19"/>
  <c r="P339" i="19"/>
  <c r="Q339" i="19"/>
  <c r="O340" i="19"/>
  <c r="P340" i="19"/>
  <c r="Q340" i="19"/>
  <c r="N330" i="19"/>
  <c r="N331" i="19"/>
  <c r="N332" i="19"/>
  <c r="N333" i="19"/>
  <c r="N334" i="19"/>
  <c r="N335" i="19"/>
  <c r="N336" i="19"/>
  <c r="N337" i="19"/>
  <c r="N338" i="19"/>
  <c r="N339" i="19"/>
  <c r="N340" i="19"/>
  <c r="N329" i="19"/>
  <c r="D79" i="18"/>
  <c r="F22" i="6" l="1"/>
  <c r="C81" i="26"/>
  <c r="B320" i="2"/>
  <c r="AX165" i="19"/>
  <c r="AX166" i="19"/>
  <c r="AX167" i="19"/>
  <c r="AX168" i="19"/>
  <c r="AX169" i="19"/>
  <c r="AX170" i="19"/>
  <c r="AX171" i="19"/>
  <c r="AX172" i="19"/>
  <c r="AX173" i="19"/>
  <c r="AX174" i="19"/>
  <c r="AX175" i="19"/>
  <c r="AX176" i="19"/>
  <c r="AX177" i="19"/>
  <c r="AX178" i="19"/>
  <c r="AX164" i="19"/>
  <c r="BB206" i="19" l="1"/>
  <c r="BB207" i="19" s="1"/>
  <c r="AZ209" i="19"/>
  <c r="AZ206" i="19"/>
  <c r="AZ205" i="19"/>
  <c r="BE189" i="19"/>
  <c r="BE187" i="19"/>
  <c r="BE184" i="19"/>
  <c r="BE183" i="19"/>
  <c r="BE185" i="19" s="1"/>
  <c r="BE186" i="19" s="1"/>
  <c r="BE188" i="19" s="1"/>
  <c r="BE190" i="19" s="1"/>
  <c r="AZ207" i="19" l="1"/>
  <c r="AZ208" i="19"/>
  <c r="C155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A78" i="7" l="1"/>
  <c r="A86" i="7"/>
  <c r="A76" i="7"/>
  <c r="A79" i="7"/>
  <c r="A80" i="7"/>
  <c r="A81" i="7"/>
  <c r="A82" i="7"/>
  <c r="A83" i="7"/>
  <c r="BB194" i="19"/>
  <c r="BB193" i="19"/>
  <c r="BB192" i="19"/>
  <c r="BB191" i="19"/>
  <c r="BB187" i="19"/>
  <c r="BB185" i="19"/>
  <c r="BB183" i="19"/>
  <c r="BB195" i="19" l="1"/>
  <c r="BB196" i="19" s="1"/>
  <c r="AZ201" i="19" s="1"/>
  <c r="AZ202" i="19" s="1"/>
  <c r="L17" i="6"/>
  <c r="D77" i="26" s="1"/>
  <c r="BB197" i="19" l="1"/>
  <c r="BB198" i="19" s="1"/>
  <c r="BB199" i="19" s="1"/>
  <c r="BB200" i="19" s="1"/>
  <c r="I262" i="19" l="1"/>
  <c r="I284" i="19"/>
  <c r="I307" i="19"/>
  <c r="I309" i="19"/>
  <c r="I310" i="19"/>
  <c r="I311" i="19"/>
  <c r="I305" i="19"/>
  <c r="G306" i="19"/>
  <c r="G308" i="19"/>
  <c r="G304" i="19"/>
  <c r="G314" i="19"/>
  <c r="C313" i="19"/>
  <c r="B313" i="19"/>
  <c r="G312" i="19"/>
  <c r="R281" i="19"/>
  <c r="S281" i="19"/>
  <c r="T281" i="19"/>
  <c r="U281" i="19"/>
  <c r="R282" i="19"/>
  <c r="S282" i="19"/>
  <c r="T282" i="19"/>
  <c r="U282" i="19"/>
  <c r="U280" i="19"/>
  <c r="T280" i="19"/>
  <c r="S280" i="19"/>
  <c r="R280" i="19"/>
  <c r="I316" i="19" l="1"/>
  <c r="I317" i="19" s="1"/>
  <c r="I318" i="19" s="1"/>
  <c r="G316" i="19"/>
  <c r="J306" i="19" s="1"/>
  <c r="P207" i="19"/>
  <c r="I18" i="12"/>
  <c r="I17" i="12"/>
  <c r="J18" i="12"/>
  <c r="E18" i="12"/>
  <c r="J17" i="12"/>
  <c r="E17" i="12"/>
  <c r="J312" i="19" l="1"/>
  <c r="M307" i="19"/>
  <c r="K311" i="19"/>
  <c r="M310" i="19"/>
  <c r="K309" i="19"/>
  <c r="J304" i="19"/>
  <c r="K310" i="19"/>
  <c r="K305" i="19"/>
  <c r="M309" i="19"/>
  <c r="M305" i="19"/>
  <c r="M304" i="19"/>
  <c r="L310" i="19"/>
  <c r="M306" i="19"/>
  <c r="L305" i="19"/>
  <c r="L311" i="19"/>
  <c r="M312" i="19"/>
  <c r="L307" i="19"/>
  <c r="M308" i="19"/>
  <c r="M314" i="19"/>
  <c r="L309" i="19"/>
  <c r="G317" i="19"/>
  <c r="G318" i="19" s="1"/>
  <c r="K307" i="19"/>
  <c r="J314" i="19"/>
  <c r="J308" i="19"/>
  <c r="H43" i="5"/>
  <c r="G43" i="5"/>
  <c r="E300" i="2"/>
  <c r="F300" i="2" s="1"/>
  <c r="E301" i="2"/>
  <c r="E302" i="2"/>
  <c r="F302" i="2" s="1"/>
  <c r="E303" i="2"/>
  <c r="F303" i="2" s="1"/>
  <c r="E304" i="2"/>
  <c r="F304" i="2" s="1"/>
  <c r="E305" i="2"/>
  <c r="F301" i="2"/>
  <c r="F305" i="2"/>
  <c r="F308" i="2"/>
  <c r="F307" i="2"/>
  <c r="F306" i="2"/>
  <c r="E299" i="2"/>
  <c r="F299" i="2" s="1"/>
  <c r="I16" i="12"/>
  <c r="H297" i="19"/>
  <c r="H298" i="19" s="1"/>
  <c r="H299" i="19" s="1"/>
  <c r="J294" i="19"/>
  <c r="G294" i="19"/>
  <c r="G287" i="19"/>
  <c r="C286" i="19"/>
  <c r="B286" i="19"/>
  <c r="G285" i="19"/>
  <c r="I283" i="19"/>
  <c r="I282" i="19"/>
  <c r="G281" i="19"/>
  <c r="I280" i="19"/>
  <c r="G279" i="19"/>
  <c r="I278" i="19"/>
  <c r="G277" i="19"/>
  <c r="I261" i="19"/>
  <c r="I260" i="19"/>
  <c r="I258" i="19"/>
  <c r="I256" i="19"/>
  <c r="G257" i="19"/>
  <c r="G259" i="19"/>
  <c r="G263" i="19"/>
  <c r="G265" i="19"/>
  <c r="G255" i="19"/>
  <c r="E298" i="2"/>
  <c r="F298" i="2" s="1"/>
  <c r="E297" i="2"/>
  <c r="F297" i="2" s="1"/>
  <c r="E296" i="2"/>
  <c r="F296" i="2" s="1"/>
  <c r="C264" i="19"/>
  <c r="B264" i="19"/>
  <c r="I15" i="12"/>
  <c r="J15" i="12"/>
  <c r="BD199" i="19" l="1"/>
  <c r="BD200" i="19" s="1"/>
  <c r="F6" i="6"/>
  <c r="G292" i="19"/>
  <c r="G319" i="19"/>
  <c r="G320" i="19" s="1"/>
  <c r="I319" i="19"/>
  <c r="I320" i="19" s="1"/>
  <c r="A290" i="19"/>
  <c r="A292" i="19" s="1"/>
  <c r="A294" i="19" s="1"/>
  <c r="I267" i="19"/>
  <c r="L262" i="19" s="1"/>
  <c r="G267" i="19"/>
  <c r="K257" i="19" s="1"/>
  <c r="G289" i="19"/>
  <c r="I289" i="19"/>
  <c r="I292" i="19"/>
  <c r="I270" i="19"/>
  <c r="I272" i="19"/>
  <c r="I294" i="19" s="1"/>
  <c r="G270" i="19"/>
  <c r="L319" i="19" l="1"/>
  <c r="L261" i="19"/>
  <c r="L256" i="19"/>
  <c r="L260" i="19"/>
  <c r="I268" i="19"/>
  <c r="I269" i="19" s="1"/>
  <c r="I271" i="19" s="1"/>
  <c r="L258" i="19"/>
  <c r="K263" i="19"/>
  <c r="K287" i="19"/>
  <c r="N284" i="19"/>
  <c r="I290" i="19"/>
  <c r="I291" i="19" s="1"/>
  <c r="I293" i="19" s="1"/>
  <c r="G268" i="19"/>
  <c r="G269" i="19" s="1"/>
  <c r="G271" i="19" s="1"/>
  <c r="K259" i="19"/>
  <c r="K255" i="19"/>
  <c r="K265" i="19"/>
  <c r="K285" i="19"/>
  <c r="L282" i="19"/>
  <c r="L283" i="19"/>
  <c r="L278" i="19"/>
  <c r="L280" i="19"/>
  <c r="G290" i="19"/>
  <c r="G291" i="19" s="1"/>
  <c r="G293" i="19" s="1"/>
  <c r="L318" i="19" s="1"/>
  <c r="N280" i="19"/>
  <c r="M281" i="19"/>
  <c r="M277" i="19"/>
  <c r="K281" i="19"/>
  <c r="K277" i="19"/>
  <c r="N278" i="19"/>
  <c r="N282" i="19"/>
  <c r="N283" i="19"/>
  <c r="M279" i="19"/>
  <c r="M287" i="19"/>
  <c r="K279" i="19"/>
  <c r="M285" i="19"/>
  <c r="M219" i="19"/>
  <c r="M218" i="19"/>
  <c r="M217" i="19"/>
  <c r="M216" i="19"/>
  <c r="M212" i="19"/>
  <c r="M210" i="19"/>
  <c r="M208" i="19"/>
  <c r="K42" i="6"/>
  <c r="K33" i="6"/>
  <c r="K32" i="6"/>
  <c r="K34" i="6"/>
  <c r="K35" i="6"/>
  <c r="K38" i="6"/>
  <c r="K36" i="6"/>
  <c r="K30" i="6"/>
  <c r="K31" i="6"/>
  <c r="AP194" i="19"/>
  <c r="AP193" i="19"/>
  <c r="AP192" i="19"/>
  <c r="AP191" i="19"/>
  <c r="AP187" i="19"/>
  <c r="AP185" i="19"/>
  <c r="AP183" i="19"/>
  <c r="B218" i="19"/>
  <c r="D218" i="19" s="1"/>
  <c r="A216" i="19"/>
  <c r="M220" i="19" l="1"/>
  <c r="M221" i="19" s="1"/>
  <c r="AP195" i="19"/>
  <c r="AP196" i="19" s="1"/>
  <c r="AP197" i="19" s="1"/>
  <c r="C219" i="19"/>
  <c r="C220" i="19"/>
  <c r="C221" i="19"/>
  <c r="C222" i="19"/>
  <c r="C223" i="19"/>
  <c r="C224" i="19"/>
  <c r="C225" i="19"/>
  <c r="C226" i="19"/>
  <c r="C227" i="19"/>
  <c r="C228" i="19"/>
  <c r="C229" i="19"/>
  <c r="C218" i="19"/>
  <c r="A219" i="19"/>
  <c r="A220" i="19"/>
  <c r="A221" i="19"/>
  <c r="A222" i="19"/>
  <c r="A223" i="19"/>
  <c r="A224" i="19"/>
  <c r="A225" i="19"/>
  <c r="A226" i="19"/>
  <c r="A227" i="19"/>
  <c r="A228" i="19"/>
  <c r="A229" i="19"/>
  <c r="A218" i="19"/>
  <c r="B219" i="19"/>
  <c r="D219" i="19" s="1"/>
  <c r="B220" i="19"/>
  <c r="D220" i="19" s="1"/>
  <c r="B221" i="19"/>
  <c r="D221" i="19" s="1"/>
  <c r="B222" i="19"/>
  <c r="D222" i="19" s="1"/>
  <c r="B223" i="19"/>
  <c r="D223" i="19" s="1"/>
  <c r="B224" i="19"/>
  <c r="D224" i="19" s="1"/>
  <c r="B225" i="19"/>
  <c r="D225" i="19" s="1"/>
  <c r="B226" i="19"/>
  <c r="D226" i="19" s="1"/>
  <c r="B227" i="19"/>
  <c r="D227" i="19" s="1"/>
  <c r="B228" i="19"/>
  <c r="D228" i="19" s="1"/>
  <c r="B229" i="19"/>
  <c r="D229" i="19" s="1"/>
  <c r="A211" i="19"/>
  <c r="AD194" i="19"/>
  <c r="AD193" i="19"/>
  <c r="AD192" i="19"/>
  <c r="AD191" i="19"/>
  <c r="AD187" i="19"/>
  <c r="AD185" i="19"/>
  <c r="AD183" i="19"/>
  <c r="R194" i="19"/>
  <c r="R193" i="19"/>
  <c r="R192" i="19"/>
  <c r="R191" i="19"/>
  <c r="R187" i="19"/>
  <c r="R185" i="19"/>
  <c r="R183" i="19"/>
  <c r="H42" i="5"/>
  <c r="G42" i="5"/>
  <c r="G194" i="19"/>
  <c r="G192" i="19"/>
  <c r="G193" i="19"/>
  <c r="G191" i="19"/>
  <c r="G187" i="19"/>
  <c r="G185" i="19"/>
  <c r="G183" i="19"/>
  <c r="D230" i="19" l="1"/>
  <c r="AP198" i="19"/>
  <c r="E206" i="19"/>
  <c r="M222" i="19"/>
  <c r="G195" i="19"/>
  <c r="G196" i="19" s="1"/>
  <c r="G197" i="19" s="1"/>
  <c r="AD195" i="19"/>
  <c r="AD196" i="19" s="1"/>
  <c r="R195" i="19"/>
  <c r="R196" i="19" s="1"/>
  <c r="G198" i="19" l="1"/>
  <c r="B206" i="19"/>
  <c r="M223" i="19"/>
  <c r="E207" i="19"/>
  <c r="AD197" i="19"/>
  <c r="R197" i="19"/>
  <c r="R198" i="19" l="1"/>
  <c r="C206" i="19"/>
  <c r="AD198" i="19"/>
  <c r="D206" i="19"/>
  <c r="AA83" i="18"/>
  <c r="AE53" i="18" l="1"/>
  <c r="AE52" i="18"/>
  <c r="AB49" i="18"/>
  <c r="AB39" i="18"/>
  <c r="Z42" i="18"/>
  <c r="Z43" i="18"/>
  <c r="Z44" i="18"/>
  <c r="Z41" i="18"/>
  <c r="B247" i="2" l="1"/>
  <c r="G242" i="2"/>
  <c r="H242" i="2"/>
  <c r="G243" i="2"/>
  <c r="H243" i="2"/>
  <c r="G244" i="2"/>
  <c r="H244" i="2"/>
  <c r="H241" i="2"/>
  <c r="G241" i="2"/>
  <c r="F242" i="2"/>
  <c r="F243" i="2"/>
  <c r="F244" i="2"/>
  <c r="F241" i="2"/>
  <c r="L59" i="6"/>
  <c r="K59" i="6"/>
  <c r="L89" i="6"/>
  <c r="K89" i="6"/>
  <c r="L84" i="6"/>
  <c r="K84" i="6"/>
  <c r="L79" i="6"/>
  <c r="L78" i="6"/>
  <c r="L77" i="6"/>
  <c r="K79" i="6"/>
  <c r="K78" i="6"/>
  <c r="K77" i="6"/>
  <c r="L64" i="6"/>
  <c r="K64" i="6"/>
  <c r="B64" i="18"/>
  <c r="C64" i="18" s="1"/>
  <c r="B67" i="18"/>
  <c r="C67" i="18" s="1"/>
  <c r="B63" i="18"/>
  <c r="C63" i="18" s="1"/>
  <c r="D63" i="18" s="1"/>
  <c r="B65" i="18" l="1"/>
  <c r="C65" i="18" s="1"/>
  <c r="AF79" i="18" s="1"/>
  <c r="A200" i="19"/>
  <c r="B89" i="18"/>
  <c r="D64" i="18"/>
  <c r="E88" i="18" l="1"/>
  <c r="H88" i="18" s="1"/>
  <c r="K72" i="18"/>
  <c r="N73" i="18" s="1"/>
  <c r="P91" i="18"/>
  <c r="E94" i="18"/>
  <c r="H94" i="18" s="1"/>
  <c r="D88" i="18"/>
  <c r="B79" i="18" s="1"/>
  <c r="K79" i="18"/>
  <c r="L79" i="18" s="1"/>
  <c r="S90" i="18"/>
  <c r="I94" i="18"/>
  <c r="I92" i="18"/>
  <c r="D94" i="18"/>
  <c r="D95" i="18"/>
  <c r="I95" i="18"/>
  <c r="I79" i="18"/>
  <c r="J79" i="18" s="1"/>
  <c r="D96" i="18"/>
  <c r="I89" i="18"/>
  <c r="O79" i="18"/>
  <c r="P79" i="18" s="1"/>
  <c r="AB79" i="18"/>
  <c r="AC79" i="18" s="1"/>
  <c r="G79" i="18"/>
  <c r="H79" i="18" s="1"/>
  <c r="L88" i="18"/>
  <c r="M88" i="18" s="1"/>
  <c r="O88" i="18" s="1"/>
  <c r="S91" i="18"/>
  <c r="E90" i="18"/>
  <c r="H90" i="18" s="1"/>
  <c r="S79" i="18"/>
  <c r="T79" i="18" s="1"/>
  <c r="E89" i="18"/>
  <c r="H89" i="18" s="1"/>
  <c r="W79" i="18"/>
  <c r="X79" i="18" s="1"/>
  <c r="P90" i="18"/>
  <c r="I90" i="18"/>
  <c r="E92" i="18"/>
  <c r="H92" i="18" s="1"/>
  <c r="E95" i="18"/>
  <c r="H95" i="18" s="1"/>
  <c r="E93" i="18"/>
  <c r="H93" i="18" s="1"/>
  <c r="E96" i="18"/>
  <c r="W91" i="18"/>
  <c r="L90" i="18"/>
  <c r="M90" i="18" s="1"/>
  <c r="O90" i="18" s="1"/>
  <c r="P89" i="18"/>
  <c r="D93" i="18"/>
  <c r="I88" i="18"/>
  <c r="E66" i="18"/>
  <c r="W90" i="18"/>
  <c r="L89" i="18"/>
  <c r="M89" i="18" s="1"/>
  <c r="O89" i="18" s="1"/>
  <c r="D90" i="18"/>
  <c r="D92" i="18"/>
  <c r="S89" i="18"/>
  <c r="I91" i="18"/>
  <c r="D65" i="18"/>
  <c r="C80" i="18"/>
  <c r="F81" i="18" s="1"/>
  <c r="E81" i="18" s="1"/>
  <c r="W89" i="18"/>
  <c r="E91" i="18"/>
  <c r="H91" i="18" s="1"/>
  <c r="L91" i="18"/>
  <c r="M91" i="18" s="1"/>
  <c r="O91" i="18" s="1"/>
  <c r="D89" i="18"/>
  <c r="D91" i="18"/>
  <c r="P88" i="18"/>
  <c r="I93" i="18"/>
  <c r="E79" i="18"/>
  <c r="F79" i="18" s="1"/>
  <c r="F71" i="18"/>
  <c r="G71" i="18" s="1"/>
  <c r="H71" i="18" s="1"/>
  <c r="L72" i="18"/>
  <c r="M72" i="18" s="1"/>
  <c r="N72" i="18" s="1"/>
  <c r="D80" i="18" l="1"/>
  <c r="E80" i="18" s="1"/>
  <c r="F80" i="18" s="1"/>
  <c r="G80" i="18" s="1"/>
  <c r="J81" i="18" s="1"/>
  <c r="I81" i="18" s="1"/>
  <c r="B78" i="18"/>
  <c r="C78" i="18" s="1"/>
  <c r="D78" i="18" s="1"/>
  <c r="B70" i="18"/>
  <c r="C70" i="18" s="1"/>
  <c r="D70" i="18" s="1"/>
  <c r="O72" i="18"/>
  <c r="H80" i="18" l="1"/>
  <c r="I80" i="18" s="1"/>
  <c r="J80" i="18" s="1"/>
  <c r="K80" i="18" s="1"/>
  <c r="N81" i="18" s="1"/>
  <c r="M81" i="18" s="1"/>
  <c r="F78" i="18"/>
  <c r="E78" i="18" s="1"/>
  <c r="J71" i="18"/>
  <c r="R73" i="18"/>
  <c r="P72" i="18"/>
  <c r="L80" i="18" l="1"/>
  <c r="M79" i="18"/>
  <c r="N79" i="18" s="1"/>
  <c r="G78" i="18"/>
  <c r="H78" i="18" s="1"/>
  <c r="Q72" i="18"/>
  <c r="R72" i="18" s="1"/>
  <c r="S72" i="18" s="1"/>
  <c r="Q73" i="18"/>
  <c r="F70" i="18"/>
  <c r="K71" i="18"/>
  <c r="L71" i="18" s="1"/>
  <c r="I71" i="18"/>
  <c r="J78" i="18" l="1"/>
  <c r="M80" i="18"/>
  <c r="N80" i="18" s="1"/>
  <c r="O80" i="18" s="1"/>
  <c r="R81" i="18" s="1"/>
  <c r="Q81" i="18" s="1"/>
  <c r="G70" i="18"/>
  <c r="H70" i="18" s="1"/>
  <c r="E70" i="18"/>
  <c r="V73" i="18"/>
  <c r="N71" i="18"/>
  <c r="Q79" i="18" l="1"/>
  <c r="R79" i="18" s="1"/>
  <c r="P80" i="18"/>
  <c r="I78" i="18"/>
  <c r="K78" i="18"/>
  <c r="L78" i="18" s="1"/>
  <c r="O71" i="18"/>
  <c r="J70" i="18"/>
  <c r="K70" i="18" s="1"/>
  <c r="U73" i="18"/>
  <c r="N78" i="18" l="1"/>
  <c r="Q80" i="18"/>
  <c r="R80" i="18" s="1"/>
  <c r="S80" i="18" s="1"/>
  <c r="V81" i="18" s="1"/>
  <c r="T80" i="18" l="1"/>
  <c r="U81" i="18"/>
  <c r="U79" i="18"/>
  <c r="V79" i="18" s="1"/>
  <c r="M78" i="18"/>
  <c r="O78" i="18"/>
  <c r="P78" i="18" s="1"/>
  <c r="R78" i="18" l="1"/>
  <c r="U80" i="18"/>
  <c r="V80" i="18" s="1"/>
  <c r="W80" i="18" s="1"/>
  <c r="AA81" i="18" s="1"/>
  <c r="X80" i="18" l="1"/>
  <c r="Z81" i="18"/>
  <c r="Z79" i="18"/>
  <c r="AA79" i="18" s="1"/>
  <c r="S78" i="18"/>
  <c r="T78" i="18" s="1"/>
  <c r="Q78" i="18"/>
  <c r="K54" i="6"/>
  <c r="L54" i="6"/>
  <c r="F154" i="19"/>
  <c r="F153" i="19"/>
  <c r="F152" i="19"/>
  <c r="F150" i="19"/>
  <c r="F151" i="19"/>
  <c r="F145" i="19"/>
  <c r="F146" i="19"/>
  <c r="F147" i="19"/>
  <c r="F148" i="19"/>
  <c r="F149" i="19"/>
  <c r="F144" i="19"/>
  <c r="F143" i="19"/>
  <c r="V78" i="18" l="1"/>
  <c r="Z80" i="18"/>
  <c r="AA80" i="18" s="1"/>
  <c r="AB80" i="18" s="1"/>
  <c r="AE81" i="18" s="1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A59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A54" i="18"/>
  <c r="D49" i="18"/>
  <c r="A44" i="18"/>
  <c r="A43" i="18"/>
  <c r="A42" i="18"/>
  <c r="E43" i="18" s="1"/>
  <c r="F43" i="18" s="1"/>
  <c r="AD79" i="18" l="1"/>
  <c r="AE79" i="18" s="1"/>
  <c r="AD81" i="18"/>
  <c r="AC80" i="18"/>
  <c r="AD80" i="18" s="1"/>
  <c r="W78" i="18"/>
  <c r="X78" i="18" s="1"/>
  <c r="U78" i="18"/>
  <c r="G43" i="18"/>
  <c r="H43" i="18" s="1"/>
  <c r="I43" i="18" s="1"/>
  <c r="J43" i="18" s="1"/>
  <c r="K43" i="18" s="1"/>
  <c r="D44" i="18" s="1"/>
  <c r="E44" i="18" s="1"/>
  <c r="F44" i="18" s="1"/>
  <c r="G44" i="18" s="1"/>
  <c r="H44" i="18" s="1"/>
  <c r="I44" i="18" s="1"/>
  <c r="J44" i="18" s="1"/>
  <c r="K44" i="18" s="1"/>
  <c r="D45" i="18" s="1"/>
  <c r="E45" i="18" s="1"/>
  <c r="F45" i="18" s="1"/>
  <c r="G45" i="18" s="1"/>
  <c r="G112" i="6"/>
  <c r="C86" i="26" s="1"/>
  <c r="L33" i="6"/>
  <c r="G151" i="19"/>
  <c r="L32" i="6"/>
  <c r="G150" i="19"/>
  <c r="L34" i="6"/>
  <c r="L35" i="6"/>
  <c r="G149" i="19"/>
  <c r="B134" i="18"/>
  <c r="G148" i="19"/>
  <c r="A70" i="7" l="1"/>
  <c r="A73" i="7"/>
  <c r="A69" i="7"/>
  <c r="A72" i="7"/>
  <c r="A74" i="7"/>
  <c r="A75" i="7"/>
  <c r="A71" i="7"/>
  <c r="AA78" i="18"/>
  <c r="B66" i="18"/>
  <c r="C66" i="18" s="1"/>
  <c r="C81" i="18" s="1"/>
  <c r="D81" i="18" s="1"/>
  <c r="K118" i="6"/>
  <c r="T90" i="18" l="1"/>
  <c r="V90" i="18" s="1"/>
  <c r="T89" i="18"/>
  <c r="V89" i="18" s="1"/>
  <c r="T91" i="18"/>
  <c r="V91" i="18" s="1"/>
  <c r="AB78" i="18"/>
  <c r="AC78" i="18" s="1"/>
  <c r="Z78" i="18"/>
  <c r="G81" i="18"/>
  <c r="H81" i="18" s="1"/>
  <c r="O73" i="18"/>
  <c r="P73" i="18" s="1"/>
  <c r="K81" i="18"/>
  <c r="L81" i="18" s="1"/>
  <c r="O81" i="18"/>
  <c r="P81" i="18" s="1"/>
  <c r="S73" i="18"/>
  <c r="T73" i="18" s="1"/>
  <c r="S81" i="18"/>
  <c r="T81" i="18" s="1"/>
  <c r="W81" i="18"/>
  <c r="X81" i="18" s="1"/>
  <c r="AB81" i="18"/>
  <c r="AC81" i="18" s="1"/>
  <c r="W73" i="18"/>
  <c r="X73" i="18" s="1"/>
  <c r="AF81" i="18"/>
  <c r="J14" i="12"/>
  <c r="E14" i="12"/>
  <c r="I14" i="12"/>
  <c r="AD78" i="18" l="1"/>
  <c r="L85" i="6" l="1"/>
  <c r="K85" i="6"/>
  <c r="L14" i="6" l="1"/>
  <c r="L13" i="6"/>
  <c r="K13" i="6"/>
  <c r="K14" i="6"/>
  <c r="K116" i="6"/>
  <c r="L75" i="6" l="1"/>
  <c r="L74" i="6"/>
  <c r="K75" i="6"/>
  <c r="K74" i="6"/>
  <c r="L72" i="6"/>
  <c r="L71" i="6"/>
  <c r="K72" i="6"/>
  <c r="K71" i="6"/>
  <c r="L69" i="6"/>
  <c r="L68" i="6"/>
  <c r="L66" i="6"/>
  <c r="L65" i="6"/>
  <c r="K69" i="6"/>
  <c r="K68" i="6"/>
  <c r="K66" i="6"/>
  <c r="K65" i="6"/>
  <c r="J178" i="17" l="1"/>
  <c r="J179" i="17" s="1"/>
  <c r="B156" i="19"/>
  <c r="C120" i="16"/>
  <c r="C121" i="16"/>
  <c r="C122" i="16"/>
  <c r="C123" i="16"/>
  <c r="C124" i="16"/>
  <c r="C118" i="16"/>
  <c r="N51" i="7"/>
  <c r="C119" i="16"/>
  <c r="N23" i="7" l="1"/>
  <c r="N22" i="7"/>
  <c r="N21" i="7"/>
  <c r="N20" i="7"/>
  <c r="N19" i="7"/>
  <c r="N16" i="7"/>
  <c r="N15" i="7"/>
  <c r="N14" i="7"/>
  <c r="U8" i="23"/>
  <c r="H66" i="15" l="1"/>
  <c r="K66" i="15" s="1"/>
  <c r="D66" i="15"/>
  <c r="H65" i="15"/>
  <c r="K65" i="15" s="1"/>
  <c r="D65" i="15"/>
  <c r="H21" i="15"/>
  <c r="K21" i="15" s="1"/>
  <c r="H22" i="15"/>
  <c r="K22" i="15" s="1"/>
  <c r="H20" i="15"/>
  <c r="K20" i="15" s="1"/>
  <c r="D22" i="15"/>
  <c r="D21" i="15"/>
  <c r="D20" i="15"/>
  <c r="D11" i="21"/>
  <c r="C15" i="21"/>
  <c r="C10" i="21"/>
  <c r="C9" i="21"/>
  <c r="C8" i="21"/>
  <c r="C6" i="21"/>
  <c r="K21" i="21"/>
  <c r="K20" i="21"/>
  <c r="K12" i="21"/>
  <c r="P2" i="23" l="1"/>
  <c r="V15" i="23"/>
  <c r="U15" i="23"/>
  <c r="U13" i="23"/>
  <c r="U12" i="23"/>
  <c r="V10" i="23"/>
  <c r="U10" i="23"/>
  <c r="V9" i="23"/>
  <c r="U9" i="23"/>
  <c r="U7" i="23"/>
  <c r="U6" i="23"/>
  <c r="J53" i="15" l="1"/>
  <c r="J54" i="15"/>
  <c r="J55" i="15"/>
  <c r="J56" i="15"/>
  <c r="J57" i="15"/>
  <c r="J58" i="15"/>
  <c r="J59" i="15"/>
  <c r="J60" i="15"/>
  <c r="J61" i="15"/>
  <c r="J62" i="15"/>
  <c r="J64" i="15"/>
  <c r="J52" i="15"/>
  <c r="K39" i="6"/>
  <c r="O73" i="15"/>
  <c r="O74" i="15"/>
  <c r="O75" i="15"/>
  <c r="O76" i="15"/>
  <c r="O77" i="15"/>
  <c r="O78" i="15"/>
  <c r="O79" i="15"/>
  <c r="O80" i="15"/>
  <c r="O81" i="15"/>
  <c r="O82" i="15"/>
  <c r="O72" i="15"/>
  <c r="N83" i="7"/>
  <c r="N82" i="7"/>
  <c r="N81" i="7"/>
  <c r="N80" i="7"/>
  <c r="N79" i="7"/>
  <c r="N78" i="7"/>
  <c r="N76" i="7"/>
  <c r="N73" i="7"/>
  <c r="N72" i="7"/>
  <c r="N71" i="7"/>
  <c r="N70" i="7"/>
  <c r="N69" i="7"/>
  <c r="N68" i="7"/>
  <c r="J82" i="15"/>
  <c r="J81" i="15"/>
  <c r="K81" i="15" s="1"/>
  <c r="J80" i="15"/>
  <c r="J79" i="15"/>
  <c r="J78" i="15"/>
  <c r="J77" i="15"/>
  <c r="J74" i="15"/>
  <c r="J75" i="15"/>
  <c r="J76" i="15"/>
  <c r="J73" i="15"/>
  <c r="J72" i="15"/>
  <c r="I73" i="15"/>
  <c r="I74" i="15"/>
  <c r="I75" i="15"/>
  <c r="I76" i="15"/>
  <c r="I77" i="15"/>
  <c r="I78" i="15"/>
  <c r="I79" i="15"/>
  <c r="I80" i="15"/>
  <c r="I82" i="15"/>
  <c r="I72" i="15"/>
  <c r="H73" i="15"/>
  <c r="H74" i="15"/>
  <c r="H75" i="15"/>
  <c r="H76" i="15"/>
  <c r="H77" i="15"/>
  <c r="H78" i="15"/>
  <c r="H79" i="15"/>
  <c r="H80" i="15"/>
  <c r="H81" i="15"/>
  <c r="H82" i="15"/>
  <c r="H72" i="15"/>
  <c r="E84" i="15"/>
  <c r="E82" i="15"/>
  <c r="F12" i="15"/>
  <c r="K64" i="15"/>
  <c r="K24" i="15"/>
  <c r="J23" i="15"/>
  <c r="K23" i="15"/>
  <c r="K63" i="15"/>
  <c r="K58" i="15"/>
  <c r="K59" i="15"/>
  <c r="K60" i="15"/>
  <c r="J6" i="15"/>
  <c r="K50" i="15"/>
  <c r="J50" i="15"/>
  <c r="K51" i="15"/>
  <c r="K49" i="15"/>
  <c r="K48" i="15"/>
  <c r="K47" i="15"/>
  <c r="J47" i="15"/>
  <c r="F10" i="15"/>
  <c r="J10" i="15" s="1"/>
  <c r="F11" i="15" s="1"/>
  <c r="G10" i="15"/>
  <c r="I10" i="15"/>
  <c r="E11" i="15"/>
  <c r="G11" i="15"/>
  <c r="H11" i="15"/>
  <c r="D11" i="15"/>
  <c r="D10" i="15"/>
  <c r="K9" i="15"/>
  <c r="J9" i="15"/>
  <c r="K8" i="15"/>
  <c r="J3" i="12"/>
  <c r="I3" i="12"/>
  <c r="H45" i="15"/>
  <c r="K45" i="15" s="1"/>
  <c r="H46" i="15"/>
  <c r="K46" i="15" s="1"/>
  <c r="D46" i="15"/>
  <c r="D45" i="15"/>
  <c r="E28" i="15"/>
  <c r="F28" i="15"/>
  <c r="J28" i="15" s="1"/>
  <c r="G28" i="15"/>
  <c r="E39" i="15"/>
  <c r="F39" i="15"/>
  <c r="J39" i="15" s="1"/>
  <c r="G39" i="15"/>
  <c r="J16" i="15"/>
  <c r="D42" i="15"/>
  <c r="E42" i="15"/>
  <c r="F42" i="15"/>
  <c r="J42" i="15" s="1"/>
  <c r="G42" i="15"/>
  <c r="H42" i="15"/>
  <c r="K42" i="15" s="1"/>
  <c r="D43" i="15"/>
  <c r="E43" i="15"/>
  <c r="F43" i="15"/>
  <c r="J43" i="15" s="1"/>
  <c r="G43" i="15"/>
  <c r="H43" i="15"/>
  <c r="K43" i="15" s="1"/>
  <c r="D44" i="15"/>
  <c r="E44" i="15"/>
  <c r="F44" i="15"/>
  <c r="J44" i="15" s="1"/>
  <c r="G44" i="15"/>
  <c r="H44" i="15"/>
  <c r="K44" i="15" s="1"/>
  <c r="D38" i="15"/>
  <c r="E38" i="15"/>
  <c r="F38" i="15"/>
  <c r="J38" i="15" s="1"/>
  <c r="G38" i="15"/>
  <c r="H38" i="15"/>
  <c r="K38" i="15" s="1"/>
  <c r="D39" i="15"/>
  <c r="H39" i="15"/>
  <c r="K39" i="15" s="1"/>
  <c r="D40" i="15"/>
  <c r="E40" i="15"/>
  <c r="F40" i="15"/>
  <c r="J40" i="15" s="1"/>
  <c r="G40" i="15"/>
  <c r="H40" i="15"/>
  <c r="K40" i="15" s="1"/>
  <c r="D35" i="15"/>
  <c r="E35" i="15"/>
  <c r="G35" i="15"/>
  <c r="H35" i="15"/>
  <c r="K35" i="15" s="1"/>
  <c r="D36" i="15"/>
  <c r="E36" i="15"/>
  <c r="G36" i="15"/>
  <c r="H36" i="15"/>
  <c r="K36" i="15" s="1"/>
  <c r="D31" i="15"/>
  <c r="E31" i="15"/>
  <c r="G31" i="15"/>
  <c r="H31" i="15"/>
  <c r="K31" i="15" s="1"/>
  <c r="D32" i="15"/>
  <c r="E32" i="15"/>
  <c r="G32" i="15"/>
  <c r="H32" i="15"/>
  <c r="K32" i="15" s="1"/>
  <c r="D33" i="15"/>
  <c r="E33" i="15"/>
  <c r="G33" i="15"/>
  <c r="H33" i="15"/>
  <c r="K33" i="15" s="1"/>
  <c r="D34" i="15"/>
  <c r="E34" i="15"/>
  <c r="G34" i="15"/>
  <c r="H34" i="15"/>
  <c r="K34" i="15" s="1"/>
  <c r="D27" i="15"/>
  <c r="E27" i="15"/>
  <c r="F27" i="15"/>
  <c r="J27" i="15" s="1"/>
  <c r="G27" i="15"/>
  <c r="H27" i="15"/>
  <c r="K27" i="15" s="1"/>
  <c r="D28" i="15"/>
  <c r="H28" i="15"/>
  <c r="K28" i="15" s="1"/>
  <c r="D29" i="15"/>
  <c r="E29" i="15"/>
  <c r="J29" i="15"/>
  <c r="G29" i="15"/>
  <c r="H29" i="15"/>
  <c r="K29" i="15" s="1"/>
  <c r="E41" i="15"/>
  <c r="G41" i="15"/>
  <c r="H41" i="15"/>
  <c r="K41" i="15" s="1"/>
  <c r="D41" i="15"/>
  <c r="H37" i="15"/>
  <c r="K37" i="15" s="1"/>
  <c r="E37" i="15"/>
  <c r="F37" i="15"/>
  <c r="J37" i="15" s="1"/>
  <c r="G37" i="15"/>
  <c r="D37" i="15"/>
  <c r="J25" i="15"/>
  <c r="G152" i="19" l="1"/>
  <c r="G157" i="19" s="1"/>
  <c r="K78" i="15"/>
  <c r="K80" i="15"/>
  <c r="K75" i="15"/>
  <c r="K72" i="15"/>
  <c r="K74" i="15"/>
  <c r="K82" i="15"/>
  <c r="K79" i="15"/>
  <c r="U11" i="23"/>
  <c r="U14" i="23" s="1"/>
  <c r="K77" i="15"/>
  <c r="K73" i="15"/>
  <c r="B5" i="19"/>
  <c r="K76" i="15"/>
  <c r="A120" i="21"/>
  <c r="A121" i="21"/>
  <c r="A122" i="21" s="1"/>
  <c r="A123" i="21" s="1"/>
  <c r="B121" i="21"/>
  <c r="B122" i="21" s="1"/>
  <c r="B123" i="21" s="1"/>
  <c r="B127" i="21"/>
  <c r="B128" i="21" s="1"/>
  <c r="B129" i="21" s="1"/>
  <c r="B130" i="21" s="1"/>
  <c r="B131" i="21" s="1"/>
  <c r="H41" i="5"/>
  <c r="G41" i="5"/>
  <c r="H40" i="5"/>
  <c r="G40" i="5"/>
  <c r="H30" i="15"/>
  <c r="K30" i="15" s="1"/>
  <c r="D30" i="15"/>
  <c r="H26" i="15"/>
  <c r="K26" i="15" s="1"/>
  <c r="E26" i="15"/>
  <c r="F26" i="15"/>
  <c r="J26" i="15" s="1"/>
  <c r="G26" i="15"/>
  <c r="D26" i="15"/>
  <c r="E14" i="15"/>
  <c r="G14" i="15"/>
  <c r="H14" i="15"/>
  <c r="D14" i="15"/>
  <c r="G39" i="5"/>
  <c r="H39" i="5"/>
  <c r="J12" i="15" l="1"/>
  <c r="O72" i="21"/>
  <c r="N72" i="21"/>
  <c r="L72" i="21"/>
  <c r="K72" i="21"/>
  <c r="O70" i="21"/>
  <c r="N70" i="21"/>
  <c r="L70" i="21"/>
  <c r="K70" i="21"/>
  <c r="O69" i="21"/>
  <c r="K69" i="21"/>
  <c r="N69" i="21"/>
  <c r="L69" i="21"/>
  <c r="O68" i="21"/>
  <c r="N68" i="21"/>
  <c r="L68" i="21"/>
  <c r="K68" i="21"/>
  <c r="O67" i="21"/>
  <c r="N67" i="21"/>
  <c r="O66" i="21"/>
  <c r="N66" i="21"/>
  <c r="O78" i="21"/>
  <c r="N78" i="21"/>
  <c r="K11" i="21"/>
  <c r="J10" i="21"/>
  <c r="J8" i="21"/>
  <c r="K8" i="21" s="1"/>
  <c r="K33" i="21" s="1"/>
  <c r="I35" i="21"/>
  <c r="J24" i="21"/>
  <c r="J15" i="21"/>
  <c r="K15" i="21" s="1"/>
  <c r="K46" i="21" s="1"/>
  <c r="K47" i="21" s="1"/>
  <c r="I57" i="21" s="1"/>
  <c r="K28" i="21"/>
  <c r="K29" i="21" s="1"/>
  <c r="I60" i="21" s="1"/>
  <c r="K10" i="21"/>
  <c r="K42" i="21" s="1"/>
  <c r="K43" i="21" s="1"/>
  <c r="J9" i="21"/>
  <c r="K9" i="21" s="1"/>
  <c r="K39" i="21" s="1"/>
  <c r="K7" i="21"/>
  <c r="K51" i="21" s="1"/>
  <c r="K52" i="21" s="1"/>
  <c r="K53" i="21" s="1"/>
  <c r="J6" i="21"/>
  <c r="B132" i="21" l="1"/>
  <c r="K22" i="21"/>
  <c r="I58" i="21"/>
  <c r="K35" i="21"/>
  <c r="I61" i="21" s="1"/>
  <c r="D7" i="21" l="1"/>
  <c r="N54" i="22" l="1"/>
  <c r="O54" i="22"/>
  <c r="P54" i="22"/>
  <c r="Q54" i="22"/>
  <c r="R54" i="22"/>
  <c r="S54" i="22"/>
  <c r="T54" i="22"/>
  <c r="U54" i="22"/>
  <c r="V54" i="22"/>
  <c r="W54" i="22"/>
  <c r="N55" i="22"/>
  <c r="O55" i="22"/>
  <c r="P55" i="22"/>
  <c r="Q55" i="22"/>
  <c r="R55" i="22"/>
  <c r="S55" i="22"/>
  <c r="T55" i="22"/>
  <c r="U55" i="22"/>
  <c r="V55" i="22"/>
  <c r="W55" i="22"/>
  <c r="N56" i="22"/>
  <c r="O56" i="22"/>
  <c r="P56" i="22"/>
  <c r="Q56" i="22"/>
  <c r="R56" i="22"/>
  <c r="S56" i="22"/>
  <c r="T56" i="22"/>
  <c r="U56" i="22"/>
  <c r="V56" i="22"/>
  <c r="W56" i="22"/>
  <c r="N57" i="22"/>
  <c r="O57" i="22"/>
  <c r="P57" i="22"/>
  <c r="Q57" i="22"/>
  <c r="R57" i="22"/>
  <c r="S57" i="22"/>
  <c r="T57" i="22"/>
  <c r="U57" i="22"/>
  <c r="V57" i="22"/>
  <c r="W57" i="22"/>
  <c r="N58" i="22"/>
  <c r="O58" i="22"/>
  <c r="P58" i="22"/>
  <c r="Q58" i="22"/>
  <c r="R58" i="22"/>
  <c r="S58" i="22"/>
  <c r="T58" i="22"/>
  <c r="U58" i="22"/>
  <c r="V58" i="22"/>
  <c r="W58" i="22"/>
  <c r="N59" i="22"/>
  <c r="O59" i="22"/>
  <c r="P59" i="22"/>
  <c r="Q59" i="22"/>
  <c r="R59" i="22"/>
  <c r="S59" i="22"/>
  <c r="T59" i="22"/>
  <c r="U59" i="22"/>
  <c r="V59" i="22"/>
  <c r="W59" i="22"/>
  <c r="N60" i="22"/>
  <c r="O60" i="22"/>
  <c r="P60" i="22"/>
  <c r="Q60" i="22"/>
  <c r="R60" i="22"/>
  <c r="S60" i="22"/>
  <c r="T60" i="22"/>
  <c r="U60" i="22"/>
  <c r="V60" i="22"/>
  <c r="W60" i="22"/>
  <c r="N61" i="22"/>
  <c r="O61" i="22"/>
  <c r="P61" i="22"/>
  <c r="Q61" i="22"/>
  <c r="R61" i="22"/>
  <c r="S61" i="22"/>
  <c r="T61" i="22"/>
  <c r="U61" i="22"/>
  <c r="V61" i="22"/>
  <c r="W61" i="22"/>
  <c r="N62" i="22"/>
  <c r="O62" i="22"/>
  <c r="P62" i="22"/>
  <c r="Q62" i="22"/>
  <c r="R62" i="22"/>
  <c r="S62" i="22"/>
  <c r="T62" i="22"/>
  <c r="U62" i="22"/>
  <c r="V62" i="22"/>
  <c r="W62" i="22"/>
  <c r="N63" i="22"/>
  <c r="O63" i="22"/>
  <c r="P63" i="22"/>
  <c r="Q63" i="22"/>
  <c r="R63" i="22"/>
  <c r="S63" i="22"/>
  <c r="T63" i="22"/>
  <c r="U63" i="22"/>
  <c r="V63" i="22"/>
  <c r="W63" i="22"/>
  <c r="N64" i="22"/>
  <c r="O64" i="22"/>
  <c r="P64" i="22"/>
  <c r="Q64" i="22"/>
  <c r="R64" i="22"/>
  <c r="S64" i="22"/>
  <c r="T64" i="22"/>
  <c r="U64" i="22"/>
  <c r="V64" i="22"/>
  <c r="W64" i="22"/>
  <c r="N65" i="22"/>
  <c r="O65" i="22"/>
  <c r="P65" i="22"/>
  <c r="Q65" i="22"/>
  <c r="R65" i="22"/>
  <c r="S65" i="22"/>
  <c r="T65" i="22"/>
  <c r="U65" i="22"/>
  <c r="V65" i="22"/>
  <c r="W65" i="22"/>
  <c r="N66" i="22"/>
  <c r="O66" i="22"/>
  <c r="P66" i="22"/>
  <c r="Q66" i="22"/>
  <c r="R66" i="22"/>
  <c r="S66" i="22"/>
  <c r="T66" i="22"/>
  <c r="U66" i="22"/>
  <c r="V66" i="22"/>
  <c r="W66" i="22"/>
  <c r="N67" i="22"/>
  <c r="O67" i="22"/>
  <c r="P67" i="22"/>
  <c r="Q67" i="22"/>
  <c r="R67" i="22"/>
  <c r="S67" i="22"/>
  <c r="T67" i="22"/>
  <c r="U67" i="22"/>
  <c r="V67" i="22"/>
  <c r="W67" i="22"/>
  <c r="N68" i="22"/>
  <c r="O68" i="22"/>
  <c r="P68" i="22"/>
  <c r="Q68" i="22"/>
  <c r="R68" i="22"/>
  <c r="S68" i="22"/>
  <c r="T68" i="22"/>
  <c r="U68" i="22"/>
  <c r="V68" i="22"/>
  <c r="W68" i="22"/>
  <c r="N69" i="22"/>
  <c r="O69" i="22"/>
  <c r="P69" i="22"/>
  <c r="Q69" i="22"/>
  <c r="R69" i="22"/>
  <c r="S69" i="22"/>
  <c r="T69" i="22"/>
  <c r="U69" i="22"/>
  <c r="V69" i="22"/>
  <c r="W69" i="22"/>
  <c r="N70" i="22"/>
  <c r="O70" i="22"/>
  <c r="P70" i="22"/>
  <c r="Q70" i="22"/>
  <c r="R70" i="22"/>
  <c r="S70" i="22"/>
  <c r="T70" i="22"/>
  <c r="U70" i="22"/>
  <c r="V70" i="22"/>
  <c r="W70" i="22"/>
  <c r="N71" i="22"/>
  <c r="O71" i="22"/>
  <c r="P71" i="22"/>
  <c r="Q71" i="22"/>
  <c r="R71" i="22"/>
  <c r="S71" i="22"/>
  <c r="T71" i="22"/>
  <c r="U71" i="22"/>
  <c r="V71" i="22"/>
  <c r="W71" i="22"/>
  <c r="N72" i="22"/>
  <c r="O72" i="22"/>
  <c r="P72" i="22"/>
  <c r="Q72" i="22"/>
  <c r="R72" i="22"/>
  <c r="S72" i="22"/>
  <c r="T72" i="22"/>
  <c r="U72" i="22"/>
  <c r="V72" i="22"/>
  <c r="W72" i="22"/>
  <c r="N73" i="22"/>
  <c r="O73" i="22"/>
  <c r="P73" i="22"/>
  <c r="Q73" i="22"/>
  <c r="R73" i="22"/>
  <c r="S73" i="22"/>
  <c r="T73" i="22"/>
  <c r="U73" i="22"/>
  <c r="V73" i="22"/>
  <c r="W73" i="22"/>
  <c r="N74" i="22"/>
  <c r="O74" i="22"/>
  <c r="P74" i="22"/>
  <c r="Q74" i="22"/>
  <c r="R74" i="22"/>
  <c r="S74" i="22"/>
  <c r="T74" i="22"/>
  <c r="U74" i="22"/>
  <c r="V74" i="22"/>
  <c r="W74" i="22"/>
  <c r="N75" i="22"/>
  <c r="O75" i="22"/>
  <c r="P75" i="22"/>
  <c r="Q75" i="22"/>
  <c r="R75" i="22"/>
  <c r="S75" i="22"/>
  <c r="T75" i="22"/>
  <c r="U75" i="22"/>
  <c r="V75" i="22"/>
  <c r="W75" i="22"/>
  <c r="N76" i="22"/>
  <c r="O76" i="22"/>
  <c r="P76" i="22"/>
  <c r="Q76" i="22"/>
  <c r="R76" i="22"/>
  <c r="S76" i="22"/>
  <c r="T76" i="22"/>
  <c r="U76" i="22"/>
  <c r="V76" i="22"/>
  <c r="W76" i="22"/>
  <c r="N77" i="22"/>
  <c r="O77" i="22"/>
  <c r="P77" i="22"/>
  <c r="Q77" i="22"/>
  <c r="R77" i="22"/>
  <c r="S77" i="22"/>
  <c r="T77" i="22"/>
  <c r="U77" i="22"/>
  <c r="V77" i="22"/>
  <c r="W77" i="22"/>
  <c r="N78" i="22"/>
  <c r="O78" i="22"/>
  <c r="P78" i="22"/>
  <c r="Q78" i="22"/>
  <c r="R78" i="22"/>
  <c r="S78" i="22"/>
  <c r="T78" i="22"/>
  <c r="U78" i="22"/>
  <c r="V78" i="22"/>
  <c r="W78" i="22"/>
  <c r="N79" i="22"/>
  <c r="O79" i="22"/>
  <c r="P79" i="22"/>
  <c r="Q79" i="22"/>
  <c r="R79" i="22"/>
  <c r="S79" i="22"/>
  <c r="T79" i="22"/>
  <c r="U79" i="22"/>
  <c r="V79" i="22"/>
  <c r="W79" i="22"/>
  <c r="N80" i="22"/>
  <c r="O80" i="22"/>
  <c r="P80" i="22"/>
  <c r="Q80" i="22"/>
  <c r="R80" i="22"/>
  <c r="S80" i="22"/>
  <c r="T80" i="22"/>
  <c r="U80" i="22"/>
  <c r="V80" i="22"/>
  <c r="W80" i="22"/>
  <c r="N81" i="22"/>
  <c r="O81" i="22"/>
  <c r="P81" i="22"/>
  <c r="Q81" i="22"/>
  <c r="R81" i="22"/>
  <c r="S81" i="22"/>
  <c r="T81" i="22"/>
  <c r="U81" i="22"/>
  <c r="V81" i="22"/>
  <c r="W81" i="22"/>
  <c r="N82" i="22"/>
  <c r="O82" i="22"/>
  <c r="P82" i="22"/>
  <c r="Q82" i="22"/>
  <c r="R82" i="22"/>
  <c r="S82" i="22"/>
  <c r="T82" i="22"/>
  <c r="U82" i="22"/>
  <c r="V82" i="22"/>
  <c r="W82" i="22"/>
  <c r="C54" i="22"/>
  <c r="D54" i="22"/>
  <c r="E54" i="22"/>
  <c r="F54" i="22"/>
  <c r="G54" i="22"/>
  <c r="H54" i="22"/>
  <c r="I54" i="22"/>
  <c r="J54" i="22"/>
  <c r="K54" i="22"/>
  <c r="L54" i="22"/>
  <c r="C55" i="22"/>
  <c r="D55" i="22"/>
  <c r="E55" i="22"/>
  <c r="F55" i="22"/>
  <c r="G55" i="22"/>
  <c r="H55" i="22"/>
  <c r="I55" i="22"/>
  <c r="J55" i="22"/>
  <c r="K55" i="22"/>
  <c r="L55" i="22"/>
  <c r="C56" i="22"/>
  <c r="D56" i="22"/>
  <c r="E56" i="22"/>
  <c r="F56" i="22"/>
  <c r="G56" i="22"/>
  <c r="H56" i="22"/>
  <c r="I56" i="22"/>
  <c r="J56" i="22"/>
  <c r="K56" i="22"/>
  <c r="L56" i="22"/>
  <c r="C57" i="22"/>
  <c r="D57" i="22"/>
  <c r="E57" i="22"/>
  <c r="F57" i="22"/>
  <c r="G57" i="22"/>
  <c r="H57" i="22"/>
  <c r="I57" i="22"/>
  <c r="J57" i="22"/>
  <c r="K57" i="22"/>
  <c r="L57" i="22"/>
  <c r="C58" i="22"/>
  <c r="D58" i="22"/>
  <c r="E58" i="22"/>
  <c r="F58" i="22"/>
  <c r="G58" i="22"/>
  <c r="H58" i="22"/>
  <c r="I58" i="22"/>
  <c r="J58" i="22"/>
  <c r="K58" i="22"/>
  <c r="L58" i="22"/>
  <c r="C59" i="22"/>
  <c r="D59" i="22"/>
  <c r="E59" i="22"/>
  <c r="F59" i="22"/>
  <c r="G59" i="22"/>
  <c r="H59" i="22"/>
  <c r="I59" i="22"/>
  <c r="J59" i="22"/>
  <c r="K59" i="22"/>
  <c r="L59" i="22"/>
  <c r="C60" i="22"/>
  <c r="D60" i="22"/>
  <c r="E60" i="22"/>
  <c r="F60" i="22"/>
  <c r="G60" i="22"/>
  <c r="H60" i="22"/>
  <c r="I60" i="22"/>
  <c r="J60" i="22"/>
  <c r="K60" i="22"/>
  <c r="L60" i="22"/>
  <c r="C61" i="22"/>
  <c r="D61" i="22"/>
  <c r="E61" i="22"/>
  <c r="F61" i="22"/>
  <c r="G61" i="22"/>
  <c r="H61" i="22"/>
  <c r="I61" i="22"/>
  <c r="J61" i="22"/>
  <c r="K61" i="22"/>
  <c r="L61" i="22"/>
  <c r="C62" i="22"/>
  <c r="D62" i="22"/>
  <c r="E62" i="22"/>
  <c r="F62" i="22"/>
  <c r="G62" i="22"/>
  <c r="H62" i="22"/>
  <c r="I62" i="22"/>
  <c r="J62" i="22"/>
  <c r="K62" i="22"/>
  <c r="L62" i="22"/>
  <c r="C63" i="22"/>
  <c r="D63" i="22"/>
  <c r="E63" i="22"/>
  <c r="F63" i="22"/>
  <c r="G63" i="22"/>
  <c r="H63" i="22"/>
  <c r="I63" i="22"/>
  <c r="J63" i="22"/>
  <c r="K63" i="22"/>
  <c r="L63" i="22"/>
  <c r="C64" i="22"/>
  <c r="D64" i="22"/>
  <c r="E64" i="22"/>
  <c r="F64" i="22"/>
  <c r="G64" i="22"/>
  <c r="H64" i="22"/>
  <c r="I64" i="22"/>
  <c r="J64" i="22"/>
  <c r="K64" i="22"/>
  <c r="L64" i="22"/>
  <c r="C65" i="22"/>
  <c r="D65" i="22"/>
  <c r="E65" i="22"/>
  <c r="F65" i="22"/>
  <c r="G65" i="22"/>
  <c r="H65" i="22"/>
  <c r="I65" i="22"/>
  <c r="J65" i="22"/>
  <c r="K65" i="22"/>
  <c r="L65" i="22"/>
  <c r="C66" i="22"/>
  <c r="D66" i="22"/>
  <c r="E66" i="22"/>
  <c r="F66" i="22"/>
  <c r="G66" i="22"/>
  <c r="H66" i="22"/>
  <c r="I66" i="22"/>
  <c r="J66" i="22"/>
  <c r="K66" i="22"/>
  <c r="L66" i="22"/>
  <c r="C67" i="22"/>
  <c r="D67" i="22"/>
  <c r="E67" i="22"/>
  <c r="F67" i="22"/>
  <c r="G67" i="22"/>
  <c r="H67" i="22"/>
  <c r="I67" i="22"/>
  <c r="J67" i="22"/>
  <c r="K67" i="22"/>
  <c r="L67" i="22"/>
  <c r="C68" i="22"/>
  <c r="D68" i="22"/>
  <c r="E68" i="22"/>
  <c r="F68" i="22"/>
  <c r="G68" i="22"/>
  <c r="H68" i="22"/>
  <c r="I68" i="22"/>
  <c r="J68" i="22"/>
  <c r="K68" i="22"/>
  <c r="L68" i="22"/>
  <c r="C69" i="22"/>
  <c r="D69" i="22"/>
  <c r="E69" i="22"/>
  <c r="F69" i="22"/>
  <c r="G69" i="22"/>
  <c r="H69" i="22"/>
  <c r="I69" i="22"/>
  <c r="J69" i="22"/>
  <c r="K69" i="22"/>
  <c r="L69" i="22"/>
  <c r="C70" i="22"/>
  <c r="D70" i="22"/>
  <c r="E70" i="22"/>
  <c r="F70" i="22"/>
  <c r="G70" i="22"/>
  <c r="H70" i="22"/>
  <c r="I70" i="22"/>
  <c r="J70" i="22"/>
  <c r="K70" i="22"/>
  <c r="L70" i="22"/>
  <c r="C71" i="22"/>
  <c r="D71" i="22"/>
  <c r="E71" i="22"/>
  <c r="F71" i="22"/>
  <c r="G71" i="22"/>
  <c r="H71" i="22"/>
  <c r="I71" i="22"/>
  <c r="J71" i="22"/>
  <c r="K71" i="22"/>
  <c r="L71" i="22"/>
  <c r="C72" i="22"/>
  <c r="D72" i="22"/>
  <c r="E72" i="22"/>
  <c r="F72" i="22"/>
  <c r="G72" i="22"/>
  <c r="H72" i="22"/>
  <c r="I72" i="22"/>
  <c r="J72" i="22"/>
  <c r="K72" i="22"/>
  <c r="L72" i="22"/>
  <c r="C73" i="22"/>
  <c r="D73" i="22"/>
  <c r="E73" i="22"/>
  <c r="F73" i="22"/>
  <c r="G73" i="22"/>
  <c r="H73" i="22"/>
  <c r="I73" i="22"/>
  <c r="J73" i="22"/>
  <c r="K73" i="22"/>
  <c r="L73" i="22"/>
  <c r="C74" i="22"/>
  <c r="D74" i="22"/>
  <c r="E74" i="22"/>
  <c r="F74" i="22"/>
  <c r="G74" i="22"/>
  <c r="H74" i="22"/>
  <c r="I74" i="22"/>
  <c r="J74" i="22"/>
  <c r="K74" i="22"/>
  <c r="L74" i="22"/>
  <c r="C75" i="22"/>
  <c r="D75" i="22"/>
  <c r="E75" i="22"/>
  <c r="F75" i="22"/>
  <c r="G75" i="22"/>
  <c r="H75" i="22"/>
  <c r="I75" i="22"/>
  <c r="J75" i="22"/>
  <c r="K75" i="22"/>
  <c r="L75" i="22"/>
  <c r="C76" i="22"/>
  <c r="D76" i="22"/>
  <c r="E76" i="22"/>
  <c r="F76" i="22"/>
  <c r="G76" i="22"/>
  <c r="H76" i="22"/>
  <c r="I76" i="22"/>
  <c r="J76" i="22"/>
  <c r="K76" i="22"/>
  <c r="L76" i="22"/>
  <c r="C77" i="22"/>
  <c r="D77" i="22"/>
  <c r="E77" i="22"/>
  <c r="F77" i="22"/>
  <c r="G77" i="22"/>
  <c r="H77" i="22"/>
  <c r="I77" i="22"/>
  <c r="J77" i="22"/>
  <c r="K77" i="22"/>
  <c r="L77" i="22"/>
  <c r="C78" i="22"/>
  <c r="D78" i="22"/>
  <c r="E78" i="22"/>
  <c r="F78" i="22"/>
  <c r="G78" i="22"/>
  <c r="H78" i="22"/>
  <c r="I78" i="22"/>
  <c r="J78" i="22"/>
  <c r="K78" i="22"/>
  <c r="L78" i="22"/>
  <c r="C79" i="22"/>
  <c r="D79" i="22"/>
  <c r="E79" i="22"/>
  <c r="F79" i="22"/>
  <c r="G79" i="22"/>
  <c r="H79" i="22"/>
  <c r="I79" i="22"/>
  <c r="J79" i="22"/>
  <c r="K79" i="22"/>
  <c r="L79" i="22"/>
  <c r="C80" i="22"/>
  <c r="D80" i="22"/>
  <c r="E80" i="22"/>
  <c r="F80" i="22"/>
  <c r="G80" i="22"/>
  <c r="H80" i="22"/>
  <c r="I80" i="22"/>
  <c r="J80" i="22"/>
  <c r="K80" i="22"/>
  <c r="L80" i="22"/>
  <c r="C81" i="22"/>
  <c r="D81" i="22"/>
  <c r="E81" i="22"/>
  <c r="F81" i="22"/>
  <c r="G81" i="22"/>
  <c r="H81" i="22"/>
  <c r="I81" i="22"/>
  <c r="J81" i="22"/>
  <c r="K81" i="22"/>
  <c r="L81" i="22"/>
  <c r="C82" i="22"/>
  <c r="D82" i="22"/>
  <c r="E82" i="22"/>
  <c r="F82" i="22"/>
  <c r="G82" i="22"/>
  <c r="H82" i="22"/>
  <c r="I82" i="22"/>
  <c r="J82" i="22"/>
  <c r="K82" i="22"/>
  <c r="L82" i="22"/>
  <c r="K41" i="6"/>
  <c r="K40" i="6"/>
  <c r="K104" i="6"/>
  <c r="K103" i="6"/>
  <c r="K102" i="6"/>
  <c r="K45" i="6"/>
  <c r="K46" i="6"/>
  <c r="K47" i="6"/>
  <c r="B444" i="2" s="1"/>
  <c r="K90" i="6"/>
  <c r="K76" i="6"/>
  <c r="K73" i="6"/>
  <c r="K70" i="6"/>
  <c r="K63" i="6"/>
  <c r="K62" i="6"/>
  <c r="K61" i="6"/>
  <c r="K60" i="6"/>
  <c r="K58" i="6"/>
  <c r="K57" i="6"/>
  <c r="K56" i="6"/>
  <c r="K55" i="6"/>
  <c r="K53" i="6"/>
  <c r="K49" i="6"/>
  <c r="K48" i="6"/>
  <c r="G147" i="19"/>
  <c r="G146" i="19"/>
  <c r="G145" i="19"/>
  <c r="G144" i="19"/>
  <c r="K20" i="6"/>
  <c r="K19" i="6"/>
  <c r="K15" i="6"/>
  <c r="K12" i="6"/>
  <c r="J11" i="15" l="1"/>
  <c r="C8" i="26"/>
  <c r="Q118" i="16"/>
  <c r="C10" i="17"/>
  <c r="E10" i="17" s="1"/>
  <c r="J10" i="17" s="1"/>
  <c r="K10" i="17" s="1"/>
  <c r="G153" i="19"/>
  <c r="G154" i="19"/>
  <c r="D5" i="19"/>
  <c r="G143" i="19"/>
  <c r="Y123" i="16"/>
  <c r="Y121" i="16" l="1"/>
  <c r="Y58" i="16"/>
  <c r="Y125" i="16"/>
  <c r="Y64" i="16"/>
  <c r="Y129" i="16"/>
  <c r="Y70" i="16"/>
  <c r="Y122" i="16"/>
  <c r="Y66" i="16"/>
  <c r="Y126" i="16"/>
  <c r="Y67" i="16"/>
  <c r="Y130" i="16"/>
  <c r="Y72" i="16"/>
  <c r="Y127" i="16"/>
  <c r="Y68" i="16"/>
  <c r="Y131" i="16"/>
  <c r="Y69" i="16"/>
  <c r="Y120" i="16"/>
  <c r="Y57" i="16"/>
  <c r="Y124" i="16"/>
  <c r="Y59" i="16"/>
  <c r="Y128" i="16"/>
  <c r="Y62" i="16"/>
  <c r="Y132" i="16"/>
  <c r="Y63" i="16"/>
  <c r="W126" i="16"/>
  <c r="B92" i="16"/>
  <c r="G38" i="5"/>
  <c r="H38" i="5"/>
  <c r="D38" i="5"/>
  <c r="G73" i="16"/>
  <c r="G74" i="16" s="1"/>
  <c r="D76" i="16"/>
  <c r="D77" i="16" s="1"/>
  <c r="D78" i="16" s="1"/>
  <c r="D80" i="16"/>
  <c r="M54" i="16" l="1"/>
  <c r="Y53" i="16" s="1"/>
  <c r="M52" i="16"/>
  <c r="Y52" i="16" s="1"/>
  <c r="G37" i="5"/>
  <c r="H37" i="5"/>
  <c r="C53" i="22"/>
  <c r="C29" i="16"/>
  <c r="C44" i="16"/>
  <c r="B44" i="16"/>
  <c r="B43" i="16"/>
  <c r="B40" i="16"/>
  <c r="B39" i="16"/>
  <c r="B38" i="16"/>
  <c r="B37" i="16"/>
  <c r="B36" i="16"/>
  <c r="B34" i="16"/>
  <c r="B30" i="16"/>
  <c r="G94" i="6"/>
  <c r="C23" i="26" s="1"/>
  <c r="Y117" i="16" l="1"/>
  <c r="Y81" i="16"/>
  <c r="Y118" i="16"/>
  <c r="Y82" i="16"/>
  <c r="Y119" i="16"/>
  <c r="Y116" i="16"/>
  <c r="Y80" i="16"/>
  <c r="K94" i="6"/>
  <c r="C37" i="16"/>
  <c r="K51" i="6"/>
  <c r="K52" i="6"/>
  <c r="G159" i="19" l="1"/>
  <c r="G160" i="19" s="1"/>
  <c r="F31" i="15"/>
  <c r="J31" i="15" s="1"/>
  <c r="K81" i="6"/>
  <c r="F14" i="15"/>
  <c r="E73" i="15" s="1"/>
  <c r="E74" i="15" s="1"/>
  <c r="E75" i="15" s="1"/>
  <c r="E76" i="15" s="1"/>
  <c r="E77" i="15" s="1"/>
  <c r="K50" i="6"/>
  <c r="B364" i="2" s="1"/>
  <c r="B365" i="2" s="1"/>
  <c r="K29" i="6"/>
  <c r="C11" i="26" s="1"/>
  <c r="F34" i="15"/>
  <c r="J34" i="15" s="1"/>
  <c r="K86" i="6"/>
  <c r="F30" i="15"/>
  <c r="J30" i="15" s="1"/>
  <c r="K80" i="6"/>
  <c r="F36" i="15"/>
  <c r="J36" i="15" s="1"/>
  <c r="K88" i="6"/>
  <c r="F32" i="15"/>
  <c r="J32" i="15" s="1"/>
  <c r="K82" i="6"/>
  <c r="F35" i="15"/>
  <c r="J35" i="15" s="1"/>
  <c r="K87" i="6"/>
  <c r="F33" i="15"/>
  <c r="J33" i="15" s="1"/>
  <c r="K83" i="6"/>
  <c r="H370" i="19" l="1"/>
  <c r="H371" i="19"/>
  <c r="B366" i="2"/>
  <c r="G27" i="6" s="1"/>
  <c r="C84" i="26" s="1"/>
  <c r="B367" i="2"/>
  <c r="G26" i="6" s="1"/>
  <c r="C83" i="26" s="1"/>
  <c r="B368" i="2"/>
  <c r="G28" i="6" s="1"/>
  <c r="C85" i="26" s="1"/>
  <c r="C116" i="22"/>
  <c r="K116" i="22"/>
  <c r="C110" i="22"/>
  <c r="G110" i="22"/>
  <c r="K110" i="22"/>
  <c r="E111" i="22"/>
  <c r="I111" i="22"/>
  <c r="C112" i="22"/>
  <c r="G112" i="22"/>
  <c r="E113" i="22"/>
  <c r="I113" i="22"/>
  <c r="C114" i="22"/>
  <c r="E115" i="22"/>
  <c r="I115" i="22"/>
  <c r="L40" i="6"/>
  <c r="J13" i="12"/>
  <c r="I13" i="12"/>
  <c r="I12" i="12"/>
  <c r="J12" i="12"/>
  <c r="K28" i="6" l="1"/>
  <c r="F28" i="6"/>
  <c r="K26" i="6"/>
  <c r="F26" i="6"/>
  <c r="K27" i="6"/>
  <c r="F27" i="6"/>
  <c r="F116" i="22"/>
  <c r="G114" i="22"/>
  <c r="G116" i="22"/>
  <c r="E116" i="22"/>
  <c r="L114" i="22"/>
  <c r="F115" i="22"/>
  <c r="F113" i="22"/>
  <c r="F111" i="22"/>
  <c r="D114" i="22"/>
  <c r="D112" i="22"/>
  <c r="D110" i="22"/>
  <c r="D116" i="22"/>
  <c r="K115" i="22"/>
  <c r="K113" i="22"/>
  <c r="L112" i="22"/>
  <c r="I114" i="22"/>
  <c r="I112" i="22"/>
  <c r="I110" i="22"/>
  <c r="C115" i="22"/>
  <c r="C113" i="22"/>
  <c r="C111" i="22"/>
  <c r="G113" i="22"/>
  <c r="G111" i="22"/>
  <c r="E114" i="22"/>
  <c r="E112" i="22"/>
  <c r="E110" i="22"/>
  <c r="K112" i="22"/>
  <c r="K114" i="22"/>
  <c r="J114" i="22"/>
  <c r="J112" i="22"/>
  <c r="J110" i="22"/>
  <c r="J115" i="22"/>
  <c r="J113" i="22"/>
  <c r="J111" i="22"/>
  <c r="H115" i="22"/>
  <c r="H113" i="22"/>
  <c r="H111" i="22"/>
  <c r="L115" i="22"/>
  <c r="L113" i="22"/>
  <c r="L111" i="22"/>
  <c r="J116" i="22"/>
  <c r="H116" i="22"/>
  <c r="H114" i="22"/>
  <c r="H112" i="22"/>
  <c r="H110" i="22"/>
  <c r="L116" i="22"/>
  <c r="L110" i="22"/>
  <c r="K111" i="22"/>
  <c r="I116" i="22"/>
  <c r="G115" i="22"/>
  <c r="F114" i="22"/>
  <c r="F112" i="22"/>
  <c r="F110" i="22"/>
  <c r="D115" i="22"/>
  <c r="D113" i="22"/>
  <c r="D111" i="22"/>
  <c r="E11" i="12"/>
  <c r="L41" i="6"/>
  <c r="C128" i="19"/>
  <c r="B128" i="19"/>
  <c r="F122" i="19" s="1"/>
  <c r="F123" i="19" l="1"/>
  <c r="F120" i="19"/>
  <c r="F127" i="19"/>
  <c r="F121" i="19"/>
  <c r="F125" i="19"/>
  <c r="F124" i="19"/>
  <c r="H124" i="19"/>
  <c r="H128" i="19"/>
  <c r="H125" i="19"/>
  <c r="H126" i="19"/>
  <c r="H123" i="19"/>
  <c r="H121" i="19"/>
  <c r="H120" i="19"/>
  <c r="H122" i="19"/>
  <c r="H127" i="19"/>
  <c r="F126" i="19"/>
  <c r="L42" i="6"/>
  <c r="L116" i="6"/>
  <c r="F128" i="19" l="1"/>
  <c r="F51" i="19"/>
  <c r="C83" i="21"/>
  <c r="C84" i="21" s="1"/>
  <c r="C79" i="21"/>
  <c r="G46" i="15"/>
  <c r="E46" i="15"/>
  <c r="C100" i="13"/>
  <c r="J11" i="12"/>
  <c r="I11" i="12"/>
  <c r="G45" i="15"/>
  <c r="C11" i="13"/>
  <c r="C10" i="13"/>
  <c r="C9" i="13"/>
  <c r="F46" i="15" l="1"/>
  <c r="J46" i="15" s="1"/>
  <c r="F45" i="15"/>
  <c r="J45" i="15" s="1"/>
  <c r="K111" i="6"/>
  <c r="C42" i="16"/>
  <c r="G136" i="19"/>
  <c r="B131" i="19"/>
  <c r="W53" i="22"/>
  <c r="V53" i="22"/>
  <c r="U53" i="22"/>
  <c r="T53" i="22"/>
  <c r="S53" i="22"/>
  <c r="R53" i="22"/>
  <c r="Q53" i="22"/>
  <c r="P53" i="22"/>
  <c r="O53" i="22"/>
  <c r="N53" i="22"/>
  <c r="L53" i="22"/>
  <c r="K53" i="22"/>
  <c r="J53" i="22"/>
  <c r="I53" i="22"/>
  <c r="H53" i="22"/>
  <c r="G53" i="22"/>
  <c r="F53" i="22"/>
  <c r="E53" i="22"/>
  <c r="D53" i="22"/>
  <c r="G88" i="22" l="1"/>
  <c r="H88" i="22"/>
  <c r="I88" i="22"/>
  <c r="K88" i="22"/>
  <c r="L88" i="22"/>
  <c r="F89" i="22"/>
  <c r="G89" i="22"/>
  <c r="I89" i="22"/>
  <c r="J89" i="22"/>
  <c r="K89" i="22"/>
  <c r="G90" i="22"/>
  <c r="H90" i="22"/>
  <c r="I90" i="22"/>
  <c r="K90" i="22"/>
  <c r="L90" i="22"/>
  <c r="F91" i="22"/>
  <c r="G91" i="22"/>
  <c r="H91" i="22"/>
  <c r="I91" i="22"/>
  <c r="J91" i="22"/>
  <c r="K91" i="22"/>
  <c r="L91" i="22"/>
  <c r="G92" i="22"/>
  <c r="H92" i="22"/>
  <c r="I92" i="22"/>
  <c r="K92" i="22"/>
  <c r="L92" i="22"/>
  <c r="F93" i="22"/>
  <c r="G93" i="22"/>
  <c r="I93" i="22"/>
  <c r="J93" i="22"/>
  <c r="K93" i="22"/>
  <c r="G94" i="22"/>
  <c r="H94" i="22"/>
  <c r="I94" i="22"/>
  <c r="K94" i="22"/>
  <c r="L94" i="22"/>
  <c r="F95" i="22"/>
  <c r="G95" i="22"/>
  <c r="H95" i="22"/>
  <c r="I95" i="22"/>
  <c r="J95" i="22"/>
  <c r="K95" i="22"/>
  <c r="L95" i="22"/>
  <c r="G96" i="22"/>
  <c r="H96" i="22"/>
  <c r="I96" i="22"/>
  <c r="K96" i="22"/>
  <c r="L96" i="22"/>
  <c r="F97" i="22"/>
  <c r="G97" i="22"/>
  <c r="I97" i="22"/>
  <c r="J97" i="22"/>
  <c r="K97" i="22"/>
  <c r="G98" i="22"/>
  <c r="H98" i="22"/>
  <c r="I98" i="22"/>
  <c r="K98" i="22"/>
  <c r="L98" i="22"/>
  <c r="F99" i="22"/>
  <c r="G99" i="22"/>
  <c r="H99" i="22"/>
  <c r="I99" i="22"/>
  <c r="J99" i="22"/>
  <c r="K99" i="22"/>
  <c r="L99" i="22"/>
  <c r="G100" i="22"/>
  <c r="H100" i="22"/>
  <c r="I100" i="22"/>
  <c r="K100" i="22"/>
  <c r="L100" i="22"/>
  <c r="F101" i="22"/>
  <c r="G101" i="22"/>
  <c r="I101" i="22"/>
  <c r="J101" i="22"/>
  <c r="K101" i="22"/>
  <c r="G102" i="22"/>
  <c r="H102" i="22"/>
  <c r="I102" i="22"/>
  <c r="K102" i="22"/>
  <c r="L102" i="22"/>
  <c r="F103" i="22"/>
  <c r="G103" i="22"/>
  <c r="H103" i="22"/>
  <c r="I103" i="22"/>
  <c r="J103" i="22"/>
  <c r="K103" i="22"/>
  <c r="L103" i="22"/>
  <c r="G104" i="22"/>
  <c r="H104" i="22"/>
  <c r="I104" i="22"/>
  <c r="K104" i="22"/>
  <c r="L104" i="22"/>
  <c r="F105" i="22"/>
  <c r="G105" i="22"/>
  <c r="I105" i="22"/>
  <c r="J105" i="22"/>
  <c r="K105" i="22"/>
  <c r="G106" i="22"/>
  <c r="H106" i="22"/>
  <c r="I106" i="22"/>
  <c r="K106" i="22"/>
  <c r="L106" i="22"/>
  <c r="F107" i="22"/>
  <c r="G107" i="22"/>
  <c r="H107" i="22"/>
  <c r="I107" i="22"/>
  <c r="J107" i="22"/>
  <c r="K107" i="22"/>
  <c r="L107" i="22"/>
  <c r="G108" i="22"/>
  <c r="H108" i="22"/>
  <c r="I108" i="22"/>
  <c r="K108" i="22"/>
  <c r="L108" i="22"/>
  <c r="F109" i="22"/>
  <c r="G109" i="22"/>
  <c r="I109" i="22"/>
  <c r="J109" i="22"/>
  <c r="K109" i="22"/>
  <c r="J87" i="22"/>
  <c r="I87" i="22"/>
  <c r="F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87" i="22"/>
  <c r="D88" i="22"/>
  <c r="D89" i="22"/>
  <c r="D90" i="22"/>
  <c r="D92" i="22"/>
  <c r="D93" i="22"/>
  <c r="D94" i="22"/>
  <c r="D96" i="22"/>
  <c r="D97" i="22"/>
  <c r="D98" i="22"/>
  <c r="D100" i="22"/>
  <c r="D101" i="22"/>
  <c r="D102" i="22"/>
  <c r="D104" i="22"/>
  <c r="D105" i="22"/>
  <c r="D106" i="22"/>
  <c r="D108" i="22"/>
  <c r="D109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87" i="22"/>
  <c r="F53" i="19"/>
  <c r="F52" i="19"/>
  <c r="A68" i="7"/>
  <c r="L26" i="6"/>
  <c r="L21" i="6"/>
  <c r="D52" i="21"/>
  <c r="D53" i="21" s="1"/>
  <c r="D51" i="21"/>
  <c r="D15" i="21"/>
  <c r="D46" i="21" s="1"/>
  <c r="D47" i="21" s="1"/>
  <c r="B57" i="21" s="1"/>
  <c r="G21" i="6" s="1"/>
  <c r="F21" i="6" s="1"/>
  <c r="K21" i="6" l="1"/>
  <c r="C3" i="17" s="1"/>
  <c r="E3" i="17" s="1"/>
  <c r="J3" i="17" s="1"/>
  <c r="K3" i="17" s="1"/>
  <c r="F20" i="15"/>
  <c r="C31" i="16"/>
  <c r="F55" i="19"/>
  <c r="F54" i="19"/>
  <c r="C102" i="13"/>
  <c r="C99" i="13"/>
  <c r="J106" i="22"/>
  <c r="F106" i="22"/>
  <c r="J102" i="22"/>
  <c r="F102" i="22"/>
  <c r="J98" i="22"/>
  <c r="F98" i="22"/>
  <c r="J94" i="22"/>
  <c r="F94" i="22"/>
  <c r="J90" i="22"/>
  <c r="F90" i="22"/>
  <c r="D107" i="22"/>
  <c r="D103" i="22"/>
  <c r="D99" i="22"/>
  <c r="D95" i="22"/>
  <c r="D91" i="22"/>
  <c r="G87" i="22"/>
  <c r="K87" i="22"/>
  <c r="L109" i="22"/>
  <c r="H109" i="22"/>
  <c r="L105" i="22"/>
  <c r="H105" i="22"/>
  <c r="L101" i="22"/>
  <c r="H101" i="22"/>
  <c r="L97" i="22"/>
  <c r="H97" i="22"/>
  <c r="L93" i="22"/>
  <c r="H93" i="22"/>
  <c r="L89" i="22"/>
  <c r="H89" i="22"/>
  <c r="D87" i="22"/>
  <c r="H87" i="22"/>
  <c r="L87" i="22"/>
  <c r="J108" i="22"/>
  <c r="F108" i="22"/>
  <c r="J104" i="22"/>
  <c r="F104" i="22"/>
  <c r="J100" i="22"/>
  <c r="F100" i="22"/>
  <c r="J96" i="22"/>
  <c r="F96" i="22"/>
  <c r="J92" i="22"/>
  <c r="F92" i="22"/>
  <c r="J88" i="22"/>
  <c r="F88" i="22"/>
  <c r="J20" i="15" l="1"/>
  <c r="B35" i="21"/>
  <c r="D9" i="21"/>
  <c r="D39" i="21" s="1"/>
  <c r="D10" i="21"/>
  <c r="D42" i="21" s="1"/>
  <c r="D43" i="21" s="1"/>
  <c r="B58" i="21" s="1"/>
  <c r="D8" i="21"/>
  <c r="D33" i="21" s="1"/>
  <c r="D12" i="21"/>
  <c r="D28" i="21" s="1"/>
  <c r="D29" i="21" s="1"/>
  <c r="B60" i="21" s="1"/>
  <c r="F65" i="15" s="1"/>
  <c r="C24" i="21"/>
  <c r="F66" i="15" l="1"/>
  <c r="J65" i="15"/>
  <c r="C34" i="16"/>
  <c r="K23" i="21"/>
  <c r="K24" i="21" s="1"/>
  <c r="I59" i="21" s="1"/>
  <c r="C35" i="16"/>
  <c r="D35" i="21"/>
  <c r="B61" i="21" s="1"/>
  <c r="D20" i="21"/>
  <c r="D23" i="21"/>
  <c r="D21" i="21"/>
  <c r="D22" i="21"/>
  <c r="F21" i="15" l="1"/>
  <c r="J66" i="15"/>
  <c r="D24" i="21"/>
  <c r="B59" i="21" s="1"/>
  <c r="C32" i="16"/>
  <c r="L109" i="6"/>
  <c r="K108" i="6"/>
  <c r="J160" i="17"/>
  <c r="G36" i="5"/>
  <c r="H36" i="5"/>
  <c r="D36" i="5"/>
  <c r="G107" i="6"/>
  <c r="K107" i="6" s="1"/>
  <c r="L96" i="6"/>
  <c r="E190" i="17"/>
  <c r="E156" i="17" s="1"/>
  <c r="E160" i="17" s="1"/>
  <c r="G96" i="6" s="1"/>
  <c r="K96" i="6" s="1"/>
  <c r="J21" i="15" l="1"/>
  <c r="C220" i="2"/>
  <c r="B220" i="2"/>
  <c r="H35" i="5"/>
  <c r="L104" i="6" l="1"/>
  <c r="C174" i="2"/>
  <c r="C173" i="2"/>
  <c r="L103" i="6"/>
  <c r="L102" i="6"/>
  <c r="J10" i="12"/>
  <c r="I10" i="12"/>
  <c r="L45" i="6"/>
  <c r="L101" i="6"/>
  <c r="L46" i="6" l="1"/>
  <c r="A52" i="19"/>
  <c r="A68" i="19" l="1"/>
  <c r="L98" i="6"/>
  <c r="L99" i="6"/>
  <c r="L100" i="6"/>
  <c r="L97" i="6"/>
  <c r="AA100" i="13"/>
  <c r="AA101" i="13"/>
  <c r="AA102" i="13"/>
  <c r="AB102" i="13" s="1"/>
  <c r="G100" i="6" s="1"/>
  <c r="C29" i="26" s="1"/>
  <c r="AA99" i="13"/>
  <c r="Z100" i="13"/>
  <c r="Z102" i="13"/>
  <c r="Z101" i="13"/>
  <c r="Z99" i="13"/>
  <c r="I9" i="12"/>
  <c r="E9" i="12"/>
  <c r="K100" i="6" l="1"/>
  <c r="F51" i="15"/>
  <c r="J51" i="15" s="1"/>
  <c r="AB100" i="13"/>
  <c r="G98" i="6" s="1"/>
  <c r="C27" i="26" s="1"/>
  <c r="AB101" i="13"/>
  <c r="G99" i="6" s="1"/>
  <c r="AB99" i="13"/>
  <c r="G97" i="6" s="1"/>
  <c r="C26" i="26" s="1"/>
  <c r="J52" i="19"/>
  <c r="K99" i="6" l="1"/>
  <c r="C28" i="26"/>
  <c r="K98" i="6"/>
  <c r="F49" i="15"/>
  <c r="J49" i="15" s="1"/>
  <c r="K97" i="6"/>
  <c r="F48" i="15"/>
  <c r="J48" i="15" s="1"/>
  <c r="I60" i="19"/>
  <c r="M54" i="19"/>
  <c r="P85" i="13" l="1"/>
  <c r="P89" i="13" s="1"/>
  <c r="P93" i="13" s="1"/>
  <c r="P86" i="13"/>
  <c r="P90" i="13" s="1"/>
  <c r="P94" i="13" s="1"/>
  <c r="P87" i="13"/>
  <c r="P91" i="13" s="1"/>
  <c r="P95" i="13" s="1"/>
  <c r="P84" i="13"/>
  <c r="Q84" i="13" s="1"/>
  <c r="Q85" i="13" l="1"/>
  <c r="S84" i="13"/>
  <c r="P88" i="13"/>
  <c r="P92" i="13" s="1"/>
  <c r="L63" i="6"/>
  <c r="L58" i="6"/>
  <c r="S85" i="13" l="1"/>
  <c r="Q86" i="13"/>
  <c r="AE17" i="13"/>
  <c r="AE18" i="13" s="1"/>
  <c r="Q87" i="13" l="1"/>
  <c r="S86" i="13"/>
  <c r="C30" i="18"/>
  <c r="C17" i="18" s="1"/>
  <c r="D30" i="18"/>
  <c r="D17" i="18" s="1"/>
  <c r="E30" i="18"/>
  <c r="E17" i="18" s="1"/>
  <c r="F30" i="18"/>
  <c r="F17" i="18" s="1"/>
  <c r="C31" i="18"/>
  <c r="D31" i="18"/>
  <c r="E31" i="18"/>
  <c r="F31" i="18"/>
  <c r="B31" i="18"/>
  <c r="B30" i="18"/>
  <c r="B17" i="18" s="1"/>
  <c r="C8" i="18"/>
  <c r="C4" i="18"/>
  <c r="D8" i="18" s="1"/>
  <c r="Q88" i="13" l="1"/>
  <c r="S87" i="13"/>
  <c r="H34" i="5"/>
  <c r="D34" i="5"/>
  <c r="G34" i="5" s="1"/>
  <c r="C66" i="19" s="1"/>
  <c r="H33" i="5"/>
  <c r="G33" i="5"/>
  <c r="Q89" i="13" l="1"/>
  <c r="S88" i="13"/>
  <c r="L16" i="6"/>
  <c r="F113" i="2"/>
  <c r="F114" i="2" s="1"/>
  <c r="F162" i="2" l="1"/>
  <c r="Q90" i="13"/>
  <c r="S89" i="13"/>
  <c r="D43" i="19"/>
  <c r="E43" i="19" s="1"/>
  <c r="F43" i="19" s="1"/>
  <c r="G43" i="19" s="1"/>
  <c r="D42" i="19"/>
  <c r="E42" i="19" s="1"/>
  <c r="F42" i="19" s="1"/>
  <c r="G42" i="19" s="1"/>
  <c r="D40" i="19"/>
  <c r="E40" i="19" s="1"/>
  <c r="F40" i="19" s="1"/>
  <c r="G40" i="19" s="1"/>
  <c r="D41" i="19"/>
  <c r="E41" i="19" s="1"/>
  <c r="F41" i="19" s="1"/>
  <c r="G41" i="19" s="1"/>
  <c r="D38" i="19"/>
  <c r="E38" i="19" s="1"/>
  <c r="F38" i="19" s="1"/>
  <c r="G38" i="19" s="1"/>
  <c r="D39" i="19"/>
  <c r="E39" i="19" s="1"/>
  <c r="F39" i="19" s="1"/>
  <c r="G39" i="19" s="1"/>
  <c r="A69" i="19" l="1"/>
  <c r="K16" i="6"/>
  <c r="H38" i="19"/>
  <c r="C28" i="16"/>
  <c r="Q91" i="13"/>
  <c r="S90" i="13"/>
  <c r="H42" i="19"/>
  <c r="H40" i="19"/>
  <c r="G11" i="6"/>
  <c r="C7" i="26" s="1"/>
  <c r="D37" i="19"/>
  <c r="E37" i="19" s="1"/>
  <c r="F37" i="19" s="1"/>
  <c r="G37" i="19" s="1"/>
  <c r="D36" i="19"/>
  <c r="E36" i="19" s="1"/>
  <c r="F36" i="19" s="1"/>
  <c r="G36" i="19" s="1"/>
  <c r="K11" i="6" l="1"/>
  <c r="F11" i="6"/>
  <c r="E10" i="15" s="1"/>
  <c r="Q92" i="13"/>
  <c r="S91" i="13"/>
  <c r="H36" i="19"/>
  <c r="L70" i="6"/>
  <c r="L73" i="6"/>
  <c r="L76" i="6"/>
  <c r="L82" i="6"/>
  <c r="L83" i="6"/>
  <c r="L86" i="6"/>
  <c r="L87" i="6"/>
  <c r="L88" i="6"/>
  <c r="L81" i="6"/>
  <c r="L67" i="6"/>
  <c r="I20" i="13"/>
  <c r="B10" i="19"/>
  <c r="F7" i="15"/>
  <c r="J7" i="15" s="1"/>
  <c r="F41" i="15" l="1"/>
  <c r="J41" i="15" s="1"/>
  <c r="K67" i="6"/>
  <c r="K6" i="6"/>
  <c r="H6" i="6"/>
  <c r="F57" i="19"/>
  <c r="Q93" i="13"/>
  <c r="S92" i="13"/>
  <c r="P144" i="2"/>
  <c r="P145" i="2" s="1"/>
  <c r="P146" i="2" s="1"/>
  <c r="O137" i="2"/>
  <c r="O135" i="2"/>
  <c r="P11" i="2"/>
  <c r="P14" i="2"/>
  <c r="Q11" i="2" l="1"/>
  <c r="C26" i="16"/>
  <c r="B158" i="19"/>
  <c r="O138" i="2"/>
  <c r="O139" i="2" s="1"/>
  <c r="Q94" i="13"/>
  <c r="S93" i="13"/>
  <c r="D16" i="5"/>
  <c r="Q95" i="13" l="1"/>
  <c r="S95" i="13" s="1"/>
  <c r="S94" i="13"/>
  <c r="L95" i="6"/>
  <c r="F158" i="2"/>
  <c r="F160" i="2" s="1"/>
  <c r="F161" i="2" s="1"/>
  <c r="F163" i="2" s="1"/>
  <c r="C163" i="2"/>
  <c r="C164" i="2" s="1"/>
  <c r="D6" i="16"/>
  <c r="D7" i="16"/>
  <c r="D8" i="16"/>
  <c r="D9" i="16"/>
  <c r="D10" i="16"/>
  <c r="D11" i="16"/>
  <c r="D12" i="16"/>
  <c r="D13" i="16"/>
  <c r="D14" i="16"/>
  <c r="D15" i="16"/>
  <c r="D5" i="16"/>
  <c r="L297" i="2" l="1"/>
  <c r="M297" i="2" s="1"/>
  <c r="L296" i="2"/>
  <c r="M296" i="2" s="1"/>
  <c r="N297" i="2"/>
  <c r="O297" i="2" s="1"/>
  <c r="N296" i="2"/>
  <c r="O296" i="2" s="1"/>
  <c r="P296" i="2" s="1"/>
  <c r="C38" i="16"/>
  <c r="K95" i="6"/>
  <c r="F24" i="15"/>
  <c r="C154" i="2"/>
  <c r="O180" i="2"/>
  <c r="R180" i="2" s="1"/>
  <c r="S180" i="2" s="1"/>
  <c r="Q173" i="2"/>
  <c r="R173" i="2" s="1"/>
  <c r="Q174" i="2"/>
  <c r="R174" i="2" s="1"/>
  <c r="O172" i="2"/>
  <c r="Q172" i="2" s="1"/>
  <c r="R172" i="2" s="1"/>
  <c r="E176" i="2"/>
  <c r="G179" i="2"/>
  <c r="G178" i="2"/>
  <c r="G177" i="2"/>
  <c r="J8" i="12"/>
  <c r="I8" i="12"/>
  <c r="Q296" i="2" l="1"/>
  <c r="R296" i="2"/>
  <c r="R297" i="2"/>
  <c r="Q297" i="2"/>
  <c r="P297" i="2"/>
  <c r="E83" i="15"/>
  <c r="J24" i="15"/>
  <c r="D94" i="13"/>
  <c r="F48" i="6" s="1"/>
  <c r="E94" i="13"/>
  <c r="F94" i="13"/>
  <c r="G94" i="13"/>
  <c r="H94" i="13"/>
  <c r="I94" i="13"/>
  <c r="J94" i="13"/>
  <c r="K94" i="13"/>
  <c r="L94" i="13"/>
  <c r="D88" i="13"/>
  <c r="E89" i="13"/>
  <c r="F89" i="13"/>
  <c r="G89" i="13"/>
  <c r="D89" i="13"/>
  <c r="E88" i="13"/>
  <c r="F88" i="13"/>
  <c r="G88" i="13"/>
  <c r="F297" i="17"/>
  <c r="G23" i="6" l="1"/>
  <c r="G24" i="6"/>
  <c r="G25" i="6"/>
  <c r="H32" i="5"/>
  <c r="G32" i="5"/>
  <c r="C172" i="2"/>
  <c r="K25" i="6" l="1"/>
  <c r="F25" i="6"/>
  <c r="K24" i="6"/>
  <c r="F24" i="6"/>
  <c r="K23" i="6"/>
  <c r="F23" i="6"/>
  <c r="C33" i="16"/>
  <c r="F22" i="15"/>
  <c r="J22" i="15" s="1"/>
  <c r="F273" i="17"/>
  <c r="F274" i="17" s="1"/>
  <c r="F246" i="17"/>
  <c r="F247" i="17" s="1"/>
  <c r="F219" i="17"/>
  <c r="F220" i="17" s="1"/>
  <c r="E189" i="17"/>
  <c r="F19" i="2"/>
  <c r="K14" i="14" l="1"/>
  <c r="K13" i="14"/>
  <c r="K12" i="14"/>
  <c r="G20" i="14"/>
  <c r="G21" i="14"/>
  <c r="E20" i="14"/>
  <c r="E21" i="14"/>
  <c r="F19" i="14"/>
  <c r="F20" i="14"/>
  <c r="F21" i="14"/>
  <c r="F22" i="14"/>
  <c r="F23" i="14"/>
  <c r="F18" i="14"/>
  <c r="K29" i="14"/>
  <c r="J7" i="12" l="1"/>
  <c r="I7" i="12"/>
  <c r="J6" i="12"/>
  <c r="I6" i="12"/>
  <c r="L12" i="6"/>
  <c r="L11" i="6"/>
  <c r="G9" i="6"/>
  <c r="H31" i="5"/>
  <c r="G31" i="5"/>
  <c r="K10" i="15" l="1"/>
  <c r="D7" i="26"/>
  <c r="K11" i="15"/>
  <c r="D8" i="26"/>
  <c r="K9" i="6"/>
  <c r="C6" i="26" s="1"/>
  <c r="F9" i="6"/>
  <c r="G12" i="5"/>
  <c r="H30" i="5" l="1"/>
  <c r="G30" i="5"/>
  <c r="C15" i="13" l="1"/>
  <c r="I5" i="12"/>
  <c r="H29" i="5"/>
  <c r="G29" i="5"/>
  <c r="L94" i="6"/>
  <c r="F29" i="14" l="1"/>
  <c r="E29" i="14"/>
  <c r="H94" i="6"/>
  <c r="G29" i="14"/>
  <c r="F43" i="14" l="1"/>
  <c r="J29" i="14"/>
  <c r="F56" i="19" l="1"/>
  <c r="F58" i="19" s="1"/>
  <c r="G17" i="5"/>
  <c r="G18" i="5"/>
  <c r="H18" i="5"/>
  <c r="H17" i="5"/>
  <c r="L20" i="6" l="1"/>
  <c r="L19" i="6"/>
  <c r="K19" i="15" l="1"/>
  <c r="J19" i="15"/>
  <c r="K18" i="15"/>
  <c r="J18" i="15"/>
  <c r="K17" i="15"/>
  <c r="J17" i="15"/>
  <c r="K15" i="15"/>
  <c r="J15" i="15"/>
  <c r="K14" i="15"/>
  <c r="J14" i="15"/>
  <c r="K25" i="14"/>
  <c r="J25" i="14"/>
  <c r="J24" i="14"/>
  <c r="J19" i="14"/>
  <c r="K19" i="14"/>
  <c r="J20" i="14"/>
  <c r="K20" i="14"/>
  <c r="J21" i="14"/>
  <c r="K21" i="14"/>
  <c r="J22" i="14"/>
  <c r="K22" i="14"/>
  <c r="J23" i="14"/>
  <c r="K23" i="14"/>
  <c r="K18" i="14"/>
  <c r="J18" i="14"/>
  <c r="J17" i="14"/>
  <c r="J16" i="14"/>
  <c r="J15" i="14"/>
  <c r="J9" i="14"/>
  <c r="K7" i="14"/>
  <c r="Y68" i="13" l="1"/>
  <c r="Y64" i="13"/>
  <c r="Q52" i="13" l="1"/>
  <c r="Q53" i="13" s="1"/>
  <c r="Q54" i="13" s="1"/>
  <c r="Q56" i="13" s="1"/>
  <c r="Q60" i="13"/>
  <c r="E60" i="13"/>
  <c r="F172" i="2"/>
  <c r="L50" i="6"/>
  <c r="L51" i="6"/>
  <c r="L52" i="6"/>
  <c r="L53" i="6"/>
  <c r="L55" i="6"/>
  <c r="L56" i="6"/>
  <c r="L57" i="6"/>
  <c r="L60" i="6"/>
  <c r="L61" i="6"/>
  <c r="L62" i="6"/>
  <c r="L90" i="6"/>
  <c r="L29" i="6"/>
  <c r="L7" i="6"/>
  <c r="L8" i="6"/>
  <c r="L49" i="6"/>
  <c r="D13" i="26" s="1"/>
  <c r="L15" i="6"/>
  <c r="L18" i="6"/>
  <c r="C153" i="2"/>
  <c r="H22" i="5"/>
  <c r="G22" i="5"/>
  <c r="J114" i="2"/>
  <c r="I114" i="2"/>
  <c r="D141" i="2"/>
  <c r="C141" i="2"/>
  <c r="H8" i="5"/>
  <c r="G8" i="5"/>
  <c r="H28" i="5"/>
  <c r="G28" i="5"/>
  <c r="C124" i="2"/>
  <c r="C118" i="2"/>
  <c r="H16" i="6" l="1"/>
  <c r="K18" i="13"/>
  <c r="K19" i="13" s="1"/>
  <c r="B23" i="18"/>
  <c r="D23" i="18" s="1"/>
  <c r="I18" i="13"/>
  <c r="B21" i="18"/>
  <c r="D21" i="18" s="1"/>
  <c r="J18" i="13"/>
  <c r="J19" i="13" s="1"/>
  <c r="B22" i="18"/>
  <c r="D22" i="18" s="1"/>
  <c r="J21" i="13"/>
  <c r="F173" i="2"/>
  <c r="K21" i="13"/>
  <c r="F174" i="2"/>
  <c r="C119" i="2"/>
  <c r="C121" i="2" s="1"/>
  <c r="G7" i="6"/>
  <c r="F7" i="6" s="1"/>
  <c r="F7" i="14"/>
  <c r="J7" i="14" s="1"/>
  <c r="C159" i="2"/>
  <c r="C160" i="2" s="1"/>
  <c r="C155" i="2"/>
  <c r="C156" i="2" s="1"/>
  <c r="I45" i="13"/>
  <c r="K20" i="13"/>
  <c r="H45" i="13" s="1"/>
  <c r="Q61" i="13"/>
  <c r="J20" i="13"/>
  <c r="I19" i="13" l="1"/>
  <c r="K7" i="6"/>
  <c r="F8" i="15"/>
  <c r="J8" i="15" s="1"/>
  <c r="G8" i="6"/>
  <c r="E172" i="2"/>
  <c r="E173" i="2"/>
  <c r="F30" i="14"/>
  <c r="J30" i="14" s="1"/>
  <c r="E45" i="13"/>
  <c r="I21" i="13"/>
  <c r="F45" i="13" s="1"/>
  <c r="G45" i="13"/>
  <c r="G17" i="6" l="1"/>
  <c r="G92" i="6"/>
  <c r="O82" i="2"/>
  <c r="P82" i="2" s="1"/>
  <c r="O83" i="2"/>
  <c r="P83" i="2" s="1"/>
  <c r="O81" i="2"/>
  <c r="P81" i="2" s="1"/>
  <c r="K136" i="6"/>
  <c r="G134" i="6"/>
  <c r="K134" i="6" s="1"/>
  <c r="K92" i="6"/>
  <c r="G93" i="6" s="1"/>
  <c r="C20" i="26" s="1"/>
  <c r="F8" i="6"/>
  <c r="A349" i="2"/>
  <c r="Q333" i="2"/>
  <c r="B322" i="2"/>
  <c r="Q334" i="2"/>
  <c r="B321" i="2"/>
  <c r="I22" i="13"/>
  <c r="K8" i="6"/>
  <c r="AE5" i="13"/>
  <c r="C5" i="13"/>
  <c r="A383" i="19" l="1"/>
  <c r="C5" i="26"/>
  <c r="C19" i="26" s="1"/>
  <c r="O124" i="2"/>
  <c r="O126" i="2" s="1"/>
  <c r="O127" i="2" s="1"/>
  <c r="K17" i="6"/>
  <c r="C77" i="26" s="1"/>
  <c r="C82" i="26" s="1"/>
  <c r="F17" i="6"/>
  <c r="K91" i="6"/>
  <c r="C11" i="17" s="1"/>
  <c r="E11" i="17" s="1"/>
  <c r="J11" i="17" s="1"/>
  <c r="K11" i="17" s="1"/>
  <c r="K22" i="6"/>
  <c r="C4" i="17" s="1"/>
  <c r="E4" i="17" s="1"/>
  <c r="A350" i="2"/>
  <c r="B323" i="2"/>
  <c r="Q338" i="2"/>
  <c r="Q342" i="2" s="1"/>
  <c r="Q345" i="2" s="1"/>
  <c r="R338" i="2"/>
  <c r="R342" i="2" s="1"/>
  <c r="R345" i="2" s="1"/>
  <c r="I319" i="2"/>
  <c r="I318" i="2"/>
  <c r="I317" i="2"/>
  <c r="I316" i="2"/>
  <c r="D320" i="2"/>
  <c r="D321" i="2" s="1"/>
  <c r="Q318" i="2"/>
  <c r="A343" i="2"/>
  <c r="Q337" i="2"/>
  <c r="Q341" i="2" s="1"/>
  <c r="Q344" i="2" s="1"/>
  <c r="R337" i="2"/>
  <c r="R341" i="2" s="1"/>
  <c r="R344" i="2" s="1"/>
  <c r="B211" i="19"/>
  <c r="G200" i="19"/>
  <c r="C27" i="16"/>
  <c r="G137" i="19"/>
  <c r="H13" i="5"/>
  <c r="G13" i="5"/>
  <c r="J2" i="12"/>
  <c r="I2" i="12"/>
  <c r="J4" i="17" l="1"/>
  <c r="K4" i="17" s="1"/>
  <c r="K115" i="6"/>
  <c r="C38" i="17" s="1"/>
  <c r="E38" i="17" s="1"/>
  <c r="C8" i="17"/>
  <c r="E8" i="17" s="1"/>
  <c r="J8" i="17" s="1"/>
  <c r="K8" i="17" s="1"/>
  <c r="C9" i="17"/>
  <c r="E9" i="17" s="1"/>
  <c r="J9" i="17" s="1"/>
  <c r="K9" i="17" s="1"/>
  <c r="C7" i="17"/>
  <c r="E7" i="17" s="1"/>
  <c r="J7" i="17" s="1"/>
  <c r="K7" i="17" s="1"/>
  <c r="C6" i="17"/>
  <c r="E6" i="17" s="1"/>
  <c r="J6" i="17" s="1"/>
  <c r="K6" i="17" s="1"/>
  <c r="C5" i="17"/>
  <c r="E5" i="17" s="1"/>
  <c r="J5" i="17" s="1"/>
  <c r="K5" i="17" s="1"/>
  <c r="K114" i="6"/>
  <c r="C37" i="17" s="1"/>
  <c r="E37" i="17" s="1"/>
  <c r="K135" i="6"/>
  <c r="K132" i="6"/>
  <c r="K131" i="6"/>
  <c r="K133" i="6"/>
  <c r="K113" i="6"/>
  <c r="C36" i="17" s="1"/>
  <c r="E36" i="17" s="1"/>
  <c r="I321" i="2"/>
  <c r="I326" i="2" s="1"/>
  <c r="L317" i="2"/>
  <c r="I322" i="2"/>
  <c r="I327" i="2" s="1"/>
  <c r="L318" i="2"/>
  <c r="L320" i="2"/>
  <c r="I324" i="2"/>
  <c r="I329" i="2" s="1"/>
  <c r="I323" i="2"/>
  <c r="I328" i="2" s="1"/>
  <c r="L319" i="2"/>
  <c r="B104" i="2"/>
  <c r="G126" i="6" l="1"/>
  <c r="K126" i="6" s="1"/>
  <c r="I19" i="17"/>
  <c r="B80" i="2"/>
  <c r="B85" i="2"/>
  <c r="B87" i="2" s="1"/>
  <c r="G27" i="5" l="1"/>
  <c r="H27" i="5"/>
  <c r="F11" i="14" l="1"/>
  <c r="J11" i="14" s="1"/>
  <c r="D18" i="4"/>
  <c r="H26" i="5"/>
  <c r="G26" i="5"/>
  <c r="H25" i="5"/>
  <c r="G25" i="5"/>
  <c r="E14" i="4" s="1"/>
  <c r="G15" i="5"/>
  <c r="H15" i="5"/>
  <c r="H24" i="5"/>
  <c r="G24" i="5"/>
  <c r="H23" i="5"/>
  <c r="G23" i="5"/>
  <c r="H21" i="5"/>
  <c r="G21" i="5"/>
  <c r="H20" i="5"/>
  <c r="G20" i="5"/>
  <c r="H19" i="5"/>
  <c r="G19" i="5"/>
  <c r="H16" i="5"/>
  <c r="H14" i="5"/>
  <c r="G14" i="5"/>
  <c r="H12" i="5"/>
  <c r="Y65" i="13"/>
  <c r="Y67" i="13" s="1"/>
  <c r="H11" i="5"/>
  <c r="G11" i="5"/>
  <c r="H10" i="5"/>
  <c r="G10" i="5"/>
  <c r="H9" i="5"/>
  <c r="G9" i="5"/>
  <c r="H7" i="5"/>
  <c r="G7" i="5"/>
  <c r="H6" i="5"/>
  <c r="G6" i="5"/>
  <c r="H5" i="5"/>
  <c r="H4" i="5"/>
  <c r="G4" i="5"/>
  <c r="H3" i="5"/>
  <c r="G3" i="5"/>
  <c r="H2" i="5"/>
  <c r="G2" i="5"/>
  <c r="G101" i="6" l="1"/>
  <c r="K101" i="6" s="1"/>
  <c r="A53" i="19"/>
  <c r="A70" i="19"/>
  <c r="I62" i="19"/>
  <c r="D5" i="5"/>
  <c r="G5" i="5" s="1"/>
  <c r="B396" i="19" s="1"/>
  <c r="B397" i="19" s="1"/>
  <c r="I46" i="13"/>
  <c r="I47" i="13" s="1"/>
  <c r="H46" i="13"/>
  <c r="H47" i="13" s="1"/>
  <c r="F46" i="13"/>
  <c r="F47" i="13" s="1"/>
  <c r="E46" i="13"/>
  <c r="E47" i="13" s="1"/>
  <c r="G46" i="13"/>
  <c r="G47" i="13" s="1"/>
  <c r="I4" i="12"/>
  <c r="J6" i="14"/>
  <c r="F8" i="14"/>
  <c r="I115" i="2"/>
  <c r="J115" i="2"/>
  <c r="D142" i="2"/>
  <c r="C142" i="2"/>
  <c r="C152" i="2" s="1"/>
  <c r="G18" i="6" s="1"/>
  <c r="Y71" i="13"/>
  <c r="Y72" i="13" s="1"/>
  <c r="Y73" i="13" s="1"/>
  <c r="Y74" i="13" s="1"/>
  <c r="E74" i="13"/>
  <c r="E75" i="13" s="1"/>
  <c r="E76" i="13" s="1"/>
  <c r="Q74" i="13"/>
  <c r="Q75" i="13" s="1"/>
  <c r="Q76" i="13" s="1"/>
  <c r="E66" i="13"/>
  <c r="E67" i="13" s="1"/>
  <c r="E68" i="13" s="1"/>
  <c r="Q66" i="13"/>
  <c r="Q67" i="13" s="1"/>
  <c r="Q68" i="13" s="1"/>
  <c r="J22" i="13"/>
  <c r="K22" i="13"/>
  <c r="E12" i="4"/>
  <c r="E6" i="4"/>
  <c r="C16" i="13"/>
  <c r="G16" i="5"/>
  <c r="E13" i="4"/>
  <c r="E15" i="4"/>
  <c r="D5" i="4"/>
  <c r="D19" i="4" s="1"/>
  <c r="G117" i="6" l="1"/>
  <c r="G142" i="6" s="1"/>
  <c r="G143" i="6" s="1"/>
  <c r="C85" i="21"/>
  <c r="C87" i="21" s="1"/>
  <c r="AE19" i="13"/>
  <c r="AE7" i="13"/>
  <c r="J53" i="19"/>
  <c r="J54" i="19" s="1"/>
  <c r="J55" i="19" s="1"/>
  <c r="M52" i="19" s="1"/>
  <c r="G10" i="6"/>
  <c r="F10" i="6" s="1"/>
  <c r="A73" i="19"/>
  <c r="A71" i="19"/>
  <c r="A72" i="19" s="1"/>
  <c r="E52" i="13"/>
  <c r="E53" i="13" s="1"/>
  <c r="E54" i="13" s="1"/>
  <c r="E56" i="13" s="1"/>
  <c r="E61" i="13" s="1"/>
  <c r="Q179" i="2"/>
  <c r="AE8" i="13"/>
  <c r="G173" i="2"/>
  <c r="H173" i="2" s="1"/>
  <c r="G172" i="2"/>
  <c r="H172" i="2" s="1"/>
  <c r="B6" i="19"/>
  <c r="T180" i="2"/>
  <c r="U180" i="2" s="1"/>
  <c r="V180" i="2" s="1"/>
  <c r="T181" i="2"/>
  <c r="U181" i="2" s="1"/>
  <c r="V181" i="2" s="1"/>
  <c r="T182" i="2"/>
  <c r="U182" i="2" s="1"/>
  <c r="V182" i="2" s="1"/>
  <c r="H25" i="13"/>
  <c r="E18" i="4"/>
  <c r="C25" i="13"/>
  <c r="C26" i="13" s="1"/>
  <c r="C27" i="13" s="1"/>
  <c r="C28" i="13" s="1"/>
  <c r="E5" i="4"/>
  <c r="E19" i="4" s="1"/>
  <c r="J8" i="14"/>
  <c r="F10" i="14"/>
  <c r="J10" i="14" s="1"/>
  <c r="J45" i="13"/>
  <c r="J46" i="13" s="1"/>
  <c r="J47" i="13" s="1"/>
  <c r="H23" i="13"/>
  <c r="E30" i="2"/>
  <c r="E31" i="2" s="1"/>
  <c r="E23" i="2"/>
  <c r="E22" i="2"/>
  <c r="E21" i="2"/>
  <c r="E20" i="2"/>
  <c r="E19" i="2"/>
  <c r="G147" i="6" l="1"/>
  <c r="G148" i="6" s="1"/>
  <c r="G149" i="6" s="1"/>
  <c r="G144" i="6"/>
  <c r="F18" i="6"/>
  <c r="Q119" i="16"/>
  <c r="Q120" i="16" s="1"/>
  <c r="Q121" i="16" s="1"/>
  <c r="Q122" i="16" s="1"/>
  <c r="Q123" i="16" s="1"/>
  <c r="Q124" i="16" s="1"/>
  <c r="B324" i="2"/>
  <c r="B325" i="2" s="1"/>
  <c r="A201" i="19"/>
  <c r="BD196" i="19" s="1"/>
  <c r="BD197" i="19" s="1"/>
  <c r="K10" i="6"/>
  <c r="G105" i="6" s="1"/>
  <c r="C21" i="26" s="1"/>
  <c r="A295" i="19"/>
  <c r="A296" i="19" s="1"/>
  <c r="K18" i="6"/>
  <c r="C78" i="26" s="1"/>
  <c r="F13" i="15"/>
  <c r="J13" i="15" s="1"/>
  <c r="F63" i="15" s="1"/>
  <c r="J63" i="15" s="1"/>
  <c r="AE34" i="13"/>
  <c r="AE35" i="13" s="1"/>
  <c r="AE36" i="13" s="1"/>
  <c r="AE20" i="13"/>
  <c r="AE21" i="13" s="1"/>
  <c r="C30" i="16"/>
  <c r="A54" i="19"/>
  <c r="A55" i="19" s="1"/>
  <c r="A56" i="19" s="1"/>
  <c r="A57" i="19" s="1"/>
  <c r="A58" i="19" s="1"/>
  <c r="A59" i="19" s="1"/>
  <c r="A60" i="19" s="1"/>
  <c r="A61" i="19" s="1"/>
  <c r="I61" i="19"/>
  <c r="I63" i="19" s="1"/>
  <c r="I64" i="19" s="1"/>
  <c r="I65" i="19" s="1"/>
  <c r="A74" i="19"/>
  <c r="A75" i="19" s="1"/>
  <c r="A76" i="19" s="1"/>
  <c r="A77" i="19" s="1"/>
  <c r="U183" i="2"/>
  <c r="V183" i="2"/>
  <c r="R182" i="2"/>
  <c r="S182" i="2" s="1"/>
  <c r="R181" i="2"/>
  <c r="S181" i="2" s="1"/>
  <c r="T183" i="2"/>
  <c r="H28" i="13"/>
  <c r="K28" i="13"/>
  <c r="I28" i="13"/>
  <c r="J28" i="13"/>
  <c r="E24" i="2"/>
  <c r="F151" i="2" l="1"/>
  <c r="F152" i="2" s="1"/>
  <c r="B371" i="19"/>
  <c r="B373" i="19"/>
  <c r="B372" i="19"/>
  <c r="C372" i="19" s="1"/>
  <c r="O221" i="19"/>
  <c r="O222" i="19" s="1"/>
  <c r="K105" i="6"/>
  <c r="K93" i="6"/>
  <c r="K117" i="6"/>
  <c r="B403" i="19" s="1"/>
  <c r="B404" i="19" s="1"/>
  <c r="AR196" i="19"/>
  <c r="AR197" i="19" s="1"/>
  <c r="I196" i="19"/>
  <c r="I197" i="19" s="1"/>
  <c r="AF196" i="19"/>
  <c r="AF197" i="19" s="1"/>
  <c r="D231" i="19"/>
  <c r="T196" i="19"/>
  <c r="T197" i="19" s="1"/>
  <c r="Q21" i="7"/>
  <c r="U21" i="7"/>
  <c r="Y21" i="7"/>
  <c r="T22" i="7"/>
  <c r="X22" i="7"/>
  <c r="S23" i="7"/>
  <c r="W23" i="7"/>
  <c r="T20" i="7"/>
  <c r="X20" i="7"/>
  <c r="Q19" i="7"/>
  <c r="U19" i="7"/>
  <c r="Y19" i="7"/>
  <c r="R16" i="7"/>
  <c r="V16" i="7"/>
  <c r="P16" i="7"/>
  <c r="R15" i="7"/>
  <c r="V15" i="7"/>
  <c r="P14" i="7"/>
  <c r="R14" i="7"/>
  <c r="V14" i="7"/>
  <c r="S22" i="7"/>
  <c r="V23" i="7"/>
  <c r="S20" i="7"/>
  <c r="X19" i="7"/>
  <c r="Y16" i="7"/>
  <c r="Y15" i="7"/>
  <c r="Y14" i="7"/>
  <c r="R21" i="7"/>
  <c r="V21" i="7"/>
  <c r="Q22" i="7"/>
  <c r="U22" i="7"/>
  <c r="Y22" i="7"/>
  <c r="T23" i="7"/>
  <c r="X23" i="7"/>
  <c r="P22" i="7"/>
  <c r="Q20" i="7"/>
  <c r="U20" i="7"/>
  <c r="Y20" i="7"/>
  <c r="R19" i="7"/>
  <c r="V19" i="7"/>
  <c r="P19" i="7"/>
  <c r="S16" i="7"/>
  <c r="W16" i="7"/>
  <c r="P15" i="7"/>
  <c r="S15" i="7"/>
  <c r="W15" i="7"/>
  <c r="S14" i="7"/>
  <c r="W14" i="7"/>
  <c r="X21" i="7"/>
  <c r="R23" i="7"/>
  <c r="P21" i="7"/>
  <c r="T19" i="7"/>
  <c r="U16" i="7"/>
  <c r="U15" i="7"/>
  <c r="U14" i="7"/>
  <c r="S21" i="7"/>
  <c r="W21" i="7"/>
  <c r="R22" i="7"/>
  <c r="V22" i="7"/>
  <c r="Q23" i="7"/>
  <c r="U23" i="7"/>
  <c r="Y23" i="7"/>
  <c r="R20" i="7"/>
  <c r="V20" i="7"/>
  <c r="P20" i="7"/>
  <c r="S19" i="7"/>
  <c r="W19" i="7"/>
  <c r="T16" i="7"/>
  <c r="X16" i="7"/>
  <c r="T15" i="7"/>
  <c r="X15" i="7"/>
  <c r="T14" i="7"/>
  <c r="X14" i="7"/>
  <c r="T21" i="7"/>
  <c r="W22" i="7"/>
  <c r="P23" i="7"/>
  <c r="W20" i="7"/>
  <c r="Q16" i="7"/>
  <c r="Q15" i="7"/>
  <c r="Q14" i="7"/>
  <c r="R25" i="7"/>
  <c r="U13" i="7"/>
  <c r="P12" i="7"/>
  <c r="V8" i="7"/>
  <c r="X25" i="7"/>
  <c r="V6" i="7"/>
  <c r="V13" i="7"/>
  <c r="Q9" i="7"/>
  <c r="W8" i="7"/>
  <c r="T25" i="7"/>
  <c r="R6" i="7"/>
  <c r="T13" i="7"/>
  <c r="Y12" i="7"/>
  <c r="U8" i="7"/>
  <c r="P4" i="7"/>
  <c r="P6" i="7"/>
  <c r="Q24" i="7"/>
  <c r="U24" i="7"/>
  <c r="W7" i="7"/>
  <c r="P7" i="7"/>
  <c r="U4" i="7"/>
  <c r="Q7" i="7"/>
  <c r="V4" i="7"/>
  <c r="Q13" i="7"/>
  <c r="R13" i="7"/>
  <c r="Y6" i="7"/>
  <c r="U12" i="7"/>
  <c r="X8" i="7"/>
  <c r="S7" i="7"/>
  <c r="X4" i="7"/>
  <c r="R4" i="7"/>
  <c r="V25" i="7"/>
  <c r="Y13" i="7"/>
  <c r="T9" i="7"/>
  <c r="P8" i="7"/>
  <c r="W13" i="7"/>
  <c r="S25" i="7"/>
  <c r="P13" i="7"/>
  <c r="U9" i="7"/>
  <c r="Q6" i="7"/>
  <c r="T12" i="7"/>
  <c r="Q25" i="7"/>
  <c r="X13" i="7"/>
  <c r="S9" i="7"/>
  <c r="Y8" i="7"/>
  <c r="S13" i="7"/>
  <c r="P24" i="7"/>
  <c r="S24" i="7"/>
  <c r="W24" i="7"/>
  <c r="P5" i="7"/>
  <c r="T7" i="7"/>
  <c r="Y4" i="7"/>
  <c r="U7" i="7"/>
  <c r="R7" i="7"/>
  <c r="V12" i="7"/>
  <c r="T8" i="7"/>
  <c r="S8" i="7"/>
  <c r="P9" i="7"/>
  <c r="Q8" i="7"/>
  <c r="X24" i="7"/>
  <c r="Q4" i="7"/>
  <c r="P25" i="7"/>
  <c r="R12" i="7"/>
  <c r="X9" i="7"/>
  <c r="T6" i="7"/>
  <c r="R9" i="7"/>
  <c r="W25" i="7"/>
  <c r="S12" i="7"/>
  <c r="Y9" i="7"/>
  <c r="U6" i="7"/>
  <c r="X12" i="7"/>
  <c r="U25" i="7"/>
  <c r="Q12" i="7"/>
  <c r="W9" i="7"/>
  <c r="S6" i="7"/>
  <c r="V9" i="7"/>
  <c r="V24" i="7"/>
  <c r="R24" i="7"/>
  <c r="Y24" i="7"/>
  <c r="T4" i="7"/>
  <c r="X7" i="7"/>
  <c r="V7" i="7"/>
  <c r="Y7" i="7"/>
  <c r="S4" i="7"/>
  <c r="R8" i="7"/>
  <c r="X6" i="7"/>
  <c r="W12" i="7"/>
  <c r="Y25" i="7"/>
  <c r="W6" i="7"/>
  <c r="T24" i="7"/>
  <c r="W4" i="7"/>
  <c r="T30" i="7"/>
  <c r="Q30" i="7"/>
  <c r="R30" i="7"/>
  <c r="V30" i="7"/>
  <c r="W30" i="7"/>
  <c r="X30" i="7"/>
  <c r="U30" i="7"/>
  <c r="P30" i="7"/>
  <c r="Y30" i="7"/>
  <c r="S30" i="7"/>
  <c r="R33" i="7"/>
  <c r="V33" i="7"/>
  <c r="P33" i="7"/>
  <c r="Q33" i="7"/>
  <c r="S33" i="7"/>
  <c r="T33" i="7"/>
  <c r="U33" i="7"/>
  <c r="W33" i="7"/>
  <c r="X33" i="7"/>
  <c r="Y33" i="7"/>
  <c r="P28" i="7"/>
  <c r="Q28" i="7"/>
  <c r="T28" i="7"/>
  <c r="U28" i="7"/>
  <c r="S28" i="7"/>
  <c r="X28" i="7"/>
  <c r="Y28" i="7"/>
  <c r="W28" i="7"/>
  <c r="V28" i="7"/>
  <c r="R28" i="7"/>
  <c r="Q27" i="7"/>
  <c r="V27" i="7"/>
  <c r="S27" i="7"/>
  <c r="U29" i="7"/>
  <c r="V29" i="7"/>
  <c r="T29" i="7"/>
  <c r="P29" i="7"/>
  <c r="T27" i="7"/>
  <c r="X29" i="7"/>
  <c r="U27" i="7"/>
  <c r="P27" i="7"/>
  <c r="W27" i="7"/>
  <c r="Y29" i="7"/>
  <c r="S29" i="7"/>
  <c r="Y27" i="7"/>
  <c r="R27" i="7"/>
  <c r="X27" i="7"/>
  <c r="Q29" i="7"/>
  <c r="R29" i="7"/>
  <c r="W29" i="7"/>
  <c r="D125" i="19"/>
  <c r="J155" i="17"/>
  <c r="J156" i="17" s="1"/>
  <c r="J161" i="17" s="1"/>
  <c r="G109" i="6" s="1"/>
  <c r="H24" i="13"/>
  <c r="D121" i="19"/>
  <c r="D122" i="19"/>
  <c r="AE6" i="13"/>
  <c r="AE10" i="13" s="1"/>
  <c r="AE11" i="13" s="1"/>
  <c r="AE12" i="13" s="1"/>
  <c r="AE13" i="13" s="1"/>
  <c r="D123" i="19"/>
  <c r="C39" i="16"/>
  <c r="C36" i="16"/>
  <c r="S183" i="2"/>
  <c r="R183" i="2"/>
  <c r="H29" i="13"/>
  <c r="B424" i="2" l="1"/>
  <c r="B426" i="2" s="1"/>
  <c r="K24" i="7"/>
  <c r="L25" i="7"/>
  <c r="C24" i="7"/>
  <c r="E25" i="7"/>
  <c r="E24" i="7"/>
  <c r="E23" i="7"/>
  <c r="I24" i="7"/>
  <c r="I23" i="7"/>
  <c r="L24" i="7"/>
  <c r="H23" i="7"/>
  <c r="J24" i="7"/>
  <c r="L23" i="7"/>
  <c r="J25" i="7"/>
  <c r="F23" i="7"/>
  <c r="G153" i="18" s="1"/>
  <c r="G25" i="7"/>
  <c r="J23" i="7"/>
  <c r="F24" i="7"/>
  <c r="C23" i="7"/>
  <c r="F25" i="7"/>
  <c r="G155" i="18" s="1"/>
  <c r="K23" i="7"/>
  <c r="D25" i="7"/>
  <c r="G24" i="7"/>
  <c r="H25" i="7"/>
  <c r="K25" i="7"/>
  <c r="G23" i="7"/>
  <c r="I25" i="7"/>
  <c r="D24" i="7"/>
  <c r="C25" i="7"/>
  <c r="H24" i="7"/>
  <c r="D23" i="7"/>
  <c r="F37" i="7"/>
  <c r="G167" i="18" s="1"/>
  <c r="AE167" i="18" s="1"/>
  <c r="F36" i="7"/>
  <c r="L37" i="7"/>
  <c r="M167" i="18" s="1"/>
  <c r="AK167" i="18" s="1"/>
  <c r="C38" i="7"/>
  <c r="D168" i="18" s="1"/>
  <c r="AB168" i="18" s="1"/>
  <c r="K38" i="7"/>
  <c r="L168" i="18" s="1"/>
  <c r="AJ168" i="18" s="1"/>
  <c r="I38" i="7"/>
  <c r="J168" i="18" s="1"/>
  <c r="AH168" i="18" s="1"/>
  <c r="G37" i="7"/>
  <c r="I37" i="7"/>
  <c r="J167" i="18" s="1"/>
  <c r="AH167" i="18" s="1"/>
  <c r="J36" i="7"/>
  <c r="K166" i="18" s="1"/>
  <c r="AI166" i="18" s="1"/>
  <c r="H36" i="7"/>
  <c r="I166" i="18" s="1"/>
  <c r="AG166" i="18" s="1"/>
  <c r="H38" i="7"/>
  <c r="E37" i="7"/>
  <c r="F167" i="18" s="1"/>
  <c r="AD167" i="18" s="1"/>
  <c r="L36" i="7"/>
  <c r="M166" i="18" s="1"/>
  <c r="AK166" i="18" s="1"/>
  <c r="F38" i="7"/>
  <c r="K37" i="7"/>
  <c r="L167" i="18" s="1"/>
  <c r="AJ167" i="18" s="1"/>
  <c r="C36" i="7"/>
  <c r="D166" i="18" s="1"/>
  <c r="AB166" i="18" s="1"/>
  <c r="C37" i="7"/>
  <c r="D167" i="18" s="1"/>
  <c r="AB167" i="18" s="1"/>
  <c r="D38" i="7"/>
  <c r="E168" i="18" s="1"/>
  <c r="AC168" i="18" s="1"/>
  <c r="J38" i="7"/>
  <c r="K168" i="18" s="1"/>
  <c r="AI168" i="18" s="1"/>
  <c r="E36" i="7"/>
  <c r="F166" i="18" s="1"/>
  <c r="AD166" i="18" s="1"/>
  <c r="J37" i="7"/>
  <c r="K167" i="18" s="1"/>
  <c r="AI167" i="18" s="1"/>
  <c r="H37" i="7"/>
  <c r="K36" i="7"/>
  <c r="L166" i="18" s="1"/>
  <c r="AJ166" i="18" s="1"/>
  <c r="G36" i="7"/>
  <c r="H166" i="18" s="1"/>
  <c r="AF166" i="18" s="1"/>
  <c r="L38" i="7"/>
  <c r="M168" i="18" s="1"/>
  <c r="AK168" i="18" s="1"/>
  <c r="D37" i="7"/>
  <c r="E167" i="18" s="1"/>
  <c r="AC167" i="18" s="1"/>
  <c r="I36" i="7"/>
  <c r="J166" i="18" s="1"/>
  <c r="AH166" i="18" s="1"/>
  <c r="D36" i="7"/>
  <c r="E166" i="18" s="1"/>
  <c r="AC166" i="18" s="1"/>
  <c r="E38" i="7"/>
  <c r="F168" i="18" s="1"/>
  <c r="AD168" i="18" s="1"/>
  <c r="G38" i="7"/>
  <c r="H168" i="18" s="1"/>
  <c r="AF168" i="18" s="1"/>
  <c r="E28" i="17"/>
  <c r="D28" i="17"/>
  <c r="C28" i="17"/>
  <c r="D21" i="17"/>
  <c r="C21" i="17"/>
  <c r="E21" i="17"/>
  <c r="C29" i="17"/>
  <c r="I167" i="18"/>
  <c r="AG167" i="18" s="1"/>
  <c r="E29" i="17"/>
  <c r="E22" i="17"/>
  <c r="D29" i="17"/>
  <c r="D22" i="17"/>
  <c r="C22" i="17"/>
  <c r="G168" i="18"/>
  <c r="AE168" i="18" s="1"/>
  <c r="C48" i="17"/>
  <c r="E26" i="17"/>
  <c r="C46" i="17"/>
  <c r="E24" i="17"/>
  <c r="C47" i="17"/>
  <c r="C25" i="17"/>
  <c r="I168" i="18"/>
  <c r="AG168" i="18" s="1"/>
  <c r="D23" i="17"/>
  <c r="D26" i="17"/>
  <c r="D24" i="17"/>
  <c r="G166" i="18"/>
  <c r="AE166" i="18" s="1"/>
  <c r="C27" i="17"/>
  <c r="E23" i="17"/>
  <c r="E25" i="17"/>
  <c r="C26" i="17"/>
  <c r="C24" i="17"/>
  <c r="H167" i="18"/>
  <c r="AF167" i="18" s="1"/>
  <c r="D27" i="17"/>
  <c r="C23" i="17"/>
  <c r="D25" i="17"/>
  <c r="E27" i="17"/>
  <c r="B375" i="19"/>
  <c r="C375" i="19" s="1"/>
  <c r="B374" i="19"/>
  <c r="C374" i="19" s="1"/>
  <c r="O128" i="2"/>
  <c r="O129" i="2" s="1"/>
  <c r="F18" i="7"/>
  <c r="G148" i="18" s="1"/>
  <c r="T98" i="2"/>
  <c r="U98" i="2" s="1"/>
  <c r="O113" i="2"/>
  <c r="O112" i="2"/>
  <c r="O114" i="2"/>
  <c r="O115" i="2"/>
  <c r="O116" i="2"/>
  <c r="T101" i="2"/>
  <c r="U101" i="2" s="1"/>
  <c r="T100" i="2"/>
  <c r="U100" i="2" s="1"/>
  <c r="T102" i="2"/>
  <c r="U102" i="2" s="1"/>
  <c r="T99" i="2"/>
  <c r="U99" i="2" s="1"/>
  <c r="I12" i="7"/>
  <c r="O90" i="2"/>
  <c r="O91" i="2" s="1"/>
  <c r="E14" i="7"/>
  <c r="W5" i="7"/>
  <c r="W50" i="7" s="1"/>
  <c r="Y26" i="7"/>
  <c r="Y53" i="7" s="1"/>
  <c r="U26" i="7"/>
  <c r="U53" i="7" s="1"/>
  <c r="C4" i="7"/>
  <c r="D134" i="18" s="1"/>
  <c r="AB134" i="18" s="1"/>
  <c r="H14" i="7"/>
  <c r="X5" i="7"/>
  <c r="X50" i="7" s="1"/>
  <c r="F6" i="7"/>
  <c r="G136" i="18" s="1"/>
  <c r="F26" i="7"/>
  <c r="G156" i="18" s="1"/>
  <c r="J14" i="7"/>
  <c r="V26" i="7"/>
  <c r="V53" i="7" s="1"/>
  <c r="E6" i="7"/>
  <c r="G8" i="7"/>
  <c r="D26" i="7"/>
  <c r="H17" i="7"/>
  <c r="W26" i="7"/>
  <c r="E8" i="7"/>
  <c r="L12" i="7"/>
  <c r="I26" i="7"/>
  <c r="F14" i="7"/>
  <c r="G144" i="18" s="1"/>
  <c r="T5" i="7"/>
  <c r="T50" i="7" s="1"/>
  <c r="G14" i="7"/>
  <c r="H144" i="18" s="1"/>
  <c r="R26" i="7"/>
  <c r="R53" i="7" s="1"/>
  <c r="L14" i="7"/>
  <c r="L4" i="7"/>
  <c r="M134" i="18" s="1"/>
  <c r="AK134" i="18" s="1"/>
  <c r="G4" i="7"/>
  <c r="H134" i="18" s="1"/>
  <c r="AF134" i="18" s="1"/>
  <c r="J12" i="7"/>
  <c r="K26" i="7"/>
  <c r="E17" i="7"/>
  <c r="I17" i="7"/>
  <c r="K14" i="7"/>
  <c r="C17" i="7"/>
  <c r="Q26" i="7"/>
  <c r="Q53" i="7" s="1"/>
  <c r="G6" i="7"/>
  <c r="L8" i="7"/>
  <c r="I4" i="7"/>
  <c r="J134" i="18" s="1"/>
  <c r="AH134" i="18" s="1"/>
  <c r="D7" i="7"/>
  <c r="E137" i="18" s="1"/>
  <c r="AC137" i="18" s="1"/>
  <c r="H7" i="7"/>
  <c r="I137" i="18" s="1"/>
  <c r="AG137" i="18" s="1"/>
  <c r="L7" i="7"/>
  <c r="M137" i="18" s="1"/>
  <c r="AK137" i="18" s="1"/>
  <c r="F7" i="7"/>
  <c r="G137" i="18" s="1"/>
  <c r="AE137" i="18" s="1"/>
  <c r="C6" i="7"/>
  <c r="K7" i="7"/>
  <c r="L137" i="18" s="1"/>
  <c r="AJ137" i="18" s="1"/>
  <c r="E7" i="7"/>
  <c r="F137" i="18" s="1"/>
  <c r="AD137" i="18" s="1"/>
  <c r="I7" i="7"/>
  <c r="J137" i="18" s="1"/>
  <c r="AH137" i="18" s="1"/>
  <c r="C7" i="7"/>
  <c r="D137" i="18" s="1"/>
  <c r="AB137" i="18" s="1"/>
  <c r="J7" i="7"/>
  <c r="K137" i="18" s="1"/>
  <c r="AI137" i="18" s="1"/>
  <c r="G7" i="7"/>
  <c r="H137" i="18" s="1"/>
  <c r="AF137" i="18" s="1"/>
  <c r="C12" i="7"/>
  <c r="H120" i="18"/>
  <c r="H124" i="18"/>
  <c r="H121" i="18"/>
  <c r="H125" i="18"/>
  <c r="H118" i="18"/>
  <c r="H122" i="18"/>
  <c r="H126" i="18"/>
  <c r="H119" i="18"/>
  <c r="H123" i="18"/>
  <c r="H117" i="18"/>
  <c r="I10" i="7"/>
  <c r="L10" i="7"/>
  <c r="G15" i="7"/>
  <c r="D15" i="7"/>
  <c r="J15" i="7"/>
  <c r="G35" i="7"/>
  <c r="H165" i="18" s="1"/>
  <c r="AF165" i="18" s="1"/>
  <c r="K35" i="7"/>
  <c r="L165" i="18" s="1"/>
  <c r="AJ165" i="18" s="1"/>
  <c r="F9" i="7"/>
  <c r="G139" i="18" s="1"/>
  <c r="C9" i="7"/>
  <c r="C10" i="7"/>
  <c r="F10" i="7"/>
  <c r="G140" i="18" s="1"/>
  <c r="E10" i="7"/>
  <c r="K15" i="7"/>
  <c r="H15" i="7"/>
  <c r="I145" i="18" s="1"/>
  <c r="C35" i="7"/>
  <c r="D165" i="18" s="1"/>
  <c r="AB165" i="18" s="1"/>
  <c r="H35" i="7"/>
  <c r="I165" i="18" s="1"/>
  <c r="AG165" i="18" s="1"/>
  <c r="D35" i="7"/>
  <c r="E165" i="18" s="1"/>
  <c r="AC165" i="18" s="1"/>
  <c r="D9" i="7"/>
  <c r="K9" i="7"/>
  <c r="J9" i="7"/>
  <c r="G10" i="7"/>
  <c r="D10" i="7"/>
  <c r="J10" i="7"/>
  <c r="E15" i="7"/>
  <c r="L15" i="7"/>
  <c r="E35" i="7"/>
  <c r="F165" i="18" s="1"/>
  <c r="AD165" i="18" s="1"/>
  <c r="F35" i="7"/>
  <c r="G165" i="18" s="1"/>
  <c r="AE165" i="18" s="1"/>
  <c r="L35" i="7"/>
  <c r="M165" i="18" s="1"/>
  <c r="AK165" i="18" s="1"/>
  <c r="H9" i="7"/>
  <c r="E9" i="7"/>
  <c r="G9" i="7"/>
  <c r="K10" i="7"/>
  <c r="H10" i="7"/>
  <c r="C15" i="7"/>
  <c r="F15" i="7"/>
  <c r="G145" i="18" s="1"/>
  <c r="I15" i="7"/>
  <c r="I35" i="7"/>
  <c r="J165" i="18" s="1"/>
  <c r="AH165" i="18" s="1"/>
  <c r="J35" i="7"/>
  <c r="K165" i="18" s="1"/>
  <c r="AI165" i="18" s="1"/>
  <c r="L9" i="7"/>
  <c r="I9" i="7"/>
  <c r="F34" i="7"/>
  <c r="G164" i="18" s="1"/>
  <c r="AE164" i="18" s="1"/>
  <c r="G34" i="7"/>
  <c r="C34" i="7"/>
  <c r="H11" i="7"/>
  <c r="C11" i="7"/>
  <c r="C5" i="7"/>
  <c r="F5" i="7"/>
  <c r="G135" i="18" s="1"/>
  <c r="K5" i="7"/>
  <c r="D34" i="7"/>
  <c r="J11" i="7"/>
  <c r="K11" i="7"/>
  <c r="H5" i="7"/>
  <c r="L34" i="7"/>
  <c r="L11" i="7"/>
  <c r="D11" i="7"/>
  <c r="G5" i="7"/>
  <c r="J34" i="7"/>
  <c r="K34" i="7"/>
  <c r="I34" i="7"/>
  <c r="F11" i="7"/>
  <c r="G141" i="18" s="1"/>
  <c r="G11" i="7"/>
  <c r="E5" i="7"/>
  <c r="J5" i="7"/>
  <c r="L5" i="7"/>
  <c r="H34" i="7"/>
  <c r="E11" i="7"/>
  <c r="I5" i="7"/>
  <c r="E34" i="7"/>
  <c r="I11" i="7"/>
  <c r="D5" i="7"/>
  <c r="E13" i="7"/>
  <c r="H13" i="7"/>
  <c r="K13" i="7"/>
  <c r="I13" i="7"/>
  <c r="F13" i="7"/>
  <c r="G143" i="18" s="1"/>
  <c r="L13" i="7"/>
  <c r="G13" i="7"/>
  <c r="J13" i="7"/>
  <c r="D13" i="7"/>
  <c r="C13" i="7"/>
  <c r="E16" i="7"/>
  <c r="L16" i="7"/>
  <c r="K16" i="7"/>
  <c r="C33" i="7"/>
  <c r="D163" i="18" s="1"/>
  <c r="H33" i="7"/>
  <c r="I33" i="7"/>
  <c r="C16" i="7"/>
  <c r="J16" i="7"/>
  <c r="G33" i="7"/>
  <c r="E33" i="7"/>
  <c r="G16" i="7"/>
  <c r="K33" i="7"/>
  <c r="J33" i="7"/>
  <c r="I16" i="7"/>
  <c r="F16" i="7"/>
  <c r="G146" i="18" s="1"/>
  <c r="H16" i="7"/>
  <c r="L33" i="7"/>
  <c r="F33" i="7"/>
  <c r="G163" i="18" s="1"/>
  <c r="D16" i="7"/>
  <c r="D33" i="7"/>
  <c r="G20" i="7"/>
  <c r="D18" i="7"/>
  <c r="K20" i="7"/>
  <c r="H18" i="7"/>
  <c r="D19" i="7"/>
  <c r="L18" i="7"/>
  <c r="C19" i="7"/>
  <c r="C20" i="7"/>
  <c r="G18" i="7"/>
  <c r="L19" i="7"/>
  <c r="E18" i="7"/>
  <c r="E19" i="7"/>
  <c r="I18" i="7"/>
  <c r="I19" i="7"/>
  <c r="E20" i="7"/>
  <c r="K19" i="7"/>
  <c r="F20" i="7"/>
  <c r="G150" i="18" s="1"/>
  <c r="C18" i="7"/>
  <c r="G154" i="18"/>
  <c r="D20" i="7"/>
  <c r="F19" i="7"/>
  <c r="G149" i="18" s="1"/>
  <c r="H20" i="7"/>
  <c r="J19" i="7"/>
  <c r="L20" i="7"/>
  <c r="G19" i="7"/>
  <c r="J20" i="7"/>
  <c r="K18" i="7"/>
  <c r="I20" i="7"/>
  <c r="J18" i="7"/>
  <c r="H19" i="7"/>
  <c r="C29" i="7"/>
  <c r="G29" i="7"/>
  <c r="K29" i="7"/>
  <c r="E29" i="7"/>
  <c r="F29" i="7"/>
  <c r="G159" i="18" s="1"/>
  <c r="D29" i="7"/>
  <c r="H29" i="7"/>
  <c r="L29" i="7"/>
  <c r="I29" i="7"/>
  <c r="J29" i="7"/>
  <c r="C27" i="7"/>
  <c r="D157" i="18" s="1"/>
  <c r="E27" i="7"/>
  <c r="I27" i="7"/>
  <c r="L27" i="7"/>
  <c r="F27" i="7"/>
  <c r="G157" i="18" s="1"/>
  <c r="J27" i="7"/>
  <c r="H27" i="7"/>
  <c r="I157" i="18" s="1"/>
  <c r="G27" i="7"/>
  <c r="K27" i="7"/>
  <c r="L157" i="18" s="1"/>
  <c r="D27" i="7"/>
  <c r="K112" i="6"/>
  <c r="B440" i="2" s="1"/>
  <c r="B442" i="2" s="1"/>
  <c r="B443" i="2" s="1"/>
  <c r="I21" i="7"/>
  <c r="J151" i="18" s="1"/>
  <c r="D21" i="7"/>
  <c r="E151" i="18" s="1"/>
  <c r="C21" i="7"/>
  <c r="D151" i="18" s="1"/>
  <c r="H22" i="7"/>
  <c r="I152" i="18" s="1"/>
  <c r="J22" i="7"/>
  <c r="K152" i="18" s="1"/>
  <c r="E22" i="7"/>
  <c r="F152" i="18" s="1"/>
  <c r="K22" i="7"/>
  <c r="L152" i="18" s="1"/>
  <c r="G22" i="7"/>
  <c r="H152" i="18" s="1"/>
  <c r="E21" i="7"/>
  <c r="F151" i="18" s="1"/>
  <c r="J21" i="7"/>
  <c r="K151" i="18" s="1"/>
  <c r="F21" i="7"/>
  <c r="G151" i="18" s="1"/>
  <c r="L22" i="7"/>
  <c r="M152" i="18" s="1"/>
  <c r="L21" i="7"/>
  <c r="M151" i="18" s="1"/>
  <c r="K21" i="7"/>
  <c r="L151" i="18" s="1"/>
  <c r="C22" i="7"/>
  <c r="D152" i="18" s="1"/>
  <c r="F22" i="7"/>
  <c r="G152" i="18" s="1"/>
  <c r="D22" i="7"/>
  <c r="E152" i="18" s="1"/>
  <c r="H21" i="7"/>
  <c r="I151" i="18" s="1"/>
  <c r="G21" i="7"/>
  <c r="I22" i="7"/>
  <c r="J152" i="18" s="1"/>
  <c r="D4" i="7"/>
  <c r="F12" i="7"/>
  <c r="G142" i="18" s="1"/>
  <c r="D12" i="7"/>
  <c r="E4" i="7"/>
  <c r="L6" i="7"/>
  <c r="E12" i="7"/>
  <c r="G12" i="7"/>
  <c r="J26" i="7"/>
  <c r="K156" i="18" s="1"/>
  <c r="H26" i="7"/>
  <c r="I156" i="18" s="1"/>
  <c r="E26" i="7"/>
  <c r="F156" i="18" s="1"/>
  <c r="U5" i="7"/>
  <c r="L17" i="7"/>
  <c r="M147" i="18" s="1"/>
  <c r="V5" i="7"/>
  <c r="J17" i="7"/>
  <c r="K147" i="18" s="1"/>
  <c r="K17" i="7"/>
  <c r="L147" i="18" s="1"/>
  <c r="D17" i="7"/>
  <c r="E147" i="18" s="1"/>
  <c r="Q5" i="7"/>
  <c r="C14" i="7"/>
  <c r="D144" i="18" s="1"/>
  <c r="X26" i="7"/>
  <c r="B149" i="19"/>
  <c r="H6" i="7"/>
  <c r="J6" i="7"/>
  <c r="H4" i="7"/>
  <c r="K8" i="7"/>
  <c r="K6" i="7"/>
  <c r="F4" i="7"/>
  <c r="I8" i="7"/>
  <c r="K12" i="7"/>
  <c r="C170" i="19"/>
  <c r="C8" i="7"/>
  <c r="L26" i="7"/>
  <c r="M156" i="18" s="1"/>
  <c r="G26" i="7"/>
  <c r="H156" i="18" s="1"/>
  <c r="C26" i="7"/>
  <c r="D156" i="18" s="1"/>
  <c r="G17" i="7"/>
  <c r="H147" i="18" s="1"/>
  <c r="Y5" i="7"/>
  <c r="D14" i="7"/>
  <c r="E144" i="18" s="1"/>
  <c r="R5" i="7"/>
  <c r="F17" i="7"/>
  <c r="G147" i="18" s="1"/>
  <c r="S5" i="7"/>
  <c r="I14" i="7"/>
  <c r="J144" i="18" s="1"/>
  <c r="T26" i="7"/>
  <c r="S26" i="7"/>
  <c r="S53" i="7" s="1"/>
  <c r="E121" i="16" s="1"/>
  <c r="P26" i="7"/>
  <c r="P69" i="7" s="1"/>
  <c r="K4" i="7"/>
  <c r="J8" i="7"/>
  <c r="D6" i="7"/>
  <c r="J4" i="7"/>
  <c r="H8" i="7"/>
  <c r="F8" i="7"/>
  <c r="G138" i="18" s="1"/>
  <c r="I6" i="7"/>
  <c r="D8" i="7"/>
  <c r="H12" i="7"/>
  <c r="B170" i="19"/>
  <c r="D120" i="19"/>
  <c r="D128" i="19" s="1"/>
  <c r="G106" i="6"/>
  <c r="X54" i="7"/>
  <c r="Q54" i="7"/>
  <c r="Y55" i="7"/>
  <c r="T55" i="7"/>
  <c r="U56" i="7"/>
  <c r="R56" i="7"/>
  <c r="S52" i="7"/>
  <c r="E120" i="16" s="1"/>
  <c r="P52" i="7"/>
  <c r="U52" i="7"/>
  <c r="R54" i="7"/>
  <c r="W54" i="7"/>
  <c r="T54" i="7"/>
  <c r="R55" i="7"/>
  <c r="X55" i="7"/>
  <c r="Q55" i="7"/>
  <c r="S56" i="7"/>
  <c r="E124" i="16" s="1"/>
  <c r="X56" i="7"/>
  <c r="Q56" i="7"/>
  <c r="Q51" i="7"/>
  <c r="T51" i="7"/>
  <c r="Y52" i="7"/>
  <c r="R52" i="7"/>
  <c r="Y51" i="7"/>
  <c r="Y54" i="7"/>
  <c r="P54" i="7"/>
  <c r="S54" i="7"/>
  <c r="E122" i="16" s="1"/>
  <c r="V55" i="7"/>
  <c r="S55" i="7"/>
  <c r="E123" i="16" s="1"/>
  <c r="P55" i="7"/>
  <c r="Y56" i="7"/>
  <c r="W56" i="7"/>
  <c r="T56" i="7"/>
  <c r="S51" i="7"/>
  <c r="E119" i="16" s="1"/>
  <c r="W52" i="7"/>
  <c r="Q52" i="7"/>
  <c r="T52" i="7"/>
  <c r="U54" i="7"/>
  <c r="V54" i="7"/>
  <c r="W55" i="7"/>
  <c r="U55" i="7"/>
  <c r="P56" i="7"/>
  <c r="V56" i="7"/>
  <c r="W51" i="7"/>
  <c r="X51" i="7"/>
  <c r="R51" i="7"/>
  <c r="V51" i="7"/>
  <c r="X52" i="7"/>
  <c r="U51" i="7"/>
  <c r="P50" i="7"/>
  <c r="V52" i="7"/>
  <c r="P51" i="7"/>
  <c r="K109" i="6"/>
  <c r="C40" i="16"/>
  <c r="J26" i="13"/>
  <c r="J27" i="13" s="1"/>
  <c r="H59" i="8" s="1"/>
  <c r="H5" i="8" s="1"/>
  <c r="G48" i="13"/>
  <c r="E69" i="13"/>
  <c r="H10" i="8" s="1"/>
  <c r="H26" i="13"/>
  <c r="H27" i="13" s="1"/>
  <c r="H27" i="8" s="1"/>
  <c r="H3" i="8" s="1"/>
  <c r="E77" i="13"/>
  <c r="H8" i="8" s="1"/>
  <c r="I26" i="13"/>
  <c r="I27" i="13" s="1"/>
  <c r="H43" i="8" s="1"/>
  <c r="H4" i="8" s="1"/>
  <c r="E48" i="13"/>
  <c r="E49" i="13" s="1"/>
  <c r="Q69" i="13"/>
  <c r="H11" i="8" s="1"/>
  <c r="H48" i="13"/>
  <c r="K26" i="13"/>
  <c r="K27" i="13" s="1"/>
  <c r="H74" i="8" s="1"/>
  <c r="H6" i="8" s="1"/>
  <c r="Q77" i="13"/>
  <c r="H9" i="8" s="1"/>
  <c r="F48" i="13"/>
  <c r="R48" i="13"/>
  <c r="B11" i="19"/>
  <c r="B12" i="19" s="1"/>
  <c r="B13" i="19" s="1"/>
  <c r="B446" i="2" l="1"/>
  <c r="B447" i="2" s="1"/>
  <c r="B445" i="2"/>
  <c r="K106" i="6"/>
  <c r="C22" i="26"/>
  <c r="B427" i="2"/>
  <c r="U103" i="2"/>
  <c r="E400" i="2"/>
  <c r="E402" i="2" s="1"/>
  <c r="J159" i="18"/>
  <c r="AH159" i="18" s="1"/>
  <c r="D159" i="18"/>
  <c r="AB159" i="18" s="1"/>
  <c r="I153" i="18"/>
  <c r="AG153" i="18" s="1"/>
  <c r="K150" i="18"/>
  <c r="AI150" i="18" s="1"/>
  <c r="I150" i="18"/>
  <c r="AG150" i="18" s="1"/>
  <c r="H153" i="18"/>
  <c r="AF153" i="18" s="1"/>
  <c r="M155" i="18"/>
  <c r="AK155" i="18" s="1"/>
  <c r="F150" i="18"/>
  <c r="AD150" i="18" s="1"/>
  <c r="F148" i="18"/>
  <c r="AD148" i="18" s="1"/>
  <c r="I154" i="18"/>
  <c r="AG154" i="18" s="1"/>
  <c r="M153" i="18"/>
  <c r="AK153" i="18" s="1"/>
  <c r="K153" i="18"/>
  <c r="AI153" i="18" s="1"/>
  <c r="E149" i="18"/>
  <c r="AC149" i="18" s="1"/>
  <c r="H150" i="18"/>
  <c r="AF150" i="18" s="1"/>
  <c r="AC161" i="18"/>
  <c r="E163" i="18"/>
  <c r="AC163" i="18" s="1"/>
  <c r="I146" i="18"/>
  <c r="AG146" i="18" s="1"/>
  <c r="AJ161" i="18"/>
  <c r="L163" i="18"/>
  <c r="AJ163" i="18" s="1"/>
  <c r="K146" i="18"/>
  <c r="AI146" i="18" s="1"/>
  <c r="C101" i="7"/>
  <c r="D143" i="18"/>
  <c r="AB143" i="18" s="1"/>
  <c r="L101" i="7"/>
  <c r="M143" i="18"/>
  <c r="AK143" i="18" s="1"/>
  <c r="H51" i="7"/>
  <c r="I143" i="18"/>
  <c r="AG143" i="18" s="1"/>
  <c r="F164" i="18"/>
  <c r="AD164" i="18" s="1"/>
  <c r="M135" i="18"/>
  <c r="AK135" i="18" s="1"/>
  <c r="H135" i="18"/>
  <c r="AF135" i="18" s="1"/>
  <c r="I135" i="18"/>
  <c r="AG135" i="18" s="1"/>
  <c r="L135" i="18"/>
  <c r="AJ135" i="18" s="1"/>
  <c r="I141" i="18"/>
  <c r="AG141" i="18" s="1"/>
  <c r="J139" i="18"/>
  <c r="AH139" i="18" s="1"/>
  <c r="J145" i="18"/>
  <c r="AH145" i="18" s="1"/>
  <c r="L140" i="18"/>
  <c r="AJ140" i="18" s="1"/>
  <c r="F145" i="18"/>
  <c r="AD145" i="18" s="1"/>
  <c r="K139" i="18"/>
  <c r="AI139" i="18" s="1"/>
  <c r="F140" i="18"/>
  <c r="AD140" i="18" s="1"/>
  <c r="E145" i="18"/>
  <c r="AC145" i="18" s="1"/>
  <c r="H136" i="18"/>
  <c r="AF136" i="18" s="1"/>
  <c r="J147" i="18"/>
  <c r="AH147" i="18" s="1"/>
  <c r="M142" i="18"/>
  <c r="AK142" i="18" s="1"/>
  <c r="E156" i="18"/>
  <c r="AC156" i="18" s="1"/>
  <c r="K144" i="18"/>
  <c r="AI144" i="18" s="1"/>
  <c r="I144" i="18"/>
  <c r="AG144" i="18" s="1"/>
  <c r="I138" i="18"/>
  <c r="AG138" i="18" s="1"/>
  <c r="J138" i="18"/>
  <c r="AH138" i="18" s="1"/>
  <c r="H142" i="18"/>
  <c r="AF142" i="18" s="1"/>
  <c r="E142" i="18"/>
  <c r="AC142" i="18" s="1"/>
  <c r="G55" i="7"/>
  <c r="H151" i="18"/>
  <c r="AF151" i="18" s="1"/>
  <c r="E157" i="18"/>
  <c r="AC157" i="18" s="1"/>
  <c r="K157" i="18"/>
  <c r="AI157" i="18" s="1"/>
  <c r="F157" i="18"/>
  <c r="AD157" i="18" s="1"/>
  <c r="M159" i="18"/>
  <c r="AK159" i="18" s="1"/>
  <c r="F159" i="18"/>
  <c r="AD159" i="18" s="1"/>
  <c r="I149" i="18"/>
  <c r="AG149" i="18" s="1"/>
  <c r="H154" i="18"/>
  <c r="AF154" i="18" s="1"/>
  <c r="H149" i="18"/>
  <c r="AF149" i="18" s="1"/>
  <c r="F154" i="18"/>
  <c r="AD154" i="18" s="1"/>
  <c r="L154" i="18"/>
  <c r="AJ154" i="18" s="1"/>
  <c r="J149" i="18"/>
  <c r="AH149" i="18" s="1"/>
  <c r="M149" i="18"/>
  <c r="AK149" i="18" s="1"/>
  <c r="L155" i="18"/>
  <c r="AJ155" i="18" s="1"/>
  <c r="D155" i="18"/>
  <c r="AB155" i="18" s="1"/>
  <c r="D154" i="18"/>
  <c r="AB154" i="18" s="1"/>
  <c r="I148" i="18"/>
  <c r="AG148" i="18" s="1"/>
  <c r="M154" i="18"/>
  <c r="AK154" i="18" s="1"/>
  <c r="J155" i="18"/>
  <c r="AH155" i="18" s="1"/>
  <c r="E146" i="18"/>
  <c r="AC146" i="18" s="1"/>
  <c r="H146" i="18"/>
  <c r="AF146" i="18" s="1"/>
  <c r="D146" i="18"/>
  <c r="AB146" i="18" s="1"/>
  <c r="L146" i="18"/>
  <c r="AJ146" i="18" s="1"/>
  <c r="D51" i="7"/>
  <c r="E143" i="18"/>
  <c r="AC143" i="18" s="1"/>
  <c r="E101" i="7"/>
  <c r="F143" i="18"/>
  <c r="AD143" i="18" s="1"/>
  <c r="J135" i="18"/>
  <c r="AH135" i="18" s="1"/>
  <c r="K135" i="18"/>
  <c r="AI135" i="18" s="1"/>
  <c r="J164" i="18"/>
  <c r="AH164" i="18" s="1"/>
  <c r="E141" i="18"/>
  <c r="AC141" i="18" s="1"/>
  <c r="L141" i="18"/>
  <c r="AJ141" i="18" s="1"/>
  <c r="D164" i="18"/>
  <c r="AB164" i="18" s="1"/>
  <c r="M139" i="18"/>
  <c r="AK139" i="18" s="1"/>
  <c r="H139" i="18"/>
  <c r="AF139" i="18" s="1"/>
  <c r="K140" i="18"/>
  <c r="AI140" i="18" s="1"/>
  <c r="L139" i="18"/>
  <c r="AJ139" i="18" s="1"/>
  <c r="H145" i="18"/>
  <c r="AF145" i="18" s="1"/>
  <c r="D136" i="18"/>
  <c r="AB136" i="18" s="1"/>
  <c r="E103" i="7"/>
  <c r="F147" i="18"/>
  <c r="AD147" i="18" s="1"/>
  <c r="F138" i="18"/>
  <c r="AD138" i="18" s="1"/>
  <c r="H138" i="18"/>
  <c r="AF138" i="18" s="1"/>
  <c r="F144" i="18"/>
  <c r="AD144" i="18" s="1"/>
  <c r="I142" i="18"/>
  <c r="AG142" i="18" s="1"/>
  <c r="L142" i="18"/>
  <c r="AJ142" i="18" s="1"/>
  <c r="J136" i="18"/>
  <c r="AH136" i="18" s="1"/>
  <c r="E136" i="18"/>
  <c r="AC136" i="18" s="1"/>
  <c r="D138" i="18"/>
  <c r="AB138" i="18" s="1"/>
  <c r="K136" i="18"/>
  <c r="AI136" i="18" s="1"/>
  <c r="F142" i="18"/>
  <c r="AD142" i="18" s="1"/>
  <c r="I159" i="18"/>
  <c r="AG159" i="18" s="1"/>
  <c r="L159" i="18"/>
  <c r="AJ159" i="18" s="1"/>
  <c r="K148" i="18"/>
  <c r="AI148" i="18" s="1"/>
  <c r="D153" i="18"/>
  <c r="AB153" i="18" s="1"/>
  <c r="M150" i="18"/>
  <c r="AK150" i="18" s="1"/>
  <c r="E150" i="18"/>
  <c r="AC150" i="18" s="1"/>
  <c r="F153" i="18"/>
  <c r="AD153" i="18" s="1"/>
  <c r="I155" i="18"/>
  <c r="AG155" i="18" s="1"/>
  <c r="J148" i="18"/>
  <c r="AH148" i="18" s="1"/>
  <c r="K154" i="18"/>
  <c r="AI154" i="18" s="1"/>
  <c r="E154" i="18"/>
  <c r="AC154" i="18" s="1"/>
  <c r="H148" i="18"/>
  <c r="AF148" i="18" s="1"/>
  <c r="D149" i="18"/>
  <c r="AB149" i="18" s="1"/>
  <c r="L150" i="18"/>
  <c r="AJ150" i="18" s="1"/>
  <c r="K155" i="18"/>
  <c r="AI155" i="18" s="1"/>
  <c r="L153" i="18"/>
  <c r="AJ153" i="18" s="1"/>
  <c r="J146" i="18"/>
  <c r="AH146" i="18" s="1"/>
  <c r="AD161" i="18"/>
  <c r="F163" i="18"/>
  <c r="AD163" i="18" s="1"/>
  <c r="AH161" i="18"/>
  <c r="J163" i="18"/>
  <c r="AH163" i="18" s="1"/>
  <c r="M146" i="18"/>
  <c r="AK146" i="18" s="1"/>
  <c r="J51" i="7"/>
  <c r="K143" i="18"/>
  <c r="I101" i="7"/>
  <c r="J143" i="18"/>
  <c r="AH143" i="18" s="1"/>
  <c r="E135" i="18"/>
  <c r="AC135" i="18" s="1"/>
  <c r="F141" i="18"/>
  <c r="AD141" i="18" s="1"/>
  <c r="F135" i="18"/>
  <c r="AD135" i="18" s="1"/>
  <c r="L164" i="18"/>
  <c r="AJ164" i="18" s="1"/>
  <c r="M141" i="18"/>
  <c r="AK141" i="18" s="1"/>
  <c r="K141" i="18"/>
  <c r="AI141" i="18" s="1"/>
  <c r="D135" i="18"/>
  <c r="AB135" i="18" s="1"/>
  <c r="H164" i="18"/>
  <c r="AF164" i="18" s="1"/>
  <c r="D145" i="18"/>
  <c r="AB145" i="18" s="1"/>
  <c r="F139" i="18"/>
  <c r="AD139" i="18" s="1"/>
  <c r="E140" i="18"/>
  <c r="AC140" i="18" s="1"/>
  <c r="E139" i="18"/>
  <c r="AC139" i="18" s="1"/>
  <c r="D140" i="18"/>
  <c r="AB140" i="18" s="1"/>
  <c r="M140" i="18"/>
  <c r="AK140" i="18" s="1"/>
  <c r="D142" i="18"/>
  <c r="AB142" i="18" s="1"/>
  <c r="D147" i="18"/>
  <c r="AB147" i="18" s="1"/>
  <c r="L156" i="18"/>
  <c r="AJ156" i="18" s="1"/>
  <c r="M144" i="18"/>
  <c r="AK144" i="18" s="1"/>
  <c r="F136" i="18"/>
  <c r="AD136" i="18" s="1"/>
  <c r="L138" i="18"/>
  <c r="AJ138" i="18" s="1"/>
  <c r="J157" i="18"/>
  <c r="AH157" i="18" s="1"/>
  <c r="E138" i="18"/>
  <c r="AC138" i="18" s="1"/>
  <c r="K138" i="18"/>
  <c r="AI138" i="18" s="1"/>
  <c r="L136" i="18"/>
  <c r="AJ136" i="18" s="1"/>
  <c r="I136" i="18"/>
  <c r="AG136" i="18" s="1"/>
  <c r="M136" i="18"/>
  <c r="AK136" i="18" s="1"/>
  <c r="H157" i="18"/>
  <c r="AF157" i="18" s="1"/>
  <c r="M157" i="18"/>
  <c r="AK157" i="18" s="1"/>
  <c r="K159" i="18"/>
  <c r="AI159" i="18" s="1"/>
  <c r="E159" i="18"/>
  <c r="AC159" i="18" s="1"/>
  <c r="H159" i="18"/>
  <c r="AF159" i="18" s="1"/>
  <c r="J150" i="18"/>
  <c r="AH150" i="18" s="1"/>
  <c r="L148" i="18"/>
  <c r="AJ148" i="18" s="1"/>
  <c r="K149" i="18"/>
  <c r="AI149" i="18" s="1"/>
  <c r="J153" i="18"/>
  <c r="AH153" i="18" s="1"/>
  <c r="J154" i="18"/>
  <c r="AH154" i="18" s="1"/>
  <c r="D148" i="18"/>
  <c r="AB148" i="18" s="1"/>
  <c r="L149" i="18"/>
  <c r="AJ149" i="18" s="1"/>
  <c r="F149" i="18"/>
  <c r="AD149" i="18" s="1"/>
  <c r="E155" i="18"/>
  <c r="AC155" i="18" s="1"/>
  <c r="H155" i="18"/>
  <c r="AF155" i="18" s="1"/>
  <c r="D150" i="18"/>
  <c r="AB150" i="18" s="1"/>
  <c r="M148" i="18"/>
  <c r="AK148" i="18" s="1"/>
  <c r="E148" i="18"/>
  <c r="AC148" i="18" s="1"/>
  <c r="E153" i="18"/>
  <c r="AC153" i="18" s="1"/>
  <c r="F155" i="18"/>
  <c r="AD155" i="18" s="1"/>
  <c r="AK161" i="18"/>
  <c r="M163" i="18"/>
  <c r="AK163" i="18" s="1"/>
  <c r="AI161" i="18"/>
  <c r="K163" i="18"/>
  <c r="AI163" i="18" s="1"/>
  <c r="AF161" i="18"/>
  <c r="H163" i="18"/>
  <c r="AF163" i="18" s="1"/>
  <c r="AG161" i="18"/>
  <c r="I163" i="18"/>
  <c r="AG163" i="18" s="1"/>
  <c r="F146" i="18"/>
  <c r="AD146" i="18" s="1"/>
  <c r="G51" i="7"/>
  <c r="H143" i="18"/>
  <c r="AF143" i="18" s="1"/>
  <c r="K51" i="7"/>
  <c r="L143" i="18"/>
  <c r="AJ143" i="18" s="1"/>
  <c r="J141" i="18"/>
  <c r="AH141" i="18" s="1"/>
  <c r="I164" i="18"/>
  <c r="AG164" i="18" s="1"/>
  <c r="H141" i="18"/>
  <c r="AF141" i="18" s="1"/>
  <c r="K164" i="18"/>
  <c r="AI164" i="18" s="1"/>
  <c r="M164" i="18"/>
  <c r="AK164" i="18" s="1"/>
  <c r="E164" i="18"/>
  <c r="AC164" i="18" s="1"/>
  <c r="D141" i="18"/>
  <c r="AB141" i="18" s="1"/>
  <c r="I140" i="18"/>
  <c r="AG140" i="18" s="1"/>
  <c r="I139" i="18"/>
  <c r="AG139" i="18" s="1"/>
  <c r="M145" i="18"/>
  <c r="AK145" i="18" s="1"/>
  <c r="H140" i="18"/>
  <c r="AF140" i="18" s="1"/>
  <c r="L145" i="18"/>
  <c r="AJ145" i="18" s="1"/>
  <c r="D139" i="18"/>
  <c r="AB139" i="18" s="1"/>
  <c r="K145" i="18"/>
  <c r="AI145" i="18" s="1"/>
  <c r="J140" i="18"/>
  <c r="AH140" i="18" s="1"/>
  <c r="M138" i="18"/>
  <c r="AK138" i="18" s="1"/>
  <c r="L144" i="18"/>
  <c r="AJ144" i="18" s="1"/>
  <c r="K142" i="18"/>
  <c r="AI142" i="18" s="1"/>
  <c r="J156" i="18"/>
  <c r="AH156" i="18" s="1"/>
  <c r="I147" i="18"/>
  <c r="AG147" i="18" s="1"/>
  <c r="J142" i="18"/>
  <c r="AH142" i="18" s="1"/>
  <c r="E30" i="17"/>
  <c r="K30" i="7"/>
  <c r="C35" i="17"/>
  <c r="E35" i="17" s="1"/>
  <c r="D30" i="17"/>
  <c r="E53" i="7"/>
  <c r="C30" i="17"/>
  <c r="AE149" i="18"/>
  <c r="AE154" i="18"/>
  <c r="AE148" i="18"/>
  <c r="AE155" i="18"/>
  <c r="AE141" i="18"/>
  <c r="AE139" i="18"/>
  <c r="AE140" i="18"/>
  <c r="AE156" i="18"/>
  <c r="F53" i="7"/>
  <c r="D121" i="16" s="1"/>
  <c r="AE142" i="18"/>
  <c r="AE153" i="18"/>
  <c r="AE144" i="18"/>
  <c r="AE136" i="18"/>
  <c r="AE138" i="18"/>
  <c r="AE159" i="18"/>
  <c r="AE150" i="18"/>
  <c r="E122" i="19"/>
  <c r="Q81" i="7"/>
  <c r="G32" i="16"/>
  <c r="G41" i="16"/>
  <c r="W79" i="7"/>
  <c r="I103" i="7"/>
  <c r="U77" i="7"/>
  <c r="W69" i="7"/>
  <c r="W77" i="7"/>
  <c r="C103" i="7"/>
  <c r="J102" i="7"/>
  <c r="H103" i="7"/>
  <c r="H53" i="7"/>
  <c r="R78" i="7"/>
  <c r="V72" i="7"/>
  <c r="H98" i="7"/>
  <c r="G29" i="16"/>
  <c r="X81" i="7"/>
  <c r="W72" i="7"/>
  <c r="W81" i="7"/>
  <c r="W68" i="7"/>
  <c r="C53" i="7"/>
  <c r="W78" i="7"/>
  <c r="W70" i="7"/>
  <c r="W83" i="7"/>
  <c r="H30" i="7"/>
  <c r="G52" i="7"/>
  <c r="W76" i="7"/>
  <c r="W80" i="7"/>
  <c r="W73" i="7"/>
  <c r="W53" i="7"/>
  <c r="W58" i="7" s="1"/>
  <c r="W71" i="7"/>
  <c r="W35" i="7"/>
  <c r="W82" i="7"/>
  <c r="L30" i="7"/>
  <c r="AE157" i="18"/>
  <c r="G31" i="16"/>
  <c r="J52" i="7"/>
  <c r="G30" i="7"/>
  <c r="D30" i="7"/>
  <c r="F52" i="7"/>
  <c r="D120" i="16" s="1"/>
  <c r="I30" i="7"/>
  <c r="J30" i="7"/>
  <c r="F30" i="7"/>
  <c r="G160" i="18" s="1"/>
  <c r="E30" i="7"/>
  <c r="E52" i="7"/>
  <c r="AF144" i="18"/>
  <c r="I53" i="7"/>
  <c r="K98" i="7"/>
  <c r="K52" i="7"/>
  <c r="H104" i="7"/>
  <c r="D104" i="7"/>
  <c r="H52" i="7"/>
  <c r="G34" i="16"/>
  <c r="C30" i="7"/>
  <c r="K102" i="7"/>
  <c r="F56" i="7"/>
  <c r="D124" i="16" s="1"/>
  <c r="I54" i="7"/>
  <c r="I56" i="7"/>
  <c r="K56" i="7"/>
  <c r="D56" i="7"/>
  <c r="F106" i="7"/>
  <c r="I106" i="7"/>
  <c r="K106" i="7"/>
  <c r="D106" i="7"/>
  <c r="J105" i="7"/>
  <c r="AE143" i="18"/>
  <c r="F51" i="7"/>
  <c r="D119" i="16" s="1"/>
  <c r="I98" i="7"/>
  <c r="L52" i="7"/>
  <c r="L102" i="7"/>
  <c r="AI143" i="18"/>
  <c r="I51" i="7"/>
  <c r="C51" i="7"/>
  <c r="L51" i="7"/>
  <c r="E51" i="7"/>
  <c r="AC144" i="18"/>
  <c r="D52" i="7"/>
  <c r="AC147" i="18"/>
  <c r="D53" i="7"/>
  <c r="AI147" i="18"/>
  <c r="J53" i="7"/>
  <c r="AK147" i="18"/>
  <c r="L53" i="7"/>
  <c r="J106" i="7"/>
  <c r="J56" i="7"/>
  <c r="AB152" i="18"/>
  <c r="C54" i="7"/>
  <c r="AE151" i="18"/>
  <c r="F55" i="7"/>
  <c r="D123" i="16" s="1"/>
  <c r="AJ152" i="18"/>
  <c r="K54" i="7"/>
  <c r="AB151" i="18"/>
  <c r="C55" i="7"/>
  <c r="C106" i="7"/>
  <c r="C56" i="7"/>
  <c r="AB144" i="18"/>
  <c r="C52" i="7"/>
  <c r="AJ147" i="18"/>
  <c r="K53" i="7"/>
  <c r="AG151" i="18"/>
  <c r="H55" i="7"/>
  <c r="AJ151" i="18"/>
  <c r="K55" i="7"/>
  <c r="AI151" i="18"/>
  <c r="J55" i="7"/>
  <c r="AD152" i="18"/>
  <c r="E54" i="7"/>
  <c r="AC151" i="18"/>
  <c r="D55" i="7"/>
  <c r="AH144" i="18"/>
  <c r="I52" i="7"/>
  <c r="G106" i="7"/>
  <c r="G56" i="7"/>
  <c r="E106" i="7"/>
  <c r="E56" i="7"/>
  <c r="AC152" i="18"/>
  <c r="D54" i="7"/>
  <c r="AK151" i="18"/>
  <c r="L55" i="7"/>
  <c r="AD151" i="18"/>
  <c r="E55" i="7"/>
  <c r="AI152" i="18"/>
  <c r="J54" i="7"/>
  <c r="AH151" i="18"/>
  <c r="I55" i="7"/>
  <c r="AF147" i="18"/>
  <c r="G53" i="7"/>
  <c r="L106" i="7"/>
  <c r="L56" i="7"/>
  <c r="H106" i="7"/>
  <c r="H56" i="7"/>
  <c r="AE152" i="18"/>
  <c r="F54" i="7"/>
  <c r="D122" i="16" s="1"/>
  <c r="AK152" i="18"/>
  <c r="L54" i="7"/>
  <c r="AF152" i="18"/>
  <c r="G54" i="7"/>
  <c r="AG152" i="18"/>
  <c r="H54" i="7"/>
  <c r="D28" i="7"/>
  <c r="E158" i="18" s="1"/>
  <c r="H28" i="7"/>
  <c r="I158" i="18" s="1"/>
  <c r="L28" i="7"/>
  <c r="C28" i="7"/>
  <c r="E28" i="7"/>
  <c r="I28" i="7"/>
  <c r="J158" i="18" s="1"/>
  <c r="G28" i="7"/>
  <c r="H158" i="18" s="1"/>
  <c r="F28" i="7"/>
  <c r="G158" i="18" s="1"/>
  <c r="J28" i="7"/>
  <c r="K158" i="18" s="1"/>
  <c r="K28" i="7"/>
  <c r="L158" i="18" s="1"/>
  <c r="C105" i="7"/>
  <c r="AE135" i="18"/>
  <c r="X70" i="7"/>
  <c r="X72" i="7"/>
  <c r="X78" i="7"/>
  <c r="X35" i="7"/>
  <c r="P53" i="7"/>
  <c r="P58" i="7" s="1"/>
  <c r="P77" i="7"/>
  <c r="P81" i="7"/>
  <c r="X69" i="7"/>
  <c r="X83" i="7"/>
  <c r="G39" i="16"/>
  <c r="E134" i="18"/>
  <c r="AC134" i="18" s="1"/>
  <c r="L134" i="18"/>
  <c r="AJ134" i="18" s="1"/>
  <c r="F134" i="18"/>
  <c r="AD134" i="18" s="1"/>
  <c r="G134" i="18"/>
  <c r="AE134" i="18" s="1"/>
  <c r="K134" i="18"/>
  <c r="AI134" i="18" s="1"/>
  <c r="I134" i="18"/>
  <c r="AG134" i="18" s="1"/>
  <c r="G36" i="16"/>
  <c r="AE146" i="18"/>
  <c r="H102" i="7"/>
  <c r="AG145" i="18"/>
  <c r="G35" i="16"/>
  <c r="AE145" i="18"/>
  <c r="AF156" i="18"/>
  <c r="AD156" i="18"/>
  <c r="I105" i="7"/>
  <c r="AH152" i="18"/>
  <c r="AK156" i="18"/>
  <c r="AG156" i="18"/>
  <c r="AB156" i="18"/>
  <c r="AE147" i="18"/>
  <c r="AI156" i="18"/>
  <c r="G100" i="7"/>
  <c r="I100" i="7"/>
  <c r="H100" i="7"/>
  <c r="F100" i="7"/>
  <c r="AE163" i="18"/>
  <c r="C98" i="7"/>
  <c r="AB161" i="18"/>
  <c r="K100" i="7"/>
  <c r="D100" i="7"/>
  <c r="J100" i="7"/>
  <c r="C100" i="7"/>
  <c r="AB163" i="18"/>
  <c r="L100" i="7"/>
  <c r="E100" i="7"/>
  <c r="P71" i="7"/>
  <c r="Q71" i="7"/>
  <c r="U73" i="7"/>
  <c r="U50" i="7"/>
  <c r="U58" i="7" s="1"/>
  <c r="G105" i="7"/>
  <c r="H105" i="7"/>
  <c r="S77" i="7"/>
  <c r="U80" i="7"/>
  <c r="U71" i="7"/>
  <c r="Q80" i="7"/>
  <c r="U81" i="7"/>
  <c r="U76" i="7"/>
  <c r="U79" i="7"/>
  <c r="Q73" i="7"/>
  <c r="Q35" i="7"/>
  <c r="P73" i="7"/>
  <c r="U78" i="7"/>
  <c r="Q78" i="7"/>
  <c r="P68" i="7"/>
  <c r="P82" i="7"/>
  <c r="P80" i="7"/>
  <c r="U72" i="7"/>
  <c r="U70" i="7"/>
  <c r="U82" i="7"/>
  <c r="I99" i="7"/>
  <c r="T70" i="7"/>
  <c r="T72" i="7"/>
  <c r="T76" i="7"/>
  <c r="Y77" i="7"/>
  <c r="Y81" i="7"/>
  <c r="J98" i="7"/>
  <c r="H101" i="7"/>
  <c r="K103" i="7"/>
  <c r="V81" i="7"/>
  <c r="V83" i="7"/>
  <c r="V82" i="7"/>
  <c r="L103" i="7"/>
  <c r="F99" i="7"/>
  <c r="D99" i="7"/>
  <c r="L98" i="7"/>
  <c r="L99" i="7"/>
  <c r="K101" i="7"/>
  <c r="J101" i="7"/>
  <c r="P76" i="7"/>
  <c r="Q69" i="7"/>
  <c r="Q77" i="7"/>
  <c r="Q70" i="7"/>
  <c r="P83" i="7"/>
  <c r="P79" i="7"/>
  <c r="U68" i="7"/>
  <c r="Q68" i="7"/>
  <c r="Q82" i="7"/>
  <c r="Q83" i="7"/>
  <c r="Q79" i="7"/>
  <c r="G44" i="16"/>
  <c r="K99" i="7"/>
  <c r="J99" i="7"/>
  <c r="D101" i="7"/>
  <c r="G103" i="7"/>
  <c r="K105" i="7"/>
  <c r="G101" i="7"/>
  <c r="F98" i="7"/>
  <c r="D98" i="7"/>
  <c r="H99" i="7"/>
  <c r="E98" i="7"/>
  <c r="F103" i="7"/>
  <c r="G99" i="7"/>
  <c r="P35" i="7"/>
  <c r="P72" i="7"/>
  <c r="Q72" i="7"/>
  <c r="P78" i="7"/>
  <c r="Q50" i="7"/>
  <c r="Q58" i="7" s="1"/>
  <c r="P70" i="7"/>
  <c r="U83" i="7"/>
  <c r="U69" i="7"/>
  <c r="U35" i="7"/>
  <c r="Q76" i="7"/>
  <c r="G40" i="16"/>
  <c r="E104" i="7"/>
  <c r="G45" i="16"/>
  <c r="G98" i="7"/>
  <c r="E99" i="7"/>
  <c r="F104" i="7"/>
  <c r="G38" i="16"/>
  <c r="G30" i="16"/>
  <c r="D102" i="7"/>
  <c r="G102" i="7"/>
  <c r="E102" i="7"/>
  <c r="F101" i="7"/>
  <c r="E127" i="19" s="1"/>
  <c r="D103" i="7"/>
  <c r="J103" i="7"/>
  <c r="D105" i="7"/>
  <c r="E121" i="19"/>
  <c r="X73" i="7"/>
  <c r="X53" i="7"/>
  <c r="X58" i="7" s="1"/>
  <c r="X68" i="7"/>
  <c r="R69" i="7"/>
  <c r="V77" i="7"/>
  <c r="R35" i="7"/>
  <c r="X77" i="7"/>
  <c r="X76" i="7"/>
  <c r="Y73" i="7"/>
  <c r="R72" i="7"/>
  <c r="X82" i="7"/>
  <c r="X79" i="7"/>
  <c r="X71" i="7"/>
  <c r="X80" i="7"/>
  <c r="G42" i="16"/>
  <c r="C104" i="7"/>
  <c r="R70" i="7"/>
  <c r="V73" i="7"/>
  <c r="R77" i="7"/>
  <c r="Y70" i="7"/>
  <c r="T73" i="7"/>
  <c r="C99" i="7"/>
  <c r="L104" i="7"/>
  <c r="G28" i="16"/>
  <c r="G27" i="16"/>
  <c r="E125" i="19"/>
  <c r="K104" i="7"/>
  <c r="G104" i="7"/>
  <c r="AG157" i="18"/>
  <c r="AB157" i="18"/>
  <c r="S81" i="7"/>
  <c r="F102" i="7"/>
  <c r="G46" i="16" s="1"/>
  <c r="AJ157" i="18"/>
  <c r="I102" i="7"/>
  <c r="C102" i="7"/>
  <c r="T78" i="7"/>
  <c r="S35" i="7"/>
  <c r="E127" i="16" s="1"/>
  <c r="S73" i="7"/>
  <c r="S72" i="7"/>
  <c r="R73" i="7"/>
  <c r="T80" i="7"/>
  <c r="E123" i="19"/>
  <c r="S69" i="7"/>
  <c r="V35" i="7"/>
  <c r="T71" i="7"/>
  <c r="R76" i="7"/>
  <c r="S70" i="7"/>
  <c r="T83" i="7"/>
  <c r="T53" i="7"/>
  <c r="T58" i="7" s="1"/>
  <c r="V69" i="7"/>
  <c r="Y68" i="7"/>
  <c r="T35" i="7"/>
  <c r="S68" i="7"/>
  <c r="S80" i="7"/>
  <c r="S79" i="7"/>
  <c r="S71" i="7"/>
  <c r="T79" i="7"/>
  <c r="R79" i="7"/>
  <c r="V78" i="7"/>
  <c r="T69" i="7"/>
  <c r="V70" i="7"/>
  <c r="R82" i="7"/>
  <c r="R83" i="7"/>
  <c r="R81" i="7"/>
  <c r="I104" i="7"/>
  <c r="F105" i="7"/>
  <c r="Y78" i="7"/>
  <c r="V50" i="7"/>
  <c r="V58" i="7" s="1"/>
  <c r="R68" i="7"/>
  <c r="V76" i="7"/>
  <c r="Y71" i="7"/>
  <c r="Y83" i="7"/>
  <c r="S78" i="7"/>
  <c r="Y35" i="7"/>
  <c r="S76" i="7"/>
  <c r="S50" i="7"/>
  <c r="S58" i="7" s="1"/>
  <c r="Y79" i="7"/>
  <c r="Y72" i="7"/>
  <c r="S82" i="7"/>
  <c r="R80" i="7"/>
  <c r="Y69" i="7"/>
  <c r="R71" i="7"/>
  <c r="S83" i="7"/>
  <c r="Y80" i="7"/>
  <c r="T81" i="7"/>
  <c r="J104" i="7"/>
  <c r="E105" i="7"/>
  <c r="V68" i="7"/>
  <c r="R50" i="7"/>
  <c r="R58" i="7" s="1"/>
  <c r="V79" i="7"/>
  <c r="T77" i="7"/>
  <c r="Y50" i="7"/>
  <c r="Y58" i="7" s="1"/>
  <c r="T68" i="7"/>
  <c r="T82" i="7"/>
  <c r="Y82" i="7"/>
  <c r="V80" i="7"/>
  <c r="Y76" i="7"/>
  <c r="V71" i="7"/>
  <c r="L105" i="7"/>
  <c r="J164" i="17"/>
  <c r="J165" i="17" s="1"/>
  <c r="J166" i="17" s="1"/>
  <c r="J167" i="17" s="1"/>
  <c r="J168" i="17" s="1"/>
  <c r="G120" i="19"/>
  <c r="G125" i="19"/>
  <c r="G123" i="19"/>
  <c r="G121" i="19"/>
  <c r="G122" i="19"/>
  <c r="G37" i="16"/>
  <c r="B7" i="19"/>
  <c r="D7" i="19" s="1"/>
  <c r="B148" i="19" s="1"/>
  <c r="F298" i="17"/>
  <c r="E174" i="2"/>
  <c r="G174" i="2" s="1"/>
  <c r="H174" i="2" s="1"/>
  <c r="H175" i="2" s="1"/>
  <c r="B428" i="2" l="1"/>
  <c r="B429" i="2" s="1"/>
  <c r="G127" i="6" s="1"/>
  <c r="C176" i="26"/>
  <c r="G402" i="2"/>
  <c r="E406" i="2" s="1"/>
  <c r="E407" i="2" s="1"/>
  <c r="E404" i="2"/>
  <c r="C169" i="26" s="1"/>
  <c r="C170" i="26" s="1"/>
  <c r="E50" i="7"/>
  <c r="F158" i="18"/>
  <c r="AD158" i="18" s="1"/>
  <c r="I57" i="7"/>
  <c r="J160" i="18"/>
  <c r="AH160" i="18" s="1"/>
  <c r="D158" i="18"/>
  <c r="AB158" i="18" s="1"/>
  <c r="E57" i="7"/>
  <c r="F160" i="18"/>
  <c r="AD160" i="18" s="1"/>
  <c r="H57" i="7"/>
  <c r="I160" i="18"/>
  <c r="L50" i="7"/>
  <c r="M158" i="18"/>
  <c r="AK158" i="18" s="1"/>
  <c r="C57" i="7"/>
  <c r="D160" i="18"/>
  <c r="AB160" i="18" s="1"/>
  <c r="D57" i="7"/>
  <c r="E160" i="18"/>
  <c r="AC160" i="18" s="1"/>
  <c r="J57" i="7"/>
  <c r="K160" i="18"/>
  <c r="G57" i="7"/>
  <c r="H160" i="18"/>
  <c r="AF160" i="18" s="1"/>
  <c r="L57" i="7"/>
  <c r="M160" i="18"/>
  <c r="AK160" i="18" s="1"/>
  <c r="K57" i="7"/>
  <c r="L160" i="18"/>
  <c r="AJ160" i="18" s="1"/>
  <c r="D32" i="7"/>
  <c r="E162" i="18" s="1"/>
  <c r="AC162" i="18" s="1"/>
  <c r="H32" i="7"/>
  <c r="I162" i="18" s="1"/>
  <c r="AG162" i="18" s="1"/>
  <c r="L32" i="7"/>
  <c r="M162" i="18" s="1"/>
  <c r="AK162" i="18" s="1"/>
  <c r="I32" i="7"/>
  <c r="I75" i="7" s="1"/>
  <c r="C32" i="7"/>
  <c r="D162" i="18" s="1"/>
  <c r="AB162" i="18" s="1"/>
  <c r="J32" i="7"/>
  <c r="K162" i="18" s="1"/>
  <c r="AI162" i="18" s="1"/>
  <c r="G32" i="7"/>
  <c r="H162" i="18" s="1"/>
  <c r="AF162" i="18" s="1"/>
  <c r="K32" i="7"/>
  <c r="K79" i="7" s="1"/>
  <c r="E32" i="7"/>
  <c r="F162" i="18" s="1"/>
  <c r="AD162" i="18" s="1"/>
  <c r="F32" i="7"/>
  <c r="G162" i="18" s="1"/>
  <c r="K107" i="7"/>
  <c r="C45" i="17"/>
  <c r="C49" i="17" s="1"/>
  <c r="F50" i="7"/>
  <c r="D118" i="16" s="1"/>
  <c r="D126" i="16" s="1"/>
  <c r="F57" i="7"/>
  <c r="I107" i="7"/>
  <c r="C107" i="7"/>
  <c r="D107" i="7"/>
  <c r="AG160" i="18"/>
  <c r="H107" i="7"/>
  <c r="E107" i="7"/>
  <c r="W59" i="7"/>
  <c r="AI160" i="18"/>
  <c r="L107" i="7"/>
  <c r="F107" i="7"/>
  <c r="J107" i="7"/>
  <c r="G107" i="7"/>
  <c r="AE160" i="18"/>
  <c r="AG158" i="18"/>
  <c r="G50" i="7"/>
  <c r="I50" i="7"/>
  <c r="K50" i="7"/>
  <c r="H50" i="7"/>
  <c r="J50" i="7"/>
  <c r="D50" i="7"/>
  <c r="C50" i="7"/>
  <c r="X59" i="7"/>
  <c r="Q59" i="7"/>
  <c r="AC158" i="18"/>
  <c r="AJ158" i="18"/>
  <c r="AI158" i="18"/>
  <c r="AH158" i="18"/>
  <c r="AF158" i="18"/>
  <c r="AE158" i="18"/>
  <c r="E118" i="16"/>
  <c r="E126" i="16" s="1"/>
  <c r="P59" i="7"/>
  <c r="S59" i="7"/>
  <c r="H97" i="7"/>
  <c r="K97" i="7"/>
  <c r="P87" i="7"/>
  <c r="Y59" i="7"/>
  <c r="J97" i="7"/>
  <c r="C97" i="7"/>
  <c r="Q87" i="7"/>
  <c r="G97" i="7"/>
  <c r="F97" i="7"/>
  <c r="D97" i="7"/>
  <c r="L97" i="7"/>
  <c r="U59" i="7"/>
  <c r="E97" i="7"/>
  <c r="I97" i="7"/>
  <c r="H81" i="7"/>
  <c r="R59" i="7"/>
  <c r="V59" i="7"/>
  <c r="T59" i="7"/>
  <c r="G43" i="16"/>
  <c r="B150" i="19"/>
  <c r="B151" i="19" s="1"/>
  <c r="B152" i="19" s="1"/>
  <c r="B157" i="19"/>
  <c r="B159" i="19" s="1"/>
  <c r="B160" i="19" s="1"/>
  <c r="B161" i="19" s="1"/>
  <c r="G33" i="16"/>
  <c r="V123" i="16"/>
  <c r="W123" i="16" s="1"/>
  <c r="G128" i="19"/>
  <c r="E120" i="19"/>
  <c r="E124" i="19"/>
  <c r="D79" i="7" l="1"/>
  <c r="K127" i="6"/>
  <c r="F39" i="7" s="1"/>
  <c r="G169" i="18" s="1"/>
  <c r="AE169" i="18" s="1"/>
  <c r="B432" i="2"/>
  <c r="C83" i="7"/>
  <c r="J89" i="7"/>
  <c r="C91" i="7"/>
  <c r="H76" i="7"/>
  <c r="H79" i="7"/>
  <c r="J69" i="7"/>
  <c r="J80" i="7"/>
  <c r="H92" i="7"/>
  <c r="J79" i="7"/>
  <c r="J78" i="7"/>
  <c r="H84" i="7"/>
  <c r="J72" i="7"/>
  <c r="H78" i="7"/>
  <c r="H86" i="7"/>
  <c r="L87" i="7"/>
  <c r="G70" i="7"/>
  <c r="L86" i="7"/>
  <c r="J70" i="7"/>
  <c r="H68" i="7"/>
  <c r="H82" i="7"/>
  <c r="H72" i="7"/>
  <c r="H75" i="7"/>
  <c r="H80" i="7"/>
  <c r="H69" i="7"/>
  <c r="H71" i="7"/>
  <c r="J75" i="7"/>
  <c r="J82" i="7"/>
  <c r="H87" i="7"/>
  <c r="E411" i="2"/>
  <c r="E413" i="2" s="1"/>
  <c r="E410" i="2"/>
  <c r="AE162" i="18"/>
  <c r="D72" i="7"/>
  <c r="G76" i="7"/>
  <c r="D75" i="7"/>
  <c r="G92" i="7"/>
  <c r="G87" i="7"/>
  <c r="H74" i="7"/>
  <c r="J91" i="7"/>
  <c r="J71" i="7"/>
  <c r="J68" i="7"/>
  <c r="H70" i="7"/>
  <c r="H88" i="7"/>
  <c r="H89" i="7"/>
  <c r="J86" i="7"/>
  <c r="H83" i="7"/>
  <c r="J76" i="7"/>
  <c r="E59" i="7"/>
  <c r="J81" i="7"/>
  <c r="J83" i="7"/>
  <c r="J73" i="7"/>
  <c r="J74" i="7"/>
  <c r="H73" i="7"/>
  <c r="J77" i="7"/>
  <c r="H77" i="7"/>
  <c r="J90" i="7"/>
  <c r="J92" i="7"/>
  <c r="H91" i="7"/>
  <c r="H90" i="7"/>
  <c r="J88" i="7"/>
  <c r="J87" i="7"/>
  <c r="H85" i="7"/>
  <c r="H42" i="7"/>
  <c r="U36" i="7" s="1"/>
  <c r="N120" i="16" s="1"/>
  <c r="J84" i="7"/>
  <c r="J42" i="7"/>
  <c r="W36" i="7" s="1"/>
  <c r="N122" i="16" s="1"/>
  <c r="J85" i="7"/>
  <c r="G74" i="7"/>
  <c r="G68" i="7"/>
  <c r="G73" i="7"/>
  <c r="L73" i="7"/>
  <c r="L91" i="7"/>
  <c r="L88" i="7"/>
  <c r="G91" i="7"/>
  <c r="L82" i="7"/>
  <c r="G71" i="7"/>
  <c r="G90" i="7"/>
  <c r="G59" i="7"/>
  <c r="L74" i="7"/>
  <c r="L69" i="7"/>
  <c r="L76" i="7"/>
  <c r="L90" i="7"/>
  <c r="G69" i="7"/>
  <c r="L85" i="7"/>
  <c r="L42" i="7"/>
  <c r="Y36" i="7" s="1"/>
  <c r="G84" i="7"/>
  <c r="L84" i="7"/>
  <c r="G77" i="7"/>
  <c r="G79" i="7"/>
  <c r="L75" i="7"/>
  <c r="L80" i="7"/>
  <c r="G78" i="7"/>
  <c r="G88" i="7"/>
  <c r="G85" i="7"/>
  <c r="K59" i="7"/>
  <c r="L70" i="7"/>
  <c r="G89" i="7"/>
  <c r="I69" i="7"/>
  <c r="L72" i="7"/>
  <c r="L79" i="7"/>
  <c r="L68" i="7"/>
  <c r="K73" i="7"/>
  <c r="L83" i="7"/>
  <c r="L81" i="7"/>
  <c r="G86" i="7"/>
  <c r="G81" i="7"/>
  <c r="L92" i="7"/>
  <c r="D59" i="7"/>
  <c r="G42" i="7"/>
  <c r="T36" i="7" s="1"/>
  <c r="N119" i="16" s="1"/>
  <c r="I72" i="7"/>
  <c r="L77" i="7"/>
  <c r="L71" i="7"/>
  <c r="L89" i="7"/>
  <c r="G83" i="7"/>
  <c r="G75" i="7"/>
  <c r="G82" i="7"/>
  <c r="G72" i="7"/>
  <c r="G80" i="7"/>
  <c r="L78" i="7"/>
  <c r="L59" i="7"/>
  <c r="I59" i="7"/>
  <c r="K71" i="7"/>
  <c r="C71" i="7"/>
  <c r="C75" i="7"/>
  <c r="D81" i="7"/>
  <c r="E86" i="7"/>
  <c r="C84" i="7"/>
  <c r="C42" i="7"/>
  <c r="P36" i="7" s="1"/>
  <c r="N115" i="16" s="1"/>
  <c r="D85" i="7"/>
  <c r="C79" i="7"/>
  <c r="E81" i="7"/>
  <c r="E82" i="7"/>
  <c r="E83" i="7"/>
  <c r="E80" i="7"/>
  <c r="D42" i="7"/>
  <c r="Q36" i="7" s="1"/>
  <c r="N116" i="16" s="1"/>
  <c r="E70" i="7"/>
  <c r="E84" i="7"/>
  <c r="C68" i="7"/>
  <c r="C81" i="7"/>
  <c r="D70" i="7"/>
  <c r="D88" i="7"/>
  <c r="E76" i="7"/>
  <c r="E87" i="7"/>
  <c r="E74" i="7"/>
  <c r="D78" i="7"/>
  <c r="E73" i="7"/>
  <c r="D82" i="7"/>
  <c r="E68" i="7"/>
  <c r="E72" i="7"/>
  <c r="D80" i="7"/>
  <c r="E92" i="7"/>
  <c r="E91" i="7"/>
  <c r="D87" i="7"/>
  <c r="H59" i="7"/>
  <c r="C69" i="7"/>
  <c r="C72" i="7"/>
  <c r="C89" i="7"/>
  <c r="C77" i="7"/>
  <c r="C87" i="7"/>
  <c r="C88" i="7"/>
  <c r="C76" i="7"/>
  <c r="D73" i="7"/>
  <c r="E90" i="7"/>
  <c r="D91" i="7"/>
  <c r="D74" i="7"/>
  <c r="D76" i="7"/>
  <c r="D71" i="7"/>
  <c r="D77" i="7"/>
  <c r="D86" i="7"/>
  <c r="D90" i="7"/>
  <c r="E77" i="7"/>
  <c r="E71" i="7"/>
  <c r="C85" i="7"/>
  <c r="D84" i="7"/>
  <c r="C59" i="7"/>
  <c r="J59" i="7"/>
  <c r="C90" i="7"/>
  <c r="C70" i="7"/>
  <c r="D68" i="7"/>
  <c r="C80" i="7"/>
  <c r="C78" i="7"/>
  <c r="C74" i="7"/>
  <c r="C73" i="7"/>
  <c r="C82" i="7"/>
  <c r="C86" i="7"/>
  <c r="E88" i="7"/>
  <c r="E75" i="7"/>
  <c r="D89" i="7"/>
  <c r="D92" i="7"/>
  <c r="E69" i="7"/>
  <c r="D69" i="7"/>
  <c r="E89" i="7"/>
  <c r="D83" i="7"/>
  <c r="E79" i="7"/>
  <c r="C92" i="7"/>
  <c r="E78" i="7"/>
  <c r="E42" i="7"/>
  <c r="E85" i="7"/>
  <c r="I89" i="7"/>
  <c r="K74" i="7"/>
  <c r="I83" i="7"/>
  <c r="K68" i="7"/>
  <c r="I91" i="7"/>
  <c r="I76" i="7"/>
  <c r="I77" i="7"/>
  <c r="K69" i="7"/>
  <c r="K78" i="7"/>
  <c r="I88" i="7"/>
  <c r="I90" i="7"/>
  <c r="K42" i="7"/>
  <c r="X36" i="7" s="1"/>
  <c r="N123" i="16" s="1"/>
  <c r="L162" i="18"/>
  <c r="AJ162" i="18" s="1"/>
  <c r="I85" i="7"/>
  <c r="J162" i="18"/>
  <c r="AH162" i="18" s="1"/>
  <c r="K92" i="7"/>
  <c r="K70" i="7"/>
  <c r="K75" i="7"/>
  <c r="I82" i="7"/>
  <c r="I74" i="7"/>
  <c r="I78" i="7"/>
  <c r="K84" i="7"/>
  <c r="K85" i="7"/>
  <c r="K77" i="7"/>
  <c r="K91" i="7"/>
  <c r="I68" i="7"/>
  <c r="I70" i="7"/>
  <c r="I71" i="7"/>
  <c r="K90" i="7"/>
  <c r="K72" i="7"/>
  <c r="K80" i="7"/>
  <c r="K83" i="7"/>
  <c r="I84" i="7"/>
  <c r="I42" i="7"/>
  <c r="V36" i="7" s="1"/>
  <c r="N121" i="16" s="1"/>
  <c r="K76" i="7"/>
  <c r="I79" i="7"/>
  <c r="K89" i="7"/>
  <c r="I80" i="7"/>
  <c r="K81" i="7"/>
  <c r="K82" i="7"/>
  <c r="I92" i="7"/>
  <c r="K86" i="7"/>
  <c r="I73" i="7"/>
  <c r="I81" i="7"/>
  <c r="I86" i="7"/>
  <c r="K88" i="7"/>
  <c r="I87" i="7"/>
  <c r="K87" i="7"/>
  <c r="I44" i="17"/>
  <c r="J44" i="17" s="1"/>
  <c r="I43" i="17"/>
  <c r="J43" i="17" s="1"/>
  <c r="F59" i="7"/>
  <c r="F108" i="7"/>
  <c r="Y115" i="16"/>
  <c r="D131" i="19"/>
  <c r="E128" i="19"/>
  <c r="I120" i="19" s="1"/>
  <c r="E412" i="2" l="1"/>
  <c r="E415" i="2" s="1"/>
  <c r="C173" i="26" s="1"/>
  <c r="B433" i="2"/>
  <c r="L60" i="7"/>
  <c r="H60" i="7"/>
  <c r="E416" i="2"/>
  <c r="C174" i="26" s="1"/>
  <c r="D140" i="16"/>
  <c r="E60" i="7"/>
  <c r="J93" i="7"/>
  <c r="H93" i="7"/>
  <c r="D139" i="16"/>
  <c r="D142" i="16"/>
  <c r="J60" i="7"/>
  <c r="C60" i="7"/>
  <c r="D135" i="16"/>
  <c r="I60" i="7"/>
  <c r="L93" i="7"/>
  <c r="G60" i="7"/>
  <c r="R36" i="7"/>
  <c r="N117" i="16" s="1"/>
  <c r="D141" i="16"/>
  <c r="G93" i="7"/>
  <c r="E93" i="7"/>
  <c r="D136" i="16"/>
  <c r="D60" i="7"/>
  <c r="D93" i="7"/>
  <c r="C93" i="7"/>
  <c r="I93" i="7"/>
  <c r="D143" i="16"/>
  <c r="K60" i="7"/>
  <c r="K93" i="7"/>
  <c r="D144" i="16"/>
  <c r="N124" i="16"/>
  <c r="I124" i="19"/>
  <c r="I128" i="19"/>
  <c r="I122" i="19"/>
  <c r="I125" i="19"/>
  <c r="I127" i="19"/>
  <c r="I123" i="19"/>
  <c r="I121" i="19"/>
  <c r="B94" i="16"/>
  <c r="B95" i="16" s="1"/>
  <c r="F102" i="16" s="1"/>
  <c r="B434" i="2" l="1"/>
  <c r="C171" i="26" s="1"/>
  <c r="C172" i="26"/>
  <c r="F31" i="7"/>
  <c r="I44" i="7" s="1"/>
  <c r="E417" i="2"/>
  <c r="G123" i="6" s="1"/>
  <c r="B435" i="2"/>
  <c r="E418" i="2"/>
  <c r="G124" i="6" s="1"/>
  <c r="F70" i="7"/>
  <c r="D137" i="16"/>
  <c r="F83" i="7"/>
  <c r="F68" i="7"/>
  <c r="Y87" i="7"/>
  <c r="V87" i="7"/>
  <c r="T87" i="7"/>
  <c r="S87" i="7"/>
  <c r="R87" i="7"/>
  <c r="U87" i="7"/>
  <c r="W87" i="7"/>
  <c r="X87" i="7"/>
  <c r="F85" i="7" l="1"/>
  <c r="F91" i="7"/>
  <c r="F87" i="7"/>
  <c r="F69" i="7"/>
  <c r="F72" i="7"/>
  <c r="G161" i="18"/>
  <c r="AE161" i="18" s="1"/>
  <c r="F84" i="7"/>
  <c r="F92" i="7"/>
  <c r="F77" i="7"/>
  <c r="F80" i="7"/>
  <c r="F74" i="7"/>
  <c r="F89" i="7"/>
  <c r="F71" i="7"/>
  <c r="F81" i="7"/>
  <c r="F79" i="7"/>
  <c r="F90" i="7"/>
  <c r="F75" i="7"/>
  <c r="F86" i="7"/>
  <c r="F76" i="7"/>
  <c r="F78" i="7"/>
  <c r="F88" i="7"/>
  <c r="F73" i="7"/>
  <c r="F82" i="7"/>
  <c r="F42" i="7"/>
  <c r="C49" i="16" s="1"/>
  <c r="C175" i="26"/>
  <c r="B436" i="2"/>
  <c r="K123" i="6"/>
  <c r="K124" i="6"/>
  <c r="M8" i="7"/>
  <c r="M4" i="7"/>
  <c r="T72" i="18"/>
  <c r="M71" i="18"/>
  <c r="P71" i="18"/>
  <c r="M24" i="7" l="1"/>
  <c r="F60" i="7"/>
  <c r="M25" i="7"/>
  <c r="M18" i="7"/>
  <c r="M28" i="7"/>
  <c r="M30" i="7"/>
  <c r="M22" i="7"/>
  <c r="M21" i="7"/>
  <c r="M33" i="7"/>
  <c r="M27" i="7"/>
  <c r="S36" i="7"/>
  <c r="D138" i="16" s="1"/>
  <c r="M11" i="7"/>
  <c r="M29" i="7"/>
  <c r="M20" i="7"/>
  <c r="M15" i="7"/>
  <c r="M13" i="7"/>
  <c r="M23" i="7"/>
  <c r="M6" i="7"/>
  <c r="M5" i="7"/>
  <c r="M16" i="7"/>
  <c r="M35" i="7"/>
  <c r="F44" i="7"/>
  <c r="M10" i="7"/>
  <c r="D127" i="16"/>
  <c r="M34" i="7"/>
  <c r="M19" i="7"/>
  <c r="M14" i="7"/>
  <c r="M9" i="7"/>
  <c r="M12" i="7"/>
  <c r="M7" i="7"/>
  <c r="M26" i="7"/>
  <c r="M17" i="7"/>
  <c r="C148" i="16"/>
  <c r="C150" i="16" s="1"/>
  <c r="C151" i="16" s="1"/>
  <c r="C152" i="16" s="1"/>
  <c r="C153" i="16" s="1"/>
  <c r="C156" i="16" s="1"/>
  <c r="F93" i="7"/>
  <c r="B437" i="2"/>
  <c r="G128" i="6" s="1"/>
  <c r="K128" i="6" s="1"/>
  <c r="F40" i="7"/>
  <c r="C158" i="16"/>
  <c r="U72" i="18"/>
  <c r="V72" i="18" s="1"/>
  <c r="W72" i="18" s="1"/>
  <c r="I70" i="18"/>
  <c r="L70" i="18"/>
  <c r="N118" i="16" l="1"/>
  <c r="D169" i="16"/>
  <c r="G170" i="18"/>
  <c r="AE170" i="18" s="1"/>
  <c r="I45" i="7"/>
  <c r="I46" i="7" s="1"/>
  <c r="R71" i="18"/>
  <c r="Q71" i="18" s="1"/>
  <c r="AA73" i="18"/>
  <c r="X72" i="18"/>
  <c r="Z72" i="18" l="1"/>
  <c r="AA72" i="18" s="1"/>
  <c r="AB72" i="18" s="1"/>
  <c r="AB73" i="18"/>
  <c r="AC73" i="18" s="1"/>
  <c r="Z73" i="18"/>
  <c r="N70" i="18"/>
  <c r="O70" i="18" s="1"/>
  <c r="P70" i="18" s="1"/>
  <c r="S71" i="18"/>
  <c r="T71" i="18" s="1"/>
  <c r="M70" i="18" l="1"/>
  <c r="AE73" i="18"/>
  <c r="V71" i="18"/>
  <c r="AC72" i="18"/>
  <c r="AD72" i="18" l="1"/>
  <c r="AE72" i="18" s="1"/>
  <c r="AF72" i="18" s="1"/>
  <c r="W71" i="18"/>
  <c r="X71" i="18" s="1"/>
  <c r="R70" i="18"/>
  <c r="U71" i="18"/>
  <c r="AF73" i="18"/>
  <c r="AG73" i="18" s="1"/>
  <c r="AD73" i="18"/>
  <c r="AA71" i="18" l="1"/>
  <c r="AI73" i="18"/>
  <c r="AG72" i="18"/>
  <c r="S70" i="18"/>
  <c r="T70" i="18" s="1"/>
  <c r="Q70" i="18"/>
  <c r="AJ73" i="18" l="1"/>
  <c r="AK73" i="18" s="1"/>
  <c r="AH73" i="18"/>
  <c r="AH72" i="18"/>
  <c r="AI72" i="18" s="1"/>
  <c r="AJ72" i="18" s="1"/>
  <c r="V70" i="18"/>
  <c r="AB71" i="18"/>
  <c r="AC71" i="18" s="1"/>
  <c r="Z71" i="18"/>
  <c r="AM73" i="18" l="1"/>
  <c r="AE71" i="18"/>
  <c r="W70" i="18"/>
  <c r="X70" i="18" s="1"/>
  <c r="U70" i="18"/>
  <c r="AF71" i="18" l="1"/>
  <c r="AG71" i="18" s="1"/>
  <c r="AA70" i="18"/>
  <c r="AD71" i="18"/>
  <c r="AN73" i="18"/>
  <c r="AL73" i="18"/>
  <c r="AB70" i="18" l="1"/>
  <c r="AC70" i="18" s="1"/>
  <c r="Z70" i="18"/>
  <c r="E45" i="15"/>
  <c r="K110" i="6"/>
  <c r="C101" i="13" s="1"/>
  <c r="C43" i="16" l="1"/>
  <c r="G30" i="15"/>
  <c r="E30" i="15"/>
  <c r="Q80" i="6"/>
  <c r="R80" i="6" s="1"/>
  <c r="S80" i="6" s="1"/>
</calcChain>
</file>

<file path=xl/sharedStrings.xml><?xml version="1.0" encoding="utf-8"?>
<sst xmlns="http://schemas.openxmlformats.org/spreadsheetml/2006/main" count="12147" uniqueCount="4912">
  <si>
    <t>Retail Marijuana Excise Tax (15%)</t>
  </si>
  <si>
    <t>Total Taxes &amp; Fees</t>
  </si>
  <si>
    <t>Total to Date</t>
  </si>
  <si>
    <t>State of Colorado</t>
  </si>
  <si>
    <t>Revenue Month</t>
  </si>
  <si>
    <t>License &amp; Fees</t>
  </si>
  <si>
    <t>Source: Revenue collected monthly as posted in the Colorado state accounting system</t>
  </si>
  <si>
    <t>Prepared by: Colorado Department of Revenue, Office of Research and Analysis, dor_ora@state.co.us</t>
  </si>
  <si>
    <r>
      <t xml:space="preserve">Marijuana Taxes, License, and Fee Revenue February 2014 to Date </t>
    </r>
    <r>
      <rPr>
        <b/>
        <vertAlign val="superscript"/>
        <sz val="12"/>
        <rFont val="Times New Roman"/>
        <family val="1"/>
      </rPr>
      <t>1</t>
    </r>
  </si>
  <si>
    <r>
      <rPr>
        <vertAlign val="superscript"/>
        <sz val="9"/>
        <color theme="1"/>
        <rFont val="Times New Roman"/>
        <family val="1"/>
      </rPr>
      <t>1</t>
    </r>
    <r>
      <rPr>
        <sz val="9"/>
        <color theme="1"/>
        <rFont val="Times New Roman"/>
        <family val="1"/>
      </rPr>
      <t xml:space="preserve"> Tax remitted includes marijuana tax, license, and fee revenue received as well as penalties and other adjustments in a given month.</t>
    </r>
  </si>
  <si>
    <r>
      <t xml:space="preserve">State Sales Tax (2.9%) </t>
    </r>
    <r>
      <rPr>
        <b/>
        <vertAlign val="superscript"/>
        <sz val="11"/>
        <color theme="1"/>
        <rFont val="Times New Roman"/>
        <family val="1"/>
      </rPr>
      <t>2</t>
    </r>
  </si>
  <si>
    <r>
      <t xml:space="preserve">Retail Marijuana Sales Tax </t>
    </r>
    <r>
      <rPr>
        <b/>
        <vertAlign val="superscript"/>
        <sz val="11"/>
        <color theme="1"/>
        <rFont val="Times New Roman"/>
        <family val="1"/>
      </rPr>
      <t>3</t>
    </r>
  </si>
  <si>
    <t>Please see the Colorado Department of Revenue Marijuana Tax Data page for additional details:</t>
  </si>
  <si>
    <t xml:space="preserve">   https://www.colorado.gov/pacific/revenue/colorado-marijuana-tax-data</t>
  </si>
  <si>
    <t>Year to Date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</si>
  <si>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</si>
  <si>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</si>
  <si>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</si>
  <si>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</si>
  <si>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</si>
  <si>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</si>
  <si>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</si>
  <si>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</si>
  <si>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</si>
  <si>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</si>
  <si>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</si>
  <si>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</si>
  <si>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</si>
  <si>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</si>
  <si>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</si>
  <si>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</si>
  <si>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</si>
  <si>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</si>
  <si>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</si>
  <si>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</si>
  <si>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</si>
  <si>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</si>
  <si>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</si>
  <si>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</si>
  <si>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</si>
  <si>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</si>
  <si>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</si>
  <si>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</si>
  <si>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</si>
  <si>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</si>
  <si>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</si>
  <si>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</si>
  <si>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</si>
  <si>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</si>
  <si>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</si>
  <si>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</si>
  <si>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</si>
  <si>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</si>
  <si>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</si>
  <si>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</si>
  <si>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</si>
  <si>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</si>
  <si>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</si>
  <si>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</si>
  <si>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</si>
  <si>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</si>
  <si>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</si>
  <si>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</si>
  <si>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</si>
  <si>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</si>
  <si>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</si>
  <si>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</si>
  <si>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</si>
  <si>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</si>
  <si>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r>
      <rPr>
        <vertAlign val="superscript"/>
        <sz val="9"/>
        <rFont val="Times New Roman"/>
        <family val="1"/>
      </rPr>
      <t>2</t>
    </r>
    <r>
      <rPr>
        <sz val="9"/>
        <rFont val="Times New Roman"/>
        <family val="1"/>
      </rPr>
      <t xml:space="preserve"> Per §39-26-729, C.R.S., retail marijuana and retail marijuana products sold beginning July 1, 2017 are exempt from the 2.9% state sales tax; however,</t>
    </r>
  </si>
  <si>
    <t xml:space="preserve">  products that do not contain marijuana (i.e., accessories) are still subject to the 2.9% state sales tax. The first revenue month that reflects this exemption</t>
  </si>
  <si>
    <t xml:space="preserve">  is August 2017.</t>
  </si>
  <si>
    <r>
      <rPr>
        <vertAlign val="superscript"/>
        <sz val="9"/>
        <rFont val="Times New Roman"/>
        <family val="1"/>
      </rPr>
      <t>3</t>
    </r>
    <r>
      <rPr>
        <sz val="9"/>
        <rFont val="Times New Roman"/>
        <family val="1"/>
      </rPr>
      <t xml:space="preserve"> Per §39-28.8-202, C.R.S., the retail marijuana sales tax on the sale of retail marijuana and marijuana products increased from 10% to 15% beginning</t>
    </r>
  </si>
  <si>
    <t xml:space="preserve">  July 1, 2017. The first revenue month that reflects the 15% rate is August 2017.</t>
  </si>
  <si>
    <t>Publish date: August 2018</t>
  </si>
  <si>
    <t>Total Sales</t>
  </si>
  <si>
    <t>tonnes</t>
  </si>
  <si>
    <t>Flower</t>
  </si>
  <si>
    <t>Concentrate</t>
  </si>
  <si>
    <t>Trim</t>
  </si>
  <si>
    <t>Infused edibles</t>
  </si>
  <si>
    <t>infused nonedibles</t>
  </si>
  <si>
    <t>Report says</t>
  </si>
  <si>
    <t>tonnes actually harvest and supplied to retailers, 32.6 was held within companies and 1.9 % residual value (read report about this definition)</t>
  </si>
  <si>
    <t>Total Supplied</t>
  </si>
  <si>
    <t>Companies withheld</t>
  </si>
  <si>
    <t>Residual Value**</t>
  </si>
  <si>
    <t>**Residual Value: seizure and destruction of marijauan; failure to meet quality assurance standards; losses in harvest, trimming and extraction processes; inventory shrinkage; and other factors</t>
  </si>
  <si>
    <t>[1]</t>
  </si>
  <si>
    <t>Market Size and Demand for Marijuana in Colorado 2017 Market Update</t>
  </si>
  <si>
    <t>Market Size and Demand for Marijuana in Colorado: 2017 Market Update</t>
  </si>
  <si>
    <t>https://www.colorado.gov/pacific/sites/default/files/MED%20Demand%20and%20Market%20%20Study%20%20082018.pdf</t>
  </si>
  <si>
    <t>Name</t>
  </si>
  <si>
    <t>Link</t>
  </si>
  <si>
    <t>[2]</t>
  </si>
  <si>
    <t>Average Market Rate for Unprocessed Retail Marijuana</t>
  </si>
  <si>
    <t>Period Rate: July 1 to September 30, 2018</t>
  </si>
  <si>
    <t>Retail Bud Rate</t>
  </si>
  <si>
    <t>per pound</t>
  </si>
  <si>
    <t>Retail Trim Rate</t>
  </si>
  <si>
    <t>Retail Immature Plant Rate</t>
  </si>
  <si>
    <t>per plant</t>
  </si>
  <si>
    <t>Wet Whole Plant Rate</t>
  </si>
  <si>
    <t>Seed Rate</t>
  </si>
  <si>
    <t>per seed</t>
  </si>
  <si>
    <t>Trim Allocated for Extraction Rate</t>
  </si>
  <si>
    <t>Bud Allocated for Extraction Rate</t>
  </si>
  <si>
    <t>Flower Prices:</t>
  </si>
  <si>
    <t>$/gram</t>
  </si>
  <si>
    <t>Concentrate:</t>
  </si>
  <si>
    <t>Edibles:</t>
  </si>
  <si>
    <t>$/100mg package</t>
  </si>
  <si>
    <t>Los Suenos Farms</t>
  </si>
  <si>
    <t>Size (sq. feet)</t>
  </si>
  <si>
    <t>Category</t>
  </si>
  <si>
    <t>Property</t>
  </si>
  <si>
    <t>Baseline</t>
  </si>
  <si>
    <t>Unit</t>
  </si>
  <si>
    <t>Source</t>
  </si>
  <si>
    <t>Converted Value</t>
  </si>
  <si>
    <t>Comments</t>
  </si>
  <si>
    <t>Volume</t>
  </si>
  <si>
    <t>m^3</t>
  </si>
  <si>
    <t>Google</t>
  </si>
  <si>
    <t>Mass</t>
  </si>
  <si>
    <t xml:space="preserve">1 ton </t>
  </si>
  <si>
    <t>lbs</t>
  </si>
  <si>
    <t>kgs</t>
  </si>
  <si>
    <t xml:space="preserve">1 tonne </t>
  </si>
  <si>
    <t>tons</t>
  </si>
  <si>
    <t>1 lb</t>
  </si>
  <si>
    <t>grams</t>
  </si>
  <si>
    <t xml:space="preserve">1 kg </t>
  </si>
  <si>
    <t xml:space="preserve">1 gal </t>
  </si>
  <si>
    <t>Liters</t>
  </si>
  <si>
    <t>1 m ^3</t>
  </si>
  <si>
    <t>L</t>
  </si>
  <si>
    <t>1 ft^3</t>
  </si>
  <si>
    <t>Energy</t>
  </si>
  <si>
    <t xml:space="preserve">1 kWh </t>
  </si>
  <si>
    <t>MJ</t>
  </si>
  <si>
    <t xml:space="preserve">1 kJ </t>
  </si>
  <si>
    <t>kWh</t>
  </si>
  <si>
    <t>J</t>
  </si>
  <si>
    <t>Time</t>
  </si>
  <si>
    <t xml:space="preserve">1 Hour </t>
  </si>
  <si>
    <t>min</t>
  </si>
  <si>
    <t xml:space="preserve">1 min </t>
  </si>
  <si>
    <t>seconds</t>
  </si>
  <si>
    <t>Power</t>
  </si>
  <si>
    <t xml:space="preserve">1 HP </t>
  </si>
  <si>
    <t>kW</t>
  </si>
  <si>
    <t xml:space="preserve">1 BTU </t>
  </si>
  <si>
    <t>1 MJ</t>
  </si>
  <si>
    <t>kJ</t>
  </si>
  <si>
    <t>Area</t>
  </si>
  <si>
    <t>1 acre</t>
  </si>
  <si>
    <t>m^2</t>
  </si>
  <si>
    <t>1 m^2</t>
  </si>
  <si>
    <t>ft^2</t>
  </si>
  <si>
    <t>LivWell</t>
  </si>
  <si>
    <t>[3] Largest Operations in CO</t>
  </si>
  <si>
    <t>https://growersnetwork.org/industry/largest-cannabis-producers-in-north-america-2018/</t>
  </si>
  <si>
    <t>[3]</t>
  </si>
  <si>
    <t>Growers Network - Largest Cannabis Producers in North America</t>
  </si>
  <si>
    <t>GreenMan Cannabis</t>
  </si>
  <si>
    <t>Veritas Cannabis</t>
  </si>
  <si>
    <t>Website</t>
  </si>
  <si>
    <t>https://lsf.farm/</t>
  </si>
  <si>
    <t>http://www.livwell.com/</t>
  </si>
  <si>
    <t>http://greenmancannabis.com/</t>
  </si>
  <si>
    <t>http://coloradoharvestcompany.com/</t>
  </si>
  <si>
    <t>http://veritascannabis.com/</t>
  </si>
  <si>
    <t>Leased to:</t>
  </si>
  <si>
    <t>Farmboy LLC</t>
  </si>
  <si>
    <t>Baseball 18 LLC</t>
  </si>
  <si>
    <t>Los Suenos LLC</t>
  </si>
  <si>
    <t>Emerald Fields Grow</t>
  </si>
  <si>
    <t>Indoor/Outdoor</t>
  </si>
  <si>
    <t>Outdoor</t>
  </si>
  <si>
    <t>Indoor</t>
  </si>
  <si>
    <t>Colorado Harvest Company</t>
  </si>
  <si>
    <t>Total</t>
  </si>
  <si>
    <t>Area (ft^2)</t>
  </si>
  <si>
    <t>Area (acres)</t>
  </si>
  <si>
    <t>Size (acres)</t>
  </si>
  <si>
    <t>Colorado Totals</t>
  </si>
  <si>
    <t>Market Size</t>
  </si>
  <si>
    <t>Market Pricing</t>
  </si>
  <si>
    <t>Sub-category</t>
  </si>
  <si>
    <t>Variable</t>
  </si>
  <si>
    <t>Idealistic</t>
  </si>
  <si>
    <t>Optimistic</t>
  </si>
  <si>
    <t>Conservative</t>
  </si>
  <si>
    <t>Units</t>
  </si>
  <si>
    <t>Reference</t>
  </si>
  <si>
    <t>Notes</t>
  </si>
  <si>
    <t>Input</t>
  </si>
  <si>
    <t>Plant Yield</t>
  </si>
  <si>
    <t>Process</t>
  </si>
  <si>
    <t>Plant Densities Yields</t>
  </si>
  <si>
    <t>https://academic.oup.com/bioscience/article/65/8/822/240374</t>
  </si>
  <si>
    <t>[4]</t>
  </si>
  <si>
    <t>High Time for Conservation: Adding the Environment to the Debate on Marijuana Liberalization</t>
  </si>
  <si>
    <t>Greenhouse</t>
  </si>
  <si>
    <t>Irrigation</t>
  </si>
  <si>
    <t>L/plant*day</t>
  </si>
  <si>
    <t>Plant Density</t>
  </si>
  <si>
    <t>plants/acre</t>
  </si>
  <si>
    <t>plants/km^2</t>
  </si>
  <si>
    <t>acre</t>
  </si>
  <si>
    <t>1 km^2</t>
  </si>
  <si>
    <t>Value</t>
  </si>
  <si>
    <t>Only for June-October</t>
  </si>
  <si>
    <t>gal/plant*day</t>
  </si>
  <si>
    <t>Density</t>
  </si>
  <si>
    <t>Lower price</t>
  </si>
  <si>
    <t>$/kg</t>
  </si>
  <si>
    <t>Higher Price</t>
  </si>
  <si>
    <t>[5]</t>
  </si>
  <si>
    <t>Not so green: how the weed industry is a glutton for fossil fuels</t>
  </si>
  <si>
    <t>https://www.theguardian.com/society/2017/jun/20/cannabis-climate-change-fossil-fuels</t>
  </si>
  <si>
    <t>Watt lightbulbs</t>
  </si>
  <si>
    <t>Vegetative Phase</t>
  </si>
  <si>
    <t>$/month</t>
  </si>
  <si>
    <t>Electricity</t>
  </si>
  <si>
    <t># of plants</t>
  </si>
  <si>
    <t>per plant per month</t>
  </si>
  <si>
    <t>kWh/month</t>
  </si>
  <si>
    <t>[6]</t>
  </si>
  <si>
    <t>Pot is power hungry</t>
  </si>
  <si>
    <t>https://www.theguardian.com/us-news/2016/feb/27/marijuana-industry-huge-energy-footprint</t>
  </si>
  <si>
    <t>Lighting and Energy</t>
  </si>
  <si>
    <t>Bounderlamp in CO</t>
  </si>
  <si>
    <t>315W CDL's</t>
  </si>
  <si>
    <t>High pressure sodium grow light</t>
  </si>
  <si>
    <t>Traditional are 1000 W high pressure sodium lights</t>
  </si>
  <si>
    <t>**Would be interesting to incorporate this in sensitivity analysis (best-case scenario)</t>
  </si>
  <si>
    <t>[7]</t>
  </si>
  <si>
    <t>$/month-ft^2</t>
  </si>
  <si>
    <t>kWh/month-ft^2</t>
  </si>
  <si>
    <t>The indoor/outdoor medical grower's bible</t>
  </si>
  <si>
    <t>https://books.google.com/books?hl=en&amp;lr=&amp;id=fERzFsZhdxYC&amp;oi=fnd&amp;pg=PR1&amp;dq=greenhouse+marijuana+temperature&amp;ots=t3RvepNENv&amp;sig=4EPRmvOScYeECLnY5jZrhjSCguA#v=onepage&amp;q=greenhouse%20marijuana%20temperaturetemperature&amp;f=false</t>
  </si>
  <si>
    <t>[8]</t>
  </si>
  <si>
    <t>Temperature Set Point Day</t>
  </si>
  <si>
    <t>Temperature Set Point Night</t>
  </si>
  <si>
    <t>60-65</t>
  </si>
  <si>
    <t>F</t>
  </si>
  <si>
    <t>&lt;80</t>
  </si>
  <si>
    <t>$/kWh</t>
  </si>
  <si>
    <t>Colorado Annual Marijuana Demand</t>
  </si>
  <si>
    <t>metric tons of flower equivalent</t>
  </si>
  <si>
    <t>Output Validation [1]</t>
  </si>
  <si>
    <t xml:space="preserve">Input </t>
  </si>
  <si>
    <t>Pesticide</t>
  </si>
  <si>
    <t>Papers to investigate  for validation</t>
  </si>
  <si>
    <t>[1] "Greenhouse grow operations can cost 50-66% less than warehouse operations, yet 1% have tapped into this market</t>
  </si>
  <si>
    <t>https://weatherport.com/guide-to-starting-a-commercial-cannabis-grow-operation/</t>
  </si>
  <si>
    <t>[9]</t>
  </si>
  <si>
    <t>**Article says need to add 15W/ft^2 of growing area for SOIL</t>
  </si>
  <si>
    <t>Soil Heating</t>
  </si>
  <si>
    <t>W/m^2</t>
  </si>
  <si>
    <t>Flowering Duration</t>
  </si>
  <si>
    <t>2-8 weeks</t>
  </si>
  <si>
    <t>Drayton's MarijuanaInputs.xls file</t>
  </si>
  <si>
    <t>Vegetative Growth Duration</t>
  </si>
  <si>
    <t>How to grow weed blog</t>
  </si>
  <si>
    <t>https://productiongrower.com/blogs/how-to-grow-weed/</t>
  </si>
  <si>
    <t>[8],[9]</t>
  </si>
  <si>
    <t>hrs/day</t>
  </si>
  <si>
    <t>Flowering Lighting Intensity</t>
  </si>
  <si>
    <t>Vegetative Growth Lighting Intensity</t>
  </si>
  <si>
    <t>Vegetative Growth Exposure</t>
  </si>
  <si>
    <t>Flowering Light Exposure</t>
  </si>
  <si>
    <t>weeks/harvest</t>
  </si>
  <si>
    <t>Harvest Quantity</t>
  </si>
  <si>
    <t>harvest/year</t>
  </si>
  <si>
    <t>Made up, put reference in once determined</t>
  </si>
  <si>
    <t>Germination</t>
  </si>
  <si>
    <t>Harvest</t>
  </si>
  <si>
    <t>GREENHOUSE</t>
  </si>
  <si>
    <t>Heating Load</t>
  </si>
  <si>
    <t>Cooling Load</t>
  </si>
  <si>
    <t>m^2/greenhouse</t>
  </si>
  <si>
    <t>W/m^2-year</t>
  </si>
  <si>
    <t>Natural Gas</t>
  </si>
  <si>
    <t>Higher Heating Value</t>
  </si>
  <si>
    <t>MJ/kg</t>
  </si>
  <si>
    <t>Chemical Book - Mineral Oil</t>
  </si>
  <si>
    <t>https://chemicalbook.com/ProductChemicalPropertiesCB4111739_EN.htm</t>
  </si>
  <si>
    <t>Sources</t>
  </si>
  <si>
    <t>Heat per Volume</t>
  </si>
  <si>
    <t>BTU/ft^3</t>
  </si>
  <si>
    <t>Central Arizona Project Final 2019-2024 Rate Schedule</t>
  </si>
  <si>
    <t>https://cap-az.com/documents/departments/finance/Final-2019-2024-CAP-Water-Rate-Schedule-06-07-18.pdf</t>
  </si>
  <si>
    <t>1 m^3</t>
  </si>
  <si>
    <t>cm^3</t>
  </si>
  <si>
    <t>MJ/m3</t>
  </si>
  <si>
    <t>[10]</t>
  </si>
  <si>
    <t>Propane Heating Efficiencies</t>
  </si>
  <si>
    <t>https://www.aga.org/natural-gas/in-your-home/heating/</t>
  </si>
  <si>
    <t>System Inputs</t>
  </si>
  <si>
    <t>Output</t>
  </si>
  <si>
    <t>INDOOR (WAREHOUSE)</t>
  </si>
  <si>
    <t>Low</t>
  </si>
  <si>
    <t>High</t>
  </si>
  <si>
    <t>Industry Standard Minimum</t>
  </si>
  <si>
    <t>Average</t>
  </si>
  <si>
    <t>Heating</t>
  </si>
  <si>
    <t>Seeds</t>
  </si>
  <si>
    <t>Water</t>
  </si>
  <si>
    <t>Process #</t>
  </si>
  <si>
    <t>Source/Notes</t>
  </si>
  <si>
    <t>Lighting</t>
  </si>
  <si>
    <t>Usable Growing Area</t>
  </si>
  <si>
    <t>m^2-grow/m^2-greenhouse</t>
  </si>
  <si>
    <t>[12]</t>
  </si>
  <si>
    <t>[11]</t>
  </si>
  <si>
    <t>Mills Paper "Carbon Footprint of Cannabis"</t>
  </si>
  <si>
    <t>Drying</t>
  </si>
  <si>
    <t>[11] Mills Data</t>
  </si>
  <si>
    <t>Yield</t>
  </si>
  <si>
    <t>Cycle Duration</t>
  </si>
  <si>
    <t>days</t>
  </si>
  <si>
    <t>Cycles per year</t>
  </si>
  <si>
    <t>cycles/year</t>
  </si>
  <si>
    <t>Yearly Yield</t>
  </si>
  <si>
    <t>kg/cycle-module</t>
  </si>
  <si>
    <t>Modules</t>
  </si>
  <si>
    <t>Module Size</t>
  </si>
  <si>
    <t>modules</t>
  </si>
  <si>
    <t>kg/year</t>
  </si>
  <si>
    <t>kg/m^2-year</t>
  </si>
  <si>
    <t>Yield per area</t>
  </si>
  <si>
    <t>m^2/module</t>
  </si>
  <si>
    <t>Total Area</t>
  </si>
  <si>
    <t>Growing Area Ratio</t>
  </si>
  <si>
    <t>m^2-growing/m^2-total</t>
  </si>
  <si>
    <t>Based on 82.4 F night and 68 F day (Matlab File) Fort Collins</t>
  </si>
  <si>
    <t>All</t>
  </si>
  <si>
    <t>Seedling Growth Duration</t>
  </si>
  <si>
    <t>https://www.royalqueenseeds.com/content/143-the-cannabis-cultivation-timeline</t>
  </si>
  <si>
    <t>Royal Queen Seeds</t>
  </si>
  <si>
    <t>Herbicide</t>
  </si>
  <si>
    <t>Fertilizer</t>
  </si>
  <si>
    <t>Growing Durations and Requirements</t>
  </si>
  <si>
    <t>Seedling</t>
  </si>
  <si>
    <t>Vegetation</t>
  </si>
  <si>
    <t>Flowering</t>
  </si>
  <si>
    <t>Lighting(hrs/day)</t>
  </si>
  <si>
    <t>18-24</t>
  </si>
  <si>
    <t xml:space="preserve"> 2-8</t>
  </si>
  <si>
    <t xml:space="preserve"> 6-12</t>
  </si>
  <si>
    <t>Indica</t>
  </si>
  <si>
    <t xml:space="preserve"> 7-10</t>
  </si>
  <si>
    <t>Sativa</t>
  </si>
  <si>
    <t xml:space="preserve"> 10-14</t>
  </si>
  <si>
    <t>Duration (weeks)</t>
  </si>
  <si>
    <t>[13]</t>
  </si>
  <si>
    <t>Marijuana's Grow Bible</t>
  </si>
  <si>
    <t>Background Lit Folder</t>
  </si>
  <si>
    <t>Need to verify this</t>
  </si>
  <si>
    <t>Wattage</t>
  </si>
  <si>
    <t>Day T</t>
  </si>
  <si>
    <t>Night T</t>
  </si>
  <si>
    <t>Nutrients</t>
  </si>
  <si>
    <t>None</t>
  </si>
  <si>
    <t>Week 1</t>
  </si>
  <si>
    <t>Week 2</t>
  </si>
  <si>
    <t>Weight</t>
  </si>
  <si>
    <t xml:space="preserve">1 lb = </t>
  </si>
  <si>
    <t>oz.</t>
  </si>
  <si>
    <t>NPK 5:1:1</t>
  </si>
  <si>
    <t>Fertilize once per week during vegetation stage</t>
  </si>
  <si>
    <t>Curing Duration</t>
  </si>
  <si>
    <t>Drying Duration</t>
  </si>
  <si>
    <t>VALIDATION NUMBERS</t>
  </si>
  <si>
    <t>70-170</t>
  </si>
  <si>
    <t>kWh/ft^2-year</t>
  </si>
  <si>
    <t>electricity</t>
  </si>
  <si>
    <t>air changes/hour</t>
  </si>
  <si>
    <t>[14]</t>
  </si>
  <si>
    <t>https://www.greencultured.co/essential-air-marijuana-growing-rooms/</t>
  </si>
  <si>
    <t>1 CFM / 5 ft^3</t>
  </si>
  <si>
    <t>Plants per Module</t>
  </si>
  <si>
    <t>plants/module</t>
  </si>
  <si>
    <t>Plants per area</t>
  </si>
  <si>
    <t>plants/m^2</t>
  </si>
  <si>
    <t>Yield (oz./ft^2-cycle)</t>
  </si>
  <si>
    <t>Yield (kg/m^2-cycle)</t>
  </si>
  <si>
    <t>Vegetative</t>
  </si>
  <si>
    <t>W</t>
  </si>
  <si>
    <t>W/ft^2</t>
  </si>
  <si>
    <t>**These compare with 25-35 W/ft^2 of [13]</t>
  </si>
  <si>
    <t>Matlab</t>
  </si>
  <si>
    <t>Nominal Lamp Wattage</t>
  </si>
  <si>
    <t>**Actual Wattage used in system is:</t>
  </si>
  <si>
    <t>Lamp wattage x # lamps x ballast factor</t>
  </si>
  <si>
    <t>So a 32W lamp with .78 ballast factor only uses 24.96 W</t>
  </si>
  <si>
    <t>http://c03.apogee.net/contentplayer/?coursetype=lite&amp;utilityid=elpaso&amp;id=10425</t>
  </si>
  <si>
    <t>Ballast Loss Factors</t>
  </si>
  <si>
    <t>[15]</t>
  </si>
  <si>
    <t>Air Change Calculations</t>
  </si>
  <si>
    <t>**Table should update with any changes to Detailed Inputs Tabs</t>
  </si>
  <si>
    <t>Time (hrs/day)</t>
  </si>
  <si>
    <t>Duration (weeks/cycle)</t>
  </si>
  <si>
    <t>Germination Duration</t>
  </si>
  <si>
    <t>1 week</t>
  </si>
  <si>
    <t>Cycles per Year</t>
  </si>
  <si>
    <t>Ballast Losses</t>
  </si>
  <si>
    <t>MJ/year</t>
  </si>
  <si>
    <t>kg/m^2-cycle</t>
  </si>
  <si>
    <t>Yields</t>
  </si>
  <si>
    <t>above</t>
  </si>
  <si>
    <t>CO Growers Tab</t>
  </si>
  <si>
    <t>Facility Size</t>
  </si>
  <si>
    <t>Useable Grow Area</t>
  </si>
  <si>
    <t>m^2 grow area</t>
  </si>
  <si>
    <t>Yield per cycle (kg/m^2-cycle)</t>
  </si>
  <si>
    <t>Input Grow Area (m^2)</t>
  </si>
  <si>
    <t>Model Input</t>
  </si>
  <si>
    <t>Lighting Energy (J/kg-dry cannabis)</t>
  </si>
  <si>
    <t>Conversion (MJ/kg-dry cannabis)</t>
  </si>
  <si>
    <t>Wattage (W/m^2)</t>
  </si>
  <si>
    <t>MJ/kg-dry cannabis</t>
  </si>
  <si>
    <t>Energy (J/m^2-cycle)</t>
  </si>
  <si>
    <t>J/m^2-cycle</t>
  </si>
  <si>
    <t>MJ/m^2</t>
  </si>
  <si>
    <t>kWh/m^2</t>
  </si>
  <si>
    <t>kWh/ft^2</t>
  </si>
  <si>
    <t>If between 70-170, G2G!</t>
  </si>
  <si>
    <t>Process Name</t>
  </si>
  <si>
    <t>I/O</t>
  </si>
  <si>
    <t>Type</t>
  </si>
  <si>
    <t>Description</t>
  </si>
  <si>
    <t>Stream #</t>
  </si>
  <si>
    <t>100 Germination</t>
  </si>
  <si>
    <t>200 Seedling Stage</t>
  </si>
  <si>
    <t>300 Vegetative Growth</t>
  </si>
  <si>
    <t>400 Curing</t>
  </si>
  <si>
    <t>500 Drying</t>
  </si>
  <si>
    <t>100:Germination</t>
  </si>
  <si>
    <t>200: Seedling Stage</t>
  </si>
  <si>
    <t>300: Vegetative Growth</t>
  </si>
  <si>
    <t>400: Flowering</t>
  </si>
  <si>
    <t>500: Curing</t>
  </si>
  <si>
    <t>600: Drying</t>
  </si>
  <si>
    <t>700: Storage</t>
  </si>
  <si>
    <t>OUTDOOR</t>
  </si>
  <si>
    <t>Acidification</t>
  </si>
  <si>
    <t>Ecotoxicity</t>
  </si>
  <si>
    <t>Eutrophication</t>
  </si>
  <si>
    <t>Global Warming</t>
  </si>
  <si>
    <t>Human Health - carcinogenics</t>
  </si>
  <si>
    <t>Human Health - non-carcinogenics</t>
  </si>
  <si>
    <t>Ozone Depletion</t>
  </si>
  <si>
    <t>Photochemical ozone formation</t>
  </si>
  <si>
    <t>Resource depletion - fossil fuels</t>
  </si>
  <si>
    <t>Respiratory effects</t>
  </si>
  <si>
    <t>kg SO2 eq</t>
  </si>
  <si>
    <t>CTUe</t>
  </si>
  <si>
    <t>kg N eq</t>
  </si>
  <si>
    <t>kg CO2 eq</t>
  </si>
  <si>
    <t>CTUh</t>
  </si>
  <si>
    <t>kg CFC-11 eq</t>
  </si>
  <si>
    <t>kg O3 eq</t>
  </si>
  <si>
    <t>MJ surplus</t>
  </si>
  <si>
    <t>kg PM2.5 eq</t>
  </si>
  <si>
    <t>LCA FOR INDOOR GROWING</t>
  </si>
  <si>
    <t>Heat from Lighting</t>
  </si>
  <si>
    <t>BTUs/W-hr</t>
  </si>
  <si>
    <t>[16]</t>
  </si>
  <si>
    <t>Heat from Grow Lights</t>
  </si>
  <si>
    <t>http://boulderlamp.com/heat-generated-by-a-grow-light/</t>
  </si>
  <si>
    <t>[16] Note: 1 W of electricity produces 3.412 BTU's of heat per hour REGARDLESS OF LIGHT TYPE (LED, CDL, HPS, etc.)</t>
  </si>
  <si>
    <t>Heat (BTU/hr-W)</t>
  </si>
  <si>
    <t xml:space="preserve">Flowering </t>
  </si>
  <si>
    <t xml:space="preserve">Curing </t>
  </si>
  <si>
    <t>Heat Internal (BTU/m^2-cycle)</t>
  </si>
  <si>
    <t>Heat Internal (J/m^2-cycle)</t>
  </si>
  <si>
    <t>Heat Internal (MJ/m^2-cycle)</t>
  </si>
  <si>
    <t>Heat Internal (MJ/kg-dry cannabis)</t>
  </si>
  <si>
    <t>Raw Data Tab</t>
  </si>
  <si>
    <t>Number of Greenhouses</t>
  </si>
  <si>
    <t>greenhouses</t>
  </si>
  <si>
    <t>User Input</t>
  </si>
  <si>
    <t>Total Greenhouse Floor Area</t>
  </si>
  <si>
    <t>Swamp Cooler Efficiency</t>
  </si>
  <si>
    <t xml:space="preserve">ASHRAE Evap Cooling </t>
  </si>
  <si>
    <t>[17]</t>
  </si>
  <si>
    <t>Direct Evap Cooling Efficiency</t>
  </si>
  <si>
    <t>% efficiency</t>
  </si>
  <si>
    <t>Swamp Cooling Sizing</t>
  </si>
  <si>
    <t>Total Facility Square Footage</t>
  </si>
  <si>
    <t>ft^3 assuming 8 foot ceilings</t>
  </si>
  <si>
    <t>CFM</t>
  </si>
  <si>
    <t>Add 20% if celings are higher than 8', space is exposed to direct sunlight, more than 2 people will occupy the space, many heat-generating applicances are present</t>
  </si>
  <si>
    <t>Industrial Evaporative Cooler Spec</t>
  </si>
  <si>
    <t>W/CFM cooling load</t>
  </si>
  <si>
    <t>Watts for cooling</t>
  </si>
  <si>
    <t>From Matlab</t>
  </si>
  <si>
    <t>W/year</t>
  </si>
  <si>
    <t>design load</t>
  </si>
  <si>
    <t>hrs/year</t>
  </si>
  <si>
    <t>hours cooler is running</t>
  </si>
  <si>
    <t>J/year</t>
  </si>
  <si>
    <t xml:space="preserve">MJ/year </t>
  </si>
  <si>
    <t>Conversions</t>
  </si>
  <si>
    <t>GREENHOUSE COOLING</t>
  </si>
  <si>
    <t>INDOOR COOLING</t>
  </si>
  <si>
    <t>INDOOR ELECTRICITY</t>
  </si>
  <si>
    <t>**INCLUDED THIS IN MATLAB CODE</t>
  </si>
  <si>
    <t>INDOOR HEATING</t>
  </si>
  <si>
    <t>GREENHOUSE HEATING</t>
  </si>
  <si>
    <t>hours heater is running</t>
  </si>
  <si>
    <t>INDOOR HEAT/COOL</t>
  </si>
  <si>
    <t>GREENHOUSE HEAT/COOL</t>
  </si>
  <si>
    <t>ALL</t>
  </si>
  <si>
    <t>Heat</t>
  </si>
  <si>
    <t>Cooling</t>
  </si>
  <si>
    <t>[18]</t>
  </si>
  <si>
    <t>Recommended R-values by state</t>
  </si>
  <si>
    <t>http://www.applegateinsulation.com/Product-Info/Technical-Pages/249732.aspx</t>
  </si>
  <si>
    <t>MJ/year required due to losses</t>
  </si>
  <si>
    <t>Mills Check</t>
  </si>
  <si>
    <t>ft^3</t>
  </si>
  <si>
    <t>kWh/year</t>
  </si>
  <si>
    <t>Q_cooling</t>
  </si>
  <si>
    <t>Ratio</t>
  </si>
  <si>
    <t>per kWh</t>
  </si>
  <si>
    <t>per kg</t>
  </si>
  <si>
    <t>Verify this is an achievable yield in all three scenarios</t>
  </si>
  <si>
    <t>Indoor/Greenhouse</t>
  </si>
  <si>
    <t>weeks/year</t>
  </si>
  <si>
    <t>water uptake/water applied</t>
  </si>
  <si>
    <t>[19]</t>
  </si>
  <si>
    <t>Irrigation Efficiencies PDF</t>
  </si>
  <si>
    <t>file:///C:/Users/hsummers/Downloads/Howell-Irrig20Efficiency-Ency20Water20Sci.pdf</t>
  </si>
  <si>
    <t>Water Pump Energy</t>
  </si>
  <si>
    <t>kWh/gallon</t>
  </si>
  <si>
    <t>Water Pump Efficiency</t>
  </si>
  <si>
    <t>[20]</t>
  </si>
  <si>
    <t>Great River Energy (2014)</t>
  </si>
  <si>
    <t>Daytime Temperature Set Point</t>
  </si>
  <si>
    <t>deg C</t>
  </si>
  <si>
    <t>Nighttime Temperature Set Point</t>
  </si>
  <si>
    <t>Electric Load from Lights</t>
  </si>
  <si>
    <t>Electric Load from Fan</t>
  </si>
  <si>
    <t>Wh/yr</t>
  </si>
  <si>
    <t>kWh/yr</t>
  </si>
  <si>
    <t>1 kW</t>
  </si>
  <si>
    <t>1 MW</t>
  </si>
  <si>
    <t>Electricity from Lights</t>
  </si>
  <si>
    <t>**Might need to look into this more and get specific ballast loss factors and input Wattages from manufacturers</t>
  </si>
  <si>
    <t>Water Pump Energy Low</t>
  </si>
  <si>
    <t>Water Pump Energy Medium</t>
  </si>
  <si>
    <t>Water Pump Energy High</t>
  </si>
  <si>
    <t>Based on outdoor drip irrigation numbers as I think the systems are the same</t>
  </si>
  <si>
    <t xml:space="preserve">Carbon Dioxide </t>
  </si>
  <si>
    <t>Transportation Distance</t>
  </si>
  <si>
    <t>Water Amount</t>
  </si>
  <si>
    <t>liters/m^2-day</t>
  </si>
  <si>
    <t>Mills [11]</t>
  </si>
  <si>
    <t>Water Applied</t>
  </si>
  <si>
    <t>gals/m^2-day</t>
  </si>
  <si>
    <t>1 year =</t>
  </si>
  <si>
    <t>EcoInvent - tap water production, underground water with chemical treatment | tap water | Cutoff, S</t>
  </si>
  <si>
    <t>Tap Water</t>
  </si>
  <si>
    <t>kg/m^3</t>
  </si>
  <si>
    <t>Fan Specs</t>
  </si>
  <si>
    <t>[21]</t>
  </si>
  <si>
    <t>Canarm Exhaust Fan with Aluminum Louver Shutter - 24'</t>
  </si>
  <si>
    <t>https://www.farmtek.com/farm/supplies/prod1;ft_cooling_fans-ft_exhaust_fans;pgcf1750_CF1770.html</t>
  </si>
  <si>
    <t>CFM/Watt</t>
  </si>
  <si>
    <t>Watts used</t>
  </si>
  <si>
    <t>1 W =</t>
  </si>
  <si>
    <t>BTU/hr</t>
  </si>
  <si>
    <t>Was using this in code to find heating load of lights (BTU's), but ultimately cancels when I convert back to W's</t>
  </si>
  <si>
    <t>Facility Height</t>
  </si>
  <si>
    <t>Guess</t>
  </si>
  <si>
    <t>Length</t>
  </si>
  <si>
    <t>m</t>
  </si>
  <si>
    <t>1 foot =</t>
  </si>
  <si>
    <t>meters</t>
  </si>
  <si>
    <t>Exterior Wall Thickness</t>
  </si>
  <si>
    <t>Thermal Conductivity</t>
  </si>
  <si>
    <t>W/m*K</t>
  </si>
  <si>
    <t>[22]</t>
  </si>
  <si>
    <t>Conference Proceding for Green Technology</t>
  </si>
  <si>
    <t>http://iopscience.iop.org/article/10.1088/1755-1315/60/1/012028/pdf</t>
  </si>
  <si>
    <t>Air</t>
  </si>
  <si>
    <t>Engineering Toolbox</t>
  </si>
  <si>
    <t>Specific Heat</t>
  </si>
  <si>
    <t>KJ/kg-K</t>
  </si>
  <si>
    <t>Matlab Array #</t>
  </si>
  <si>
    <t>m^2/plant</t>
  </si>
  <si>
    <t>ft^2/plant</t>
  </si>
  <si>
    <t>** All values calculated by dividing yield/grow area and cycles/year, therefore getting Emissions/kg-wiid</t>
  </si>
  <si>
    <t>per kg-dry weed</t>
  </si>
  <si>
    <t>re-calcs from above</t>
  </si>
  <si>
    <t>liters/plant-day</t>
  </si>
  <si>
    <t>liters/m^2-year</t>
  </si>
  <si>
    <t>CO2 Calcs</t>
  </si>
  <si>
    <t>[23]</t>
  </si>
  <si>
    <t>High Time to Assess the Environmental Impacts of cannabis Cultivation</t>
  </si>
  <si>
    <t>U:\Colorado State\Other\Cannabis\Background Lit</t>
  </si>
  <si>
    <t>ppm</t>
  </si>
  <si>
    <t>I'm currently working on this Drayton</t>
  </si>
  <si>
    <t>Matlab Output</t>
  </si>
  <si>
    <t>miles</t>
  </si>
  <si>
    <t>Drayton, copy your transportation tabs into this model for use here</t>
  </si>
  <si>
    <t>Values Hailey needs (if blank) or needs validated if a value is entered</t>
  </si>
  <si>
    <t>Leave these as is</t>
  </si>
  <si>
    <t>Values Drayton Entered</t>
  </si>
  <si>
    <t>Total Electric Load (kWh/yr)</t>
  </si>
  <si>
    <t>SUM (kWh/yr)</t>
  </si>
  <si>
    <t>Soil</t>
  </si>
  <si>
    <t>Assumed same as indoor</t>
  </si>
  <si>
    <t>Drip Irrigation Efficiencies</t>
  </si>
  <si>
    <t>kg/plant, kg/acre, kg/day</t>
  </si>
  <si>
    <t>kg's of fertilizer will work as a unit if I know what type of fertilizer it is, meaning NPK 5:1:1 or something</t>
  </si>
  <si>
    <t>kg's of herbicde will work as a unit if I know what brand/type of herbicide it is, meaning chemical formula</t>
  </si>
  <si>
    <t>kg's of pesticide will work as a unit if I know what brand/type of herbicide it is, meaning chemical formula</t>
  </si>
  <si>
    <t>CULTIVATORS</t>
  </si>
  <si>
    <t>Location</t>
  </si>
  <si>
    <t>Denver, CO</t>
  </si>
  <si>
    <t>Indoor-unknown</t>
  </si>
  <si>
    <t>Dispensary</t>
  </si>
  <si>
    <t>Miles</t>
  </si>
  <si>
    <t>LivWell- Stapleton</t>
  </si>
  <si>
    <t>livWell- Franklin</t>
  </si>
  <si>
    <t>LivWell- Pearl</t>
  </si>
  <si>
    <t>LivWell- Larimer</t>
  </si>
  <si>
    <t>LivWell- Broadway</t>
  </si>
  <si>
    <t>LivWell- Evans</t>
  </si>
  <si>
    <t>LivWell- Garden City</t>
  </si>
  <si>
    <t>Garden City, CO</t>
  </si>
  <si>
    <t>LivWell- Mancos</t>
  </si>
  <si>
    <t>Mancos, CO</t>
  </si>
  <si>
    <t>LivWell- Cortez</t>
  </si>
  <si>
    <t>Cortez, CO</t>
  </si>
  <si>
    <t>LivWell- Trinidad</t>
  </si>
  <si>
    <t>Trinidad, CO</t>
  </si>
  <si>
    <t>Oak Creek, CO</t>
  </si>
  <si>
    <t>Honest Marijuana Co</t>
  </si>
  <si>
    <t>Organic Indoor Soil</t>
  </si>
  <si>
    <t>The Green Solution- Silver Plume</t>
  </si>
  <si>
    <t>Silver Plume, CO</t>
  </si>
  <si>
    <t>The Green Solution- Fort Collins</t>
  </si>
  <si>
    <t>Fort Collins, CO</t>
  </si>
  <si>
    <t>The Green Solution- Northglenn</t>
  </si>
  <si>
    <t>Northglenn, CO</t>
  </si>
  <si>
    <t>The Green Solution- Westmenster</t>
  </si>
  <si>
    <t>The Green Solution- Edgewater</t>
  </si>
  <si>
    <t>Edgewater, CO</t>
  </si>
  <si>
    <t>The Green Solution- Union Station</t>
  </si>
  <si>
    <t>The Green Solution-West Denver</t>
  </si>
  <si>
    <t>The Green Solution- Sheridan</t>
  </si>
  <si>
    <t>Sheridan, CO</t>
  </si>
  <si>
    <t>The Green Solution- North Denver</t>
  </si>
  <si>
    <t>The Green Solution- Glendale</t>
  </si>
  <si>
    <t>Glendale, CO</t>
  </si>
  <si>
    <t>The Green Solution- West Aurora</t>
  </si>
  <si>
    <t>Aurora, CO</t>
  </si>
  <si>
    <t>The Green Solution- East Aurora</t>
  </si>
  <si>
    <t>The Green Solution- Central Aurora</t>
  </si>
  <si>
    <t>The Green Solution- South Aurora</t>
  </si>
  <si>
    <t>The Green Soluion- Southeast Aurora</t>
  </si>
  <si>
    <t>The Green Soluion- Trinidad</t>
  </si>
  <si>
    <t>Rec Dispensaries</t>
  </si>
  <si>
    <t>Cultivators</t>
  </si>
  <si>
    <t>Average Miles</t>
  </si>
  <si>
    <t>Native Roots</t>
  </si>
  <si>
    <t>The Green Solution</t>
  </si>
  <si>
    <t>Unknown</t>
  </si>
  <si>
    <t xml:space="preserve">Average </t>
  </si>
  <si>
    <t xml:space="preserve">Native Roots </t>
  </si>
  <si>
    <t>Native Roots Cultivation Facility</t>
  </si>
  <si>
    <t>Native Roots Dispensary Longmont</t>
  </si>
  <si>
    <t>Longmont, CO</t>
  </si>
  <si>
    <t>Native Roots Dispensary Boulder</t>
  </si>
  <si>
    <t>Boulder, CO</t>
  </si>
  <si>
    <t>Native Roots Dispensary Tower</t>
  </si>
  <si>
    <t>Native Roots Dispensary North Denver</t>
  </si>
  <si>
    <t>Native Roots Dispensary Highlands</t>
  </si>
  <si>
    <t>Native Roots Dispensary Edgewater</t>
  </si>
  <si>
    <t>Native Roots Wellness</t>
  </si>
  <si>
    <t>Native Roots Dispensary West Denver</t>
  </si>
  <si>
    <t>Native Roots Dispensary South Denver</t>
  </si>
  <si>
    <t>Native Roots Dispensary Littleton</t>
  </si>
  <si>
    <t>Littleton, CO</t>
  </si>
  <si>
    <t>Eagle-Vail</t>
  </si>
  <si>
    <t>Vail, CO</t>
  </si>
  <si>
    <t>Native Roots Dispensary Aspen</t>
  </si>
  <si>
    <t>Aspen, CO</t>
  </si>
  <si>
    <t>Native Roots Dispensary Dillon</t>
  </si>
  <si>
    <t>Silverthorne, CO</t>
  </si>
  <si>
    <t>Native Roots Dispensary Frisco</t>
  </si>
  <si>
    <t>Frisco, CO</t>
  </si>
  <si>
    <t>Native Roots Dispensary Trinidad</t>
  </si>
  <si>
    <t>Native Roots Dispensary Vail</t>
  </si>
  <si>
    <t>**Assuming Denver From Job posting for cultivator</t>
  </si>
  <si>
    <t>**It is hard to tell which of Willes Reserves growers are actualy shipping to the green solution</t>
  </si>
  <si>
    <t>Willies Reserve</t>
  </si>
  <si>
    <t>Outdoor/Indoor</t>
  </si>
  <si>
    <t>[24]</t>
  </si>
  <si>
    <t>DB Transport Data (Tab)</t>
  </si>
  <si>
    <t>From Transport Tab</t>
  </si>
  <si>
    <t>[25]</t>
  </si>
  <si>
    <t>Suzy Seeds</t>
  </si>
  <si>
    <t>https://suzyseeds.com/cannabis-seeds/growing-your-own/germination</t>
  </si>
  <si>
    <t>[26]</t>
  </si>
  <si>
    <t>Freedom Leaf</t>
  </si>
  <si>
    <t>https://www.freedomleaf.com/outdoor-cannabis-cultivation-guide/</t>
  </si>
  <si>
    <t>Atmospheric</t>
  </si>
  <si>
    <t>CO2 needed</t>
  </si>
  <si>
    <t>**Volume*.000001*deltappm</t>
  </si>
  <si>
    <t>CO2 needed (ft^3/hr-N)</t>
  </si>
  <si>
    <t>Weeks/harvest</t>
  </si>
  <si>
    <t xml:space="preserve">1 day = </t>
  </si>
  <si>
    <t>hours</t>
  </si>
  <si>
    <t>CO2</t>
  </si>
  <si>
    <t>carbon dioxide production, liquid | carbon dioxide, liquid | Cutoff, S</t>
  </si>
  <si>
    <t>Carbon Dioxide</t>
  </si>
  <si>
    <t>Chiller Calculations</t>
  </si>
  <si>
    <t>[27]</t>
  </si>
  <si>
    <t>Small Tonnage Chillers</t>
  </si>
  <si>
    <t>https://surna.com/product/climate-control/small-tonnage-commercial-chillers/</t>
  </si>
  <si>
    <t>Surna Small Tonnage Chillers</t>
  </si>
  <si>
    <t>Nominal Cooling Capacity (BTU/hr)</t>
  </si>
  <si>
    <t>EER</t>
  </si>
  <si>
    <t>COP</t>
  </si>
  <si>
    <t>Chiller COP</t>
  </si>
  <si>
    <t>Wnet,in (kW)</t>
  </si>
  <si>
    <t>[27], Backup Calcs</t>
  </si>
  <si>
    <t>Tons Cooling</t>
  </si>
  <si>
    <t>Flow Rate (gpm)</t>
  </si>
  <si>
    <t>116-346</t>
  </si>
  <si>
    <t>TRANE Specs</t>
  </si>
  <si>
    <t>Standard Efficiency, IPLV EER</t>
  </si>
  <si>
    <t>Baseline is mean(N_min_index) from Matlab for the range tested here</t>
  </si>
  <si>
    <t>Density (Liquid)</t>
  </si>
  <si>
    <t>g/L</t>
  </si>
  <si>
    <t>https://www.carbon-dioxide-properties.com/aboutco2.aspx</t>
  </si>
  <si>
    <t>Carbon Dioxide Properties</t>
  </si>
  <si>
    <t>lbs CO2/yr-N</t>
  </si>
  <si>
    <t>CO2 required (ft^3/yr-N)</t>
  </si>
  <si>
    <t>Yield from compressed CO2</t>
  </si>
  <si>
    <t>ft^3/lb.</t>
  </si>
  <si>
    <t>Secondary CO2 calcs</t>
  </si>
  <si>
    <t>CO2 needed (ppm)</t>
  </si>
  <si>
    <t>CO2 needed (kg/m^3-N)</t>
  </si>
  <si>
    <t>Secondary CO2 Calcs</t>
  </si>
  <si>
    <t>Plant Consumption Rate</t>
  </si>
  <si>
    <t>ft^3/hr-ft^2 greenhouse</t>
  </si>
  <si>
    <t>Consumption Needs - Independent of ppm (ft^3 CO2/hr)</t>
  </si>
  <si>
    <t>Infiltration Loss (ft^3-CO2/hr)</t>
  </si>
  <si>
    <t>Annual Consumption Needs (ft^3 CO2/yr)</t>
  </si>
  <si>
    <t>Annual Consumption (lbs CO2/yr)</t>
  </si>
  <si>
    <t>Annual Infiltration Loss (lb-CO2/yr)</t>
  </si>
  <si>
    <t>Annual Infiltration Loss (ft^3-CO2/yr)</t>
  </si>
  <si>
    <t>kg/yr-ft^3</t>
  </si>
  <si>
    <t>Mills CO2</t>
  </si>
  <si>
    <t>lbs CO2/yr</t>
  </si>
  <si>
    <t>[30]</t>
  </si>
  <si>
    <t>[28]</t>
  </si>
  <si>
    <t>Cannabis Business Times</t>
  </si>
  <si>
    <t>https://www.cannabisbusinesstimes.com/article/measuring-yield/</t>
  </si>
  <si>
    <t>Q min heat</t>
  </si>
  <si>
    <t>Q min cool</t>
  </si>
  <si>
    <t>0-5</t>
  </si>
  <si>
    <t>0-40</t>
  </si>
  <si>
    <t>**All taken at step size of 1</t>
  </si>
  <si>
    <t>0-10</t>
  </si>
  <si>
    <t>0-15</t>
  </si>
  <si>
    <t>0-20</t>
  </si>
  <si>
    <t>0-25</t>
  </si>
  <si>
    <t>0-30</t>
  </si>
  <si>
    <t>0-35</t>
  </si>
  <si>
    <t>0-45</t>
  </si>
  <si>
    <t>0-50</t>
  </si>
  <si>
    <t>0-55</t>
  </si>
  <si>
    <t>0-60</t>
  </si>
  <si>
    <t>% change cooling</t>
  </si>
  <si>
    <t>gal/day-ft^2</t>
  </si>
  <si>
    <t>liters/day-ft^2</t>
  </si>
  <si>
    <t>liters/year-m^2</t>
  </si>
  <si>
    <t>liters/room-day</t>
  </si>
  <si>
    <t>Fungicide</t>
  </si>
  <si>
    <t>q_cool_year</t>
  </si>
  <si>
    <t>q_heat_year</t>
  </si>
  <si>
    <t>N_index = 4</t>
  </si>
  <si>
    <t>Min Cool</t>
  </si>
  <si>
    <t>Min Heat</t>
  </si>
  <si>
    <t>total (Wh/yr)</t>
  </si>
  <si>
    <t>Area (m2)</t>
  </si>
  <si>
    <t>Area (Ft^2)</t>
  </si>
  <si>
    <t>Wh/yr/ft^2</t>
  </si>
  <si>
    <t>kWh/yr/ft^2</t>
  </si>
  <si>
    <t>kBTU/ft^2</t>
  </si>
  <si>
    <t>BTU/ft^2</t>
  </si>
  <si>
    <t>heat</t>
  </si>
  <si>
    <t>cool</t>
  </si>
  <si>
    <t>Pulled figerglass insulation in heat transfer text</t>
  </si>
  <si>
    <t>Humidity and Temperatures</t>
  </si>
  <si>
    <t>Stage</t>
  </si>
  <si>
    <t>Temperature with lights on</t>
  </si>
  <si>
    <t>Temperature with lights off</t>
  </si>
  <si>
    <t>Humidity Range (%RH)</t>
  </si>
  <si>
    <t>65-70</t>
  </si>
  <si>
    <t>20-25 C</t>
  </si>
  <si>
    <t>15-20 C</t>
  </si>
  <si>
    <t>Root system not established, plants exchange moisture through leaves</t>
  </si>
  <si>
    <t>Lowered by 5% each week, 40-70%</t>
  </si>
  <si>
    <t>22-28 C</t>
  </si>
  <si>
    <t>17-23C</t>
  </si>
  <si>
    <t>Roots absorb more water; evaporation through leaves cools plants</t>
  </si>
  <si>
    <t>40-50%</t>
  </si>
  <si>
    <t>20-26 C</t>
  </si>
  <si>
    <t>It's best to slightly lower temperature in flowering</t>
  </si>
  <si>
    <t>30-40%</t>
  </si>
  <si>
    <t>Late flowering</t>
  </si>
  <si>
    <t>18-24 C</t>
  </si>
  <si>
    <t>10-16 C</t>
  </si>
  <si>
    <t>Increase temperature difference between day and night improves appearance and flavor</t>
  </si>
  <si>
    <t>70 to 170 kWh per sq. foot per year</t>
  </si>
  <si>
    <t>sq. feet</t>
  </si>
  <si>
    <t>kWh/yr per sq foot</t>
  </si>
  <si>
    <t>Lights ONLY</t>
  </si>
  <si>
    <t>[29]</t>
  </si>
  <si>
    <t>Clone Room</t>
  </si>
  <si>
    <t>Clone Room Exposure</t>
  </si>
  <si>
    <t>Clone Room Duration</t>
  </si>
  <si>
    <t>Grow Weed Easy.Com</t>
  </si>
  <si>
    <t>https://www.growweedeasy.com/cloning-made-easy</t>
  </si>
  <si>
    <t>Clone</t>
  </si>
  <si>
    <t>kg/yr</t>
  </si>
  <si>
    <t>kg/yr-ft3</t>
  </si>
  <si>
    <t>kg/yr-m3</t>
  </si>
  <si>
    <t>Clone Room Lighting Intensity</t>
  </si>
  <si>
    <t>% Relative Humidity</t>
  </si>
  <si>
    <t>Stulz White Paper</t>
  </si>
  <si>
    <t>U Drive: Background Lit Folder</t>
  </si>
  <si>
    <t>HVAC Systems and Equipment (SI ed.). Atlanta, GA: American Society of Heating Refrigeration and Air-conditioning Engineers (ASHRAE). 2012. p. 41.1.</t>
  </si>
  <si>
    <t>Vegetative Day Temperature</t>
  </si>
  <si>
    <t>Flowering Night Temperature</t>
  </si>
  <si>
    <t>Curing Day Temperature</t>
  </si>
  <si>
    <t>Flowering Day Temperature</t>
  </si>
  <si>
    <t>Vegetative Night Temperature</t>
  </si>
  <si>
    <t>Curing Night Temperature</t>
  </si>
  <si>
    <t>Results from Annual Heating and Cooling Calculations with no lights and only 1-D heat transfer (i.e. no solar radiation effects)</t>
  </si>
  <si>
    <t>Annual Load (Wh/yr)</t>
  </si>
  <si>
    <t>Wh/(m^2-yr)</t>
  </si>
  <si>
    <t>BTU/m^2-yr</t>
  </si>
  <si>
    <t>kBTU/m^2-yr</t>
  </si>
  <si>
    <t>kBTU/ft^2-yr</t>
  </si>
  <si>
    <t>N = 4 (office Space)</t>
  </si>
  <si>
    <t>**Set lights at 10 W/m^2</t>
  </si>
  <si>
    <t>N = 10 (school classrooms)</t>
  </si>
  <si>
    <t>At the time of this assessment, area of warehouse was 938.1818 m^2</t>
  </si>
  <si>
    <t>N = 20 (bars)</t>
  </si>
  <si>
    <t>This was simulated with N = 20 for only the hours that the lights were on, i.e. 12-18 hours per day to better simulate a bar</t>
  </si>
  <si>
    <t>N = 30 (bars)</t>
  </si>
  <si>
    <t>Building Load Calculations for Various Space Types: NREL (Energy per square foot per year)</t>
  </si>
  <si>
    <t>[31]</t>
  </si>
  <si>
    <t>2017 Presentation in U Drive</t>
  </si>
  <si>
    <t>file:///U:/Colorado%20State/Other/Cannabis/Background%20Lit/2017-9-Presentation-Marijuana-Grow.pdf</t>
  </si>
  <si>
    <t>[31] 2017 Powerpoint Presentation</t>
  </si>
  <si>
    <t>sf/plant</t>
  </si>
  <si>
    <t>plant/ft^2</t>
  </si>
  <si>
    <t>plant/m^2</t>
  </si>
  <si>
    <t>EVAPOTRANSPORATION</t>
  </si>
  <si>
    <t>gal/plant/day</t>
  </si>
  <si>
    <t>Google Images</t>
  </si>
  <si>
    <t>https://www.sciencedirect.com/science/article/pii/S0168169909001902</t>
  </si>
  <si>
    <t>Need to redo energy balance now knowing that some of the light heading load is cooled with ducting and fans</t>
  </si>
  <si>
    <t xml:space="preserve">1 gallon = </t>
  </si>
  <si>
    <t>pints</t>
  </si>
  <si>
    <t xml:space="preserve">1 m^3 = </t>
  </si>
  <si>
    <t>[32]</t>
  </si>
  <si>
    <t>https://www.amazon.com/JHS-Powerful-Conditioner-A001-10KR-Dehumidifier/dp/B071VYD4WZ/ref=sr_1_5?creativeASIN=B071VYD4WZ&amp;linkCode=w61&amp;imprToken=HYcHXZ0l7vjGkiW4gDf.Xw&amp;slotNum=2&amp;ie=UTF8&amp;qid=1537033205&amp;sr=8-5&amp;keywords=grow+tent+dehumidifiers</t>
  </si>
  <si>
    <t>Small Dehumidifier (2nd ranked off of a blog)</t>
  </si>
  <si>
    <t>Calculated</t>
  </si>
  <si>
    <t>w_inside(1)</t>
  </si>
  <si>
    <t>w_initial</t>
  </si>
  <si>
    <t>ET</t>
  </si>
  <si>
    <t>DR</t>
  </si>
  <si>
    <t>A</t>
  </si>
  <si>
    <t>rho</t>
  </si>
  <si>
    <t>V</t>
  </si>
  <si>
    <t>T_i</t>
  </si>
  <si>
    <t>w_inside</t>
  </si>
  <si>
    <t>phi</t>
  </si>
  <si>
    <t>Veg</t>
  </si>
  <si>
    <t>small</t>
  </si>
  <si>
    <t>large</t>
  </si>
  <si>
    <t>ET (kg H2O)/m^2-hr</t>
  </si>
  <si>
    <t>[33]</t>
  </si>
  <si>
    <t>Quest 506 Spec Sheet</t>
  </si>
  <si>
    <t>https://www.questclimate.com/wp-content/uploads/2018/08/Quest_506_Spec.pdf</t>
  </si>
  <si>
    <t>INITIAL W_INSIDE</t>
  </si>
  <si>
    <t>W_INSIDE WITH DR</t>
  </si>
  <si>
    <t>W_INSIDE WITH DR AND HVAC</t>
  </si>
  <si>
    <t>enthalpy</t>
  </si>
  <si>
    <t>h_initial</t>
  </si>
  <si>
    <t>h_final</t>
  </si>
  <si>
    <t>J/kg dry air</t>
  </si>
  <si>
    <t>BTU/lbm dry air</t>
  </si>
  <si>
    <t>conversion</t>
  </si>
  <si>
    <t>TABLE CHECKS</t>
  </si>
  <si>
    <t>h</t>
  </si>
  <si>
    <t>CSU DEMO DAY POSTER CALCS</t>
  </si>
  <si>
    <t>required</t>
  </si>
  <si>
    <t>yield</t>
  </si>
  <si>
    <t>harvests/yr</t>
  </si>
  <si>
    <t>liters/m^2 grow area-year</t>
  </si>
  <si>
    <t>liters/yr</t>
  </si>
  <si>
    <t>kg bud/m^2-harvest</t>
  </si>
  <si>
    <t>liters/m^2 grow area-yr</t>
  </si>
  <si>
    <t>gallons/kg</t>
  </si>
  <si>
    <t>gallons/lb</t>
  </si>
  <si>
    <t>gallons/oz.</t>
  </si>
  <si>
    <t>kg CO2/lb-bud</t>
  </si>
  <si>
    <t>kg CO2/kg-bud</t>
  </si>
  <si>
    <t>tonnes CO2/lb-bud</t>
  </si>
  <si>
    <t>tons CO2/lb-bud</t>
  </si>
  <si>
    <t>tons CO2/oz-bud</t>
  </si>
  <si>
    <t>lbs CO2/oz-bud</t>
  </si>
  <si>
    <t>gram</t>
  </si>
  <si>
    <t>grams/lbs</t>
  </si>
  <si>
    <t>tons CO2/gram</t>
  </si>
  <si>
    <t>lbs/gram</t>
  </si>
  <si>
    <t>lbs/ave. joint</t>
  </si>
  <si>
    <t>Curing Light Exposure</t>
  </si>
  <si>
    <t>Placeholder for current code, phase out eventually</t>
  </si>
  <si>
    <t>Curing Lighting Intensity</t>
  </si>
  <si>
    <t>Matlab Help</t>
  </si>
  <si>
    <t>Grow Cycle</t>
  </si>
  <si>
    <t>Weeks</t>
  </si>
  <si>
    <t>Cumulative</t>
  </si>
  <si>
    <t>final icount</t>
  </si>
  <si>
    <t>initial icount</t>
  </si>
  <si>
    <t>cure</t>
  </si>
  <si>
    <t>clone</t>
  </si>
  <si>
    <t>veg</t>
  </si>
  <si>
    <t>flower</t>
  </si>
  <si>
    <t>Required Air Changes</t>
  </si>
  <si>
    <t>[34]</t>
  </si>
  <si>
    <t>Air Change Range</t>
  </si>
  <si>
    <t>https://www.nafahq.org/cannabis-facilities-air-filtration-uv-c-air-disinfection-and-odor-removal/</t>
  </si>
  <si>
    <t>COP Chiller</t>
  </si>
  <si>
    <t>kg H2O/m^2-yr</t>
  </si>
  <si>
    <t>kg H2O/m^2-harvest</t>
  </si>
  <si>
    <t>kg H2O/kg bud</t>
  </si>
  <si>
    <t>m^3/kg bud</t>
  </si>
  <si>
    <t>liters H2O/kg bud</t>
  </si>
  <si>
    <t>gal H2O/kg bud</t>
  </si>
  <si>
    <t>gal H2O/lb bud</t>
  </si>
  <si>
    <t>gal H2O/oz bud</t>
  </si>
  <si>
    <t>gal H2O/8th bud</t>
  </si>
  <si>
    <t>https://sohumsoils.com/how-much-water-does-it-take-to-grow-cannabis/</t>
  </si>
  <si>
    <t>ET sum from Matlab</t>
  </si>
  <si>
    <t>Total Electric from Matlab</t>
  </si>
  <si>
    <t>HVAC_cooling</t>
  </si>
  <si>
    <t>HVAC_heating</t>
  </si>
  <si>
    <t>DH_cooling</t>
  </si>
  <si>
    <t>DH_heating</t>
  </si>
  <si>
    <t>Whrs/yr</t>
  </si>
  <si>
    <t>ft^2 total facility</t>
  </si>
  <si>
    <t>kWh/ft^2-yr</t>
  </si>
  <si>
    <t>Electric from Lights</t>
  </si>
  <si>
    <t>Q Light Load</t>
  </si>
  <si>
    <t>Total Electric</t>
  </si>
  <si>
    <t>https://rockymtnashrae.com/images/downloads/Marijuana_Facilities_-_Expert_Presentation_4-28-17_-_BRCU_REVISED.pdf</t>
  </si>
  <si>
    <t>Note: ET should be less than this because from water balance, the plant needs to absorb some of the water</t>
  </si>
  <si>
    <t>Whrs/m^2-facility-yr</t>
  </si>
  <si>
    <t>kWh/m^2-facility-yr</t>
  </si>
  <si>
    <t>kWh/ft^2 facility-yr</t>
  </si>
  <si>
    <t>Simple Heating Load</t>
  </si>
  <si>
    <t>Simple Cooling Load</t>
  </si>
  <si>
    <t>Another Source: 50 pints/day-200 ft^2</t>
  </si>
  <si>
    <t>Enthalpy Water @ 25 C</t>
  </si>
  <si>
    <t>Thermo Text, Cengel</t>
  </si>
  <si>
    <t>J/kg</t>
  </si>
  <si>
    <t>Clone Grow Area Fraction</t>
  </si>
  <si>
    <t>Veg Grow Area Fraction</t>
  </si>
  <si>
    <t>Flower Grow Area Fraction</t>
  </si>
  <si>
    <t>Veg Room</t>
  </si>
  <si>
    <t>Flower Room</t>
  </si>
  <si>
    <t>Cure Room</t>
  </si>
  <si>
    <t>ratio</t>
  </si>
  <si>
    <t>Cure Grow Area Fraction</t>
  </si>
  <si>
    <t>of usable grow area</t>
  </si>
  <si>
    <t>[35]</t>
  </si>
  <si>
    <t>Organic Alternative Data Exchange/Interviews</t>
  </si>
  <si>
    <t>Total Facility Area</t>
  </si>
  <si>
    <t xml:space="preserve"> = paste from Matlab</t>
  </si>
  <si>
    <t>Simple Cooling</t>
  </si>
  <si>
    <t>Water for Plants</t>
  </si>
  <si>
    <t>Fungicides</t>
  </si>
  <si>
    <t>Average Boulder Indoor Grow Facility</t>
  </si>
  <si>
    <t>Wh</t>
  </si>
  <si>
    <t>yr</t>
  </si>
  <si>
    <t>1000 Wh</t>
  </si>
  <si>
    <t>Emissions</t>
  </si>
  <si>
    <t>m^2-cycle</t>
  </si>
  <si>
    <t>kg-bud</t>
  </si>
  <si>
    <t>plants/m^2-yr</t>
  </si>
  <si>
    <t>harvest/yr</t>
  </si>
  <si>
    <t>kg H2O/plant</t>
  </si>
  <si>
    <t>days/cycle</t>
  </si>
  <si>
    <t>kg H2O/day/plant</t>
  </si>
  <si>
    <t>m^3/da/plant</t>
  </si>
  <si>
    <t>liters/day/plant</t>
  </si>
  <si>
    <t xml:space="preserve"> Note: source [31] says 0.25-0.5 gal/plant/day</t>
  </si>
  <si>
    <t>[13] Mills</t>
  </si>
  <si>
    <t>kWh/kg yield</t>
  </si>
  <si>
    <t>cycle/yr</t>
  </si>
  <si>
    <t>kg bud/m^2-yr</t>
  </si>
  <si>
    <t>kg bud/yr</t>
  </si>
  <si>
    <t>kWh/kg bud</t>
  </si>
  <si>
    <t>m^2 total grow area</t>
  </si>
  <si>
    <t>liters/m^2 grow area/day</t>
  </si>
  <si>
    <t>gals/m^2 grow area/day</t>
  </si>
  <si>
    <t>gals/plant/day</t>
  </si>
  <si>
    <t>Outputs from Matlab</t>
  </si>
  <si>
    <t>Values that I think can be removed from model, obsolete</t>
  </si>
  <si>
    <t>Values still needed</t>
  </si>
  <si>
    <t>Evapotranspiration Rate</t>
  </si>
  <si>
    <t>kg H2O/m^2 grow area-yr</t>
  </si>
  <si>
    <t>Electricity, High Voltage, Production Mix | Electricity, high voltage | Cutoff, S - WECC, US only</t>
  </si>
  <si>
    <t>cycles</t>
  </si>
  <si>
    <t>year</t>
  </si>
  <si>
    <t xml:space="preserve">m^2 grow area </t>
  </si>
  <si>
    <t>natural gas</t>
  </si>
  <si>
    <t>kg NG</t>
  </si>
  <si>
    <t>lights</t>
  </si>
  <si>
    <t>kWhrs/yr</t>
  </si>
  <si>
    <t>water</t>
  </si>
  <si>
    <t>UNITS</t>
  </si>
  <si>
    <t>gal</t>
  </si>
  <si>
    <t>Watering Weeks Per Year</t>
  </si>
  <si>
    <t>liters</t>
  </si>
  <si>
    <t>m3</t>
  </si>
  <si>
    <t>kg</t>
  </si>
  <si>
    <t>Annual Watering</t>
  </si>
  <si>
    <t>gal/year</t>
  </si>
  <si>
    <t>kg water</t>
  </si>
  <si>
    <t>Emission</t>
  </si>
  <si>
    <t>water pumping</t>
  </si>
  <si>
    <t>lbs CO2</t>
  </si>
  <si>
    <t>kg CO2</t>
  </si>
  <si>
    <t>Conversion from ppm</t>
  </si>
  <si>
    <t>Compressed CO2</t>
  </si>
  <si>
    <t>ft^3/lb</t>
  </si>
  <si>
    <t>specific volume</t>
  </si>
  <si>
    <t>https://www.co2meter.com/blogs/news/41003521-co2-calculator-for-grow-room-or-indoor-greenhouse</t>
  </si>
  <si>
    <t>CO2 meter</t>
  </si>
  <si>
    <t>Vegetative CO2 Concentration</t>
  </si>
  <si>
    <t>Flowering CO2 Concentration</t>
  </si>
  <si>
    <t>[36]</t>
  </si>
  <si>
    <t>CO2 concentrations</t>
  </si>
  <si>
    <t>https://www.maximumyield.com/mastering-co2-ideal-co2-levels-for-growing-marijuana/2/4073</t>
  </si>
  <si>
    <t>Atmospheric CO2 Concentration</t>
  </si>
  <si>
    <t>kg CO2/yr</t>
  </si>
  <si>
    <t>Normalization</t>
  </si>
  <si>
    <t>Light</t>
  </si>
  <si>
    <t>1 W/m^2 =</t>
  </si>
  <si>
    <t>micromole/s</t>
  </si>
  <si>
    <t>https://www.researchgate.net/post/Can_I_convert_PAR_photo_active_radiation_value_of_micro_mole_M2_S_to_Solar_radiation_in_Watt_m22</t>
  </si>
  <si>
    <t>Lighting Conversion</t>
  </si>
  <si>
    <t>Water validation: "1.875 total gallons per 1/8th of usable cannabis" "1:1 ratio of gallons to one pound processed flower"</t>
  </si>
  <si>
    <t>per m^3</t>
  </si>
  <si>
    <t>Peat Moss</t>
  </si>
  <si>
    <t>peat moss</t>
  </si>
  <si>
    <t>Gallons</t>
  </si>
  <si>
    <t>Transportation</t>
  </si>
  <si>
    <t>Extractor Fan Electricity</t>
  </si>
  <si>
    <t>Circulation Fan Electricity</t>
  </si>
  <si>
    <t>Extractor Fan Power</t>
  </si>
  <si>
    <t>Extractor Fan Sizing</t>
  </si>
  <si>
    <t>Motor Size (HP)</t>
  </si>
  <si>
    <t xml:space="preserve">Upblast Propeller Roof Exhausters </t>
  </si>
  <si>
    <t>[37]</t>
  </si>
  <si>
    <t>https://www.pattersonfan.com/uploads/2/9/7/4/29747215/ubb___ubx_specs.pdf</t>
  </si>
  <si>
    <t>Static Pressure (inches)</t>
  </si>
  <si>
    <t>HP Equation</t>
  </si>
  <si>
    <t>(CFM_req-261.41)/3826.9 = HP</t>
  </si>
  <si>
    <t>HP</t>
  </si>
  <si>
    <t>Assumed running 100% of the time</t>
  </si>
  <si>
    <t>ULINE WALL MOUNT CLIP FAN</t>
  </si>
  <si>
    <t>[38]</t>
  </si>
  <si>
    <t>Clip Fan Sizing</t>
  </si>
  <si>
    <t>https://www.uline.com/Product/Detail/H-1422/Fans-Heaters-AC-and-Dehumidifiers/Industrial-Wall-Mount-Fan-30?pricode=WA9195&amp;gadtype=pla&amp;id=H-1422&amp;gclid=EAIaIQobChMImM-UmMLi4gIVzcDACh0D2gdZEAQYAiABEgKTkPD_BwE&amp;gclsrc=aw.ds</t>
  </si>
  <si>
    <t>Assmptions</t>
  </si>
  <si>
    <t>Linear Relationship</t>
  </si>
  <si>
    <t>Circulating Fan Power</t>
  </si>
  <si>
    <t>Transportation Tab</t>
  </si>
  <si>
    <t>Table 4-23:  Average Fuel Efficiency of U.S. Light Duty Vehicles</t>
  </si>
  <si>
    <t>Average U.S. light duty vehicle fuel efficiency (mpg) (calendar year)</t>
  </si>
  <si>
    <r>
      <t>Light duty vehicle, short wheel base</t>
    </r>
    <r>
      <rPr>
        <vertAlign val="superscript"/>
        <sz val="11"/>
        <rFont val="Arial Narrow"/>
        <family val="2"/>
      </rPr>
      <t>a,b</t>
    </r>
  </si>
  <si>
    <r>
      <t>Light duty vehicle, long wheel base</t>
    </r>
    <r>
      <rPr>
        <vertAlign val="superscript"/>
        <sz val="11"/>
        <rFont val="Arial Narrow"/>
        <family val="2"/>
      </rPr>
      <t>a</t>
    </r>
  </si>
  <si>
    <r>
      <t>New vehicle fuel efficiency (mpg)</t>
    </r>
    <r>
      <rPr>
        <b/>
        <vertAlign val="superscript"/>
        <sz val="11"/>
        <rFont val="Arial Narrow"/>
        <family val="2"/>
      </rPr>
      <t>c</t>
    </r>
    <r>
      <rPr>
        <b/>
        <sz val="11"/>
        <rFont val="Arial Narrow"/>
        <family val="2"/>
      </rPr>
      <t xml:space="preserve"> (model year)</t>
    </r>
  </si>
  <si>
    <t>Light-duty vehicle</t>
  </si>
  <si>
    <t>Passenger car</t>
  </si>
  <si>
    <t>Domestic</t>
  </si>
  <si>
    <t>Imported</t>
  </si>
  <si>
    <r>
      <t>Light truck (&lt;8,500 lbs GVWR)</t>
    </r>
    <r>
      <rPr>
        <vertAlign val="superscript"/>
        <sz val="11"/>
        <rFont val="Arial Narrow"/>
        <family val="2"/>
      </rPr>
      <t>d</t>
    </r>
  </si>
  <si>
    <r>
      <t>CAFE standards (mpg)</t>
    </r>
    <r>
      <rPr>
        <b/>
        <vertAlign val="superscript"/>
        <sz val="11"/>
        <rFont val="Arial Narrow"/>
        <family val="2"/>
      </rPr>
      <t>c</t>
    </r>
    <r>
      <rPr>
        <b/>
        <sz val="11"/>
        <rFont val="Arial Narrow"/>
        <family val="2"/>
      </rPr>
      <t xml:space="preserve"> (model year)</t>
    </r>
  </si>
  <si>
    <r>
      <t>Light truck</t>
    </r>
    <r>
      <rPr>
        <vertAlign val="superscript"/>
        <sz val="11"/>
        <rFont val="Arial Narrow"/>
        <family val="2"/>
      </rPr>
      <t>e</t>
    </r>
  </si>
  <si>
    <t>U</t>
  </si>
  <si>
    <r>
      <t xml:space="preserve">KEY: </t>
    </r>
    <r>
      <rPr>
        <sz val="9"/>
        <rFont val="Arial"/>
        <family val="2"/>
      </rPr>
      <t>CAFE = Corporate Average Fuel Economy; GVWR = gross vehicle weight rating; mpg = miles per gallon; U = data are not available.</t>
    </r>
  </si>
  <si>
    <r>
      <rPr>
        <vertAlign val="superscript"/>
        <sz val="9"/>
        <rFont val="Arial"/>
        <family val="2"/>
      </rPr>
      <t xml:space="preserve">a </t>
    </r>
    <r>
      <rPr>
        <sz val="9"/>
        <rFont val="Arial"/>
        <family val="2"/>
      </rPr>
      <t xml:space="preserve">1960-2006 data are for </t>
    </r>
    <r>
      <rPr>
        <i/>
        <sz val="9"/>
        <rFont val="Arial"/>
        <family val="2"/>
      </rPr>
      <t>Passenger car</t>
    </r>
    <r>
      <rPr>
        <sz val="9"/>
        <rFont val="Arial"/>
        <family val="2"/>
      </rPr>
      <t xml:space="preserve"> and </t>
    </r>
    <r>
      <rPr>
        <i/>
        <sz val="9"/>
        <rFont val="Arial"/>
        <family val="2"/>
      </rPr>
      <t>Other 2-axle, 4-tire vehicles</t>
    </r>
    <r>
      <rPr>
        <sz val="9"/>
        <rFont val="Arial"/>
        <family val="2"/>
      </rPr>
      <t>, respectively. The data from 1960-2006 are not comparable to the data from 2007-14.</t>
    </r>
  </si>
  <si>
    <r>
      <t>b</t>
    </r>
    <r>
      <rPr>
        <sz val="9"/>
        <rFont val="Arial"/>
        <family val="2"/>
      </rPr>
      <t xml:space="preserve"> From 1980 to 1994, </t>
    </r>
    <r>
      <rPr>
        <i/>
        <sz val="9"/>
        <rFont val="Arial"/>
        <family val="2"/>
      </rPr>
      <t>Light duty vehicle, short wheel base</t>
    </r>
    <r>
      <rPr>
        <sz val="9"/>
        <rFont val="Arial"/>
        <family val="2"/>
      </rPr>
      <t xml:space="preserve"> (previously </t>
    </r>
    <r>
      <rPr>
        <i/>
        <sz val="9"/>
        <rFont val="Arial"/>
        <family val="2"/>
      </rPr>
      <t>Passenger car</t>
    </r>
    <r>
      <rPr>
        <sz val="9"/>
        <rFont val="Arial"/>
        <family val="2"/>
      </rPr>
      <t>) fuel efficiency includes motorcycles.</t>
    </r>
  </si>
  <si>
    <r>
      <t xml:space="preserve">c </t>
    </r>
    <r>
      <rPr>
        <sz val="9"/>
        <rFont val="Arial"/>
        <family val="2"/>
      </rPr>
      <t xml:space="preserve">Assumes 55% city and 45% highway-miles. The source calculated average miles per gallon for light-duty vehicles by taking the reciprocal of the sales-weighted average of gallons per mile. This is called the harmonic average. </t>
    </r>
  </si>
  <si>
    <r>
      <t xml:space="preserve">d </t>
    </r>
    <r>
      <rPr>
        <sz val="9"/>
        <rFont val="Arial"/>
        <family val="2"/>
      </rPr>
      <t xml:space="preserve">Beginning with FY 1999, the total </t>
    </r>
    <r>
      <rPr>
        <i/>
        <sz val="9"/>
        <rFont val="Arial"/>
        <family val="2"/>
      </rPr>
      <t>Light truck</t>
    </r>
    <r>
      <rPr>
        <sz val="9"/>
        <rFont val="Arial"/>
        <family val="2"/>
      </rPr>
      <t xml:space="preserve"> fleet ceased to be categorized by either domestic or import fleets.</t>
    </r>
  </si>
  <si>
    <r>
      <t>e</t>
    </r>
    <r>
      <rPr>
        <sz val="9"/>
        <rFont val="Arial"/>
        <family val="2"/>
      </rPr>
      <t xml:space="preserve"> No combined figure is available for 1980. In 1980, CAFE standard for 2 wheel drive, and 4 wheel drive light trucks were 16.0, and 14.0 mpg respectively. </t>
    </r>
  </si>
  <si>
    <t>NOTES</t>
  </si>
  <si>
    <r>
      <t xml:space="preserve">Data for 2007-14 were calculated using a new methodology developed by FHWA. Data for these years are based on new categories and are not comparable to previous years. The new category </t>
    </r>
    <r>
      <rPr>
        <i/>
        <sz val="9"/>
        <rFont val="Arial"/>
        <family val="2"/>
      </rPr>
      <t>Light duty vehicle, short wheel</t>
    </r>
    <r>
      <rPr>
        <sz val="9"/>
        <rFont val="Arial"/>
        <family val="2"/>
      </rPr>
      <t xml:space="preserve"> base includes passenger cars, light trucks, vans and sport utility vehicles with a wheelbase (WB) equal to or less than 121 inches. The new category </t>
    </r>
    <r>
      <rPr>
        <i/>
        <sz val="9"/>
        <rFont val="Arial"/>
        <family val="2"/>
      </rPr>
      <t>Light duty vehicle, long wheel base</t>
    </r>
    <r>
      <rPr>
        <sz val="9"/>
        <rFont val="Arial"/>
        <family val="2"/>
      </rPr>
      <t xml:space="preserve"> includes large passenger cars, vans, pickup trucks, and sport/utility vehicles with wheelbases (WB) larger than 121 inches. </t>
    </r>
  </si>
  <si>
    <r>
      <t xml:space="preserve">The fuel efficiency figures for </t>
    </r>
    <r>
      <rPr>
        <i/>
        <sz val="9"/>
        <rFont val="Arial"/>
        <family val="2"/>
      </rPr>
      <t>Light duty vehicles</t>
    </r>
    <r>
      <rPr>
        <sz val="9"/>
        <rFont val="Arial"/>
        <family val="2"/>
      </rPr>
      <t xml:space="preserve"> represent the sales-weighted harmonic average of the combined</t>
    </r>
    <r>
      <rPr>
        <i/>
        <sz val="9"/>
        <rFont val="Arial"/>
        <family val="2"/>
      </rPr>
      <t xml:space="preserve"> Passenger car</t>
    </r>
    <r>
      <rPr>
        <sz val="9"/>
        <rFont val="Arial"/>
        <family val="2"/>
      </rPr>
      <t xml:space="preserve"> and </t>
    </r>
    <r>
      <rPr>
        <i/>
        <sz val="9"/>
        <rFont val="Arial"/>
        <family val="2"/>
      </rPr>
      <t>Light truck</t>
    </r>
    <r>
      <rPr>
        <sz val="9"/>
        <rFont val="Arial"/>
        <family val="2"/>
      </rPr>
      <t xml:space="preserve"> fuel economies.</t>
    </r>
  </si>
  <si>
    <t>SOURCES</t>
  </si>
  <si>
    <t>Average U.S. light duty vehicle fuel efficiency:</t>
  </si>
  <si>
    <t>Passenger car:</t>
  </si>
  <si>
    <r>
      <t xml:space="preserve">1980-94: U.S. Department of Transportation, Federal Highway Administration, </t>
    </r>
    <r>
      <rPr>
        <i/>
        <sz val="9"/>
        <rFont val="Arial"/>
        <family val="2"/>
      </rPr>
      <t>Highway Statistics Summary to 1995,</t>
    </r>
    <r>
      <rPr>
        <sz val="9"/>
        <rFont val="Arial"/>
        <family val="2"/>
      </rPr>
      <t xml:space="preserve"> table VM-201A, available at http://www.fhwa.dot.gov/policyinformation/statistics.cfm as of Oct. 6, 2011. </t>
    </r>
  </si>
  <si>
    <t>1995-2016: Ibid., Highway Statistics (Washington, DC: Annual Issues), table VM-1, available at http://www.fhwa.dot.gov/policyinformation/statistics.cfm as of May 16, 2018.</t>
  </si>
  <si>
    <t>Light duty vehicle, short wheel base:</t>
  </si>
  <si>
    <r>
      <t>2007-16: U.S. Department of Transportation, Federal Highway Administration,</t>
    </r>
    <r>
      <rPr>
        <i/>
        <sz val="9"/>
        <rFont val="Arial"/>
        <family val="2"/>
      </rPr>
      <t xml:space="preserve"> Highway Statistics</t>
    </r>
    <r>
      <rPr>
        <sz val="9"/>
        <rFont val="Arial"/>
        <family val="2"/>
      </rPr>
      <t xml:space="preserve"> (Washington, DC: Annual Issues), table VM-1, available at http://www.fhwa.dot.gov/policyinformation/statistics.cfm as of May 16, 2018.</t>
    </r>
  </si>
  <si>
    <t>Other 2-axle 4-tire vehicle:</t>
  </si>
  <si>
    <r>
      <t xml:space="preserve">1980-94: U.S. Department of Transportation, Federal Highway Administration, </t>
    </r>
    <r>
      <rPr>
        <i/>
        <sz val="9"/>
        <rFont val="Arial"/>
        <family val="2"/>
      </rPr>
      <t>Highway Statistics Summary to 1995</t>
    </r>
    <r>
      <rPr>
        <sz val="9"/>
        <rFont val="Arial"/>
        <family val="2"/>
      </rPr>
      <t xml:space="preserve">, table VM-201A, available at http://www.fhwa.dot.gov/policyinformation/statistics.cfm as of Oct. 6, 2011. </t>
    </r>
  </si>
  <si>
    <r>
      <t xml:space="preserve">1995-2006: Ibid., </t>
    </r>
    <r>
      <rPr>
        <i/>
        <sz val="9"/>
        <rFont val="Arial"/>
        <family val="2"/>
      </rPr>
      <t>Highway Statistics</t>
    </r>
    <r>
      <rPr>
        <sz val="9"/>
        <rFont val="Arial"/>
        <family val="2"/>
      </rPr>
      <t xml:space="preserve"> (Washington, DC: Annual Issues), table VM-1, available at http://www.fhwa.dot.gov/policyinformation/statistics.cfm as of Oct. 6, 2011.</t>
    </r>
  </si>
  <si>
    <t>Light duty vehicle, long wheel base:</t>
  </si>
  <si>
    <r>
      <t xml:space="preserve">2007-16: U.S. Department of Transportation, Federal Highway Administration, </t>
    </r>
    <r>
      <rPr>
        <i/>
        <sz val="9"/>
        <rFont val="Arial"/>
        <family val="2"/>
      </rPr>
      <t xml:space="preserve">Highway Statistics </t>
    </r>
    <r>
      <rPr>
        <sz val="9"/>
        <rFont val="Arial"/>
        <family val="2"/>
      </rPr>
      <t>(Washington, DC: Annual Issues), table VM-1, available at http://www.fhwa.dot.gov/policyinformation/statistics.cfm as of May 16, 2018.</t>
    </r>
  </si>
  <si>
    <t>New vehicle fuel efficiency (based on model year production) and CAFE standards:</t>
  </si>
  <si>
    <r>
      <t xml:space="preserve">1960-2014: U.S. Department of Transportation, National Highway Traffic Safety Administration, </t>
    </r>
    <r>
      <rPr>
        <i/>
        <sz val="9"/>
        <rFont val="Arial"/>
        <family val="2"/>
      </rPr>
      <t>Summary of Fuel Economy Performance</t>
    </r>
    <r>
      <rPr>
        <sz val="9"/>
        <rFont val="Arial"/>
        <family val="2"/>
      </rPr>
      <t xml:space="preserve"> (Washington, DC: Annual Issues), available at http://www.nhtsa.gov/fuel-economy as of Mar. 3, 2016.</t>
    </r>
  </si>
  <si>
    <t>2015-16: U.S. Department of Transportation, National Highway Traffic Safety Administration, Fleet Fuel Economy Performance Report, available at https://one.nhtsa.gov/cafe_pic/CAFE_PIC_fleet_LIVE.html as of May 16, 2018.</t>
  </si>
  <si>
    <t>Transportation Fuel Economy</t>
  </si>
  <si>
    <t>mpg</t>
  </si>
  <si>
    <t>Fuel Economy Tab</t>
  </si>
  <si>
    <t>Density of Dried Bud</t>
  </si>
  <si>
    <t>oz/in^3</t>
  </si>
  <si>
    <t>1 ft3</t>
  </si>
  <si>
    <t>in3</t>
  </si>
  <si>
    <t>ft3</t>
  </si>
  <si>
    <t>Annual Cannabis Yield</t>
  </si>
  <si>
    <t>Van Size</t>
  </si>
  <si>
    <t>Ratio of Space for Cannabis</t>
  </si>
  <si>
    <t>Volume of Bud/Trip</t>
  </si>
  <si>
    <t>of van can be dried bud</t>
  </si>
  <si>
    <t>Annual Volume Yield</t>
  </si>
  <si>
    <t>based on 1 oz per 3.625 inch diaemter/4 inch tall container at LivWell</t>
  </si>
  <si>
    <t># of Trips</t>
  </si>
  <si>
    <t>m^3 of bud/yr</t>
  </si>
  <si>
    <t>trips/yr</t>
  </si>
  <si>
    <t>Annual Transportation Trips</t>
  </si>
  <si>
    <t>trips</t>
  </si>
  <si>
    <t>trip</t>
  </si>
  <si>
    <t>miles/trip</t>
  </si>
  <si>
    <t>Petroleum</t>
  </si>
  <si>
    <t>per mile</t>
  </si>
  <si>
    <t>market for transport, passenger car, medium size, petrol, EURO 5 | transport, passenger car, medium size, petrol, EURO 5 | Cutoff, S</t>
  </si>
  <si>
    <t>peat moss production, horticultural use | peat moss | Cutoff, S</t>
  </si>
  <si>
    <t>mi</t>
  </si>
  <si>
    <t>Gallons per Year</t>
  </si>
  <si>
    <t>Soil, Nutrients, Etc.</t>
  </si>
  <si>
    <t>Pesticides</t>
  </si>
  <si>
    <t>Herbicides/Fungicides</t>
  </si>
  <si>
    <t>Total Cost</t>
  </si>
  <si>
    <t>Extrapolating Data from Los Suenos Annual Operational Budget</t>
  </si>
  <si>
    <t>Pounds</t>
  </si>
  <si>
    <t>Cost</t>
  </si>
  <si>
    <t>Cal</t>
  </si>
  <si>
    <t>Fruit &amp; Flower</t>
  </si>
  <si>
    <t>Mag</t>
  </si>
  <si>
    <t>Total Pounds</t>
  </si>
  <si>
    <t># Units purchased</t>
  </si>
  <si>
    <t>Soil Amendments (Fertilizer)</t>
  </si>
  <si>
    <t>Types of Soil Amendments (Fertilizer) from Ambrosia Cropz</t>
  </si>
  <si>
    <t xml:space="preserve">Evergreen Pyrethrum Concentrate </t>
  </si>
  <si>
    <t>Total Gallons</t>
  </si>
  <si>
    <t>Perlite</t>
  </si>
  <si>
    <t>Coarse Perlite, 4 ft^3 per bag (113L)</t>
  </si>
  <si>
    <t>Volume (L)</t>
  </si>
  <si>
    <t>Bulk Density (kg/m^3)</t>
  </si>
  <si>
    <t>Mass Required</t>
  </si>
  <si>
    <t>Terragrow</t>
  </si>
  <si>
    <t>Total Volume/Mass</t>
  </si>
  <si>
    <t>Biofungicide (HP+ Pro Mix)</t>
  </si>
  <si>
    <t>https://www.greenerhydroponics.com/Premier-Pro-Mix-HP-BioFungicide-Mycorrhizae-38-cu-ft-_p_76424.html?gclid=EAIaIQobChMIyZngtsnm4gIVlcJkCh1r8A-iEAQYASABEgKCh_D_BwE</t>
  </si>
  <si>
    <t>Pro Mix Biofungicide + Mycorrhizae</t>
  </si>
  <si>
    <t>Regalia Fungicide</t>
  </si>
  <si>
    <t>Folpet Production (OpenLCA)</t>
  </si>
  <si>
    <t>Ecoinvent Search Name</t>
  </si>
  <si>
    <t>Pyrethroid-compount production</t>
  </si>
  <si>
    <t>Perlite Production</t>
  </si>
  <si>
    <t>Urea Production</t>
  </si>
  <si>
    <t>Folpet</t>
  </si>
  <si>
    <t>Soil (Peat Moss)</t>
  </si>
  <si>
    <t>Biofungicide</t>
  </si>
  <si>
    <t>Jiffy preforma landmark t50 blend</t>
  </si>
  <si>
    <t>GRAND TOTALS</t>
  </si>
  <si>
    <t>Peat Moss Based "Soil"</t>
  </si>
  <si>
    <t>Fertilizer (Urea)</t>
  </si>
  <si>
    <t>Soil Amendments (Perlite)</t>
  </si>
  <si>
    <t>Biofungicide (Folpet)</t>
  </si>
  <si>
    <t>kg/harvest</t>
  </si>
  <si>
    <t>[39]</t>
  </si>
  <si>
    <t>Los Suenos Data Exchange (Spreadsheet)</t>
  </si>
  <si>
    <t>Data mining from Los Suenos 2018 GH and Field Spreadsheet</t>
  </si>
  <si>
    <t>folpet production | folpet | Cutoff, S</t>
  </si>
  <si>
    <t>Assumed Density</t>
  </si>
  <si>
    <t>Soil Amendments</t>
  </si>
  <si>
    <t>urea production, as N | urea, as N | Cutoff, S</t>
  </si>
  <si>
    <t>harvest</t>
  </si>
  <si>
    <t>Pesticides (Pyrethroid-compound)</t>
  </si>
  <si>
    <t>pyrethroid-compound production | pyrethroid-compound | Cutoff, S</t>
  </si>
  <si>
    <t>expanded perlite production | expanded perlite | Cutoff, S</t>
  </si>
  <si>
    <t>Sensitivity Analysis</t>
  </si>
  <si>
    <t>Vary inputs by</t>
  </si>
  <si>
    <t>Carcinogenics</t>
  </si>
  <si>
    <t>Non-carcinogenics</t>
  </si>
  <si>
    <t>Ozone formation</t>
  </si>
  <si>
    <t>Resource depletion</t>
  </si>
  <si>
    <t>Baseline Values</t>
  </si>
  <si>
    <t>TOTAL PER KG DRY WEED</t>
  </si>
  <si>
    <t>Sensitivity Analysis Outputs +20%</t>
  </si>
  <si>
    <t>Sensitivity Analysis Outputs -20%</t>
  </si>
  <si>
    <t>Percent Change</t>
  </si>
  <si>
    <t>Max % Change</t>
  </si>
  <si>
    <t>Average Impact</t>
  </si>
  <si>
    <t>Reasons why my values are different than Mills</t>
  </si>
  <si>
    <t>Table 1</t>
  </si>
  <si>
    <t>Ventilation &amp; dehumid</t>
  </si>
  <si>
    <t>Air Conditioning</t>
  </si>
  <si>
    <t>Space Heat</t>
  </si>
  <si>
    <t>CO2 injection</t>
  </si>
  <si>
    <t>Water handling</t>
  </si>
  <si>
    <t>Vehicles</t>
  </si>
  <si>
    <t>Energy Intensity (kWh/kg yield)</t>
  </si>
  <si>
    <t>Emissions (kg CO2/kg yield)</t>
  </si>
  <si>
    <t>Mills</t>
  </si>
  <si>
    <t>My Data</t>
  </si>
  <si>
    <t>N/A</t>
  </si>
  <si>
    <t>Emissions Factors</t>
  </si>
  <si>
    <t>kg CO2/kWh</t>
  </si>
  <si>
    <t>He is doing 2.6 gal/m^2-day vs my 1.8 gal/m^2-day (~30% diff)</t>
  </si>
  <si>
    <t>kWh/year-module</t>
  </si>
  <si>
    <t>kWh/m^2-grow-year</t>
  </si>
  <si>
    <t>Pre-heat water for plant</t>
  </si>
  <si>
    <t>Amount</t>
  </si>
  <si>
    <t>gal/yr</t>
  </si>
  <si>
    <t>CO Baseline Groundwater Temp</t>
  </si>
  <si>
    <t>Heated Water Setpoint</t>
  </si>
  <si>
    <t>Delivered Water Temp</t>
  </si>
  <si>
    <t>C</t>
  </si>
  <si>
    <t>[40]</t>
  </si>
  <si>
    <t>Water Temperature Setpoing</t>
  </si>
  <si>
    <t>https://www.maximumyield.com/regulating-and-maintaining-reservoir-temperature/2/2350</t>
  </si>
  <si>
    <t>Water Heating Energy</t>
  </si>
  <si>
    <t>Well Water Temp</t>
  </si>
  <si>
    <t>Waste Bills from Los Suenos for 1 year</t>
  </si>
  <si>
    <t>**1/2 can be cannabis and 1/2 can be other</t>
  </si>
  <si>
    <t>Larimer County Landfill Rates</t>
  </si>
  <si>
    <t>per cubic yard</t>
  </si>
  <si>
    <t>Green Waste (&lt;1000 lbs per cubic yard)</t>
  </si>
  <si>
    <t>per ton</t>
  </si>
  <si>
    <t>per tonne</t>
  </si>
  <si>
    <t>Waste from Los Suenos</t>
  </si>
  <si>
    <t>Landfill</t>
  </si>
  <si>
    <t>process-specific burden, sanitary landfill | process-specific burden, sanitary landfill | Cutoff, S</t>
  </si>
  <si>
    <t>Landfill Burden</t>
  </si>
  <si>
    <t>Dehumidification Percent Recirculation</t>
  </si>
  <si>
    <t>% of grow volume</t>
  </si>
  <si>
    <t>Assumed</t>
  </si>
  <si>
    <t>Auxilary Dehumidification Load</t>
  </si>
  <si>
    <t>Heating and Humidification Load</t>
  </si>
  <si>
    <t>Cooling and Dehumidification Load</t>
  </si>
  <si>
    <t>DH_P</t>
  </si>
  <si>
    <t>TOTALS</t>
  </si>
  <si>
    <t>Mills is using 1000 W vs my 600 W for flowering and 600 W vs my 400 W for vegetative, his lights apply to 100% of the grow area all the time</t>
  </si>
  <si>
    <t>Mills is doing 30 Air changes per hour</t>
  </si>
  <si>
    <t>Percents of Total (Energy Intensity)</t>
  </si>
  <si>
    <t>Mills is air conditioning of internal space with 100% recirculation whereas mine is air condition of outside air at a set air changes (which is lower than his air changes)</t>
  </si>
  <si>
    <t>Water Heating Load</t>
  </si>
  <si>
    <t>Auxilary Air Conditioning</t>
  </si>
  <si>
    <t>Auxilary Air Conditioning Load</t>
  </si>
  <si>
    <t>J/kg-K</t>
  </si>
  <si>
    <t>Irrigation Pumping Load</t>
  </si>
  <si>
    <t>Gasoline</t>
  </si>
  <si>
    <t>Energy Density</t>
  </si>
  <si>
    <t>https://www.aqua-calc.com/page/density-table/substance/gasoline</t>
  </si>
  <si>
    <t>Gasoline Properties</t>
  </si>
  <si>
    <t>gallons/yr</t>
  </si>
  <si>
    <t>m^3/yr</t>
  </si>
  <si>
    <t>MJ-gas/yr</t>
  </si>
  <si>
    <t>kWh-gas/yr</t>
  </si>
  <si>
    <t>%Energy Intensity</t>
  </si>
  <si>
    <t>%Emissions</t>
  </si>
  <si>
    <t>Mills Data</t>
  </si>
  <si>
    <t>Percents of Total Emissions</t>
  </si>
  <si>
    <t>kwh/plant-year</t>
  </si>
  <si>
    <t>gal/plant-yr</t>
  </si>
  <si>
    <t>kWh/gal</t>
  </si>
  <si>
    <t>Water Pumping Power [Mills]</t>
  </si>
  <si>
    <t>kg/cycle</t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</si>
  <si>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/cycle</t>
    </r>
  </si>
  <si>
    <r>
      <t>kg-flower/m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-cycle</t>
    </r>
  </si>
  <si>
    <t>gal/plant-day</t>
  </si>
  <si>
    <t>Grow Area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</si>
  <si>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</si>
  <si>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Average Transportation Distance</t>
  </si>
  <si>
    <t>trips/year</t>
  </si>
  <si>
    <t>Initial Water Temp</t>
  </si>
  <si>
    <t>of total air changes</t>
  </si>
  <si>
    <t>Air Changes per hour</t>
  </si>
  <si>
    <r>
      <t>plants/m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</si>
  <si>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Global Warming Potential (kg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-eq/kg-dry flower)</t>
    </r>
  </si>
  <si>
    <r>
      <t>CO</t>
    </r>
    <r>
      <rPr>
        <vertAlign val="subscript"/>
        <sz val="11"/>
        <rFont val="Calibri"/>
        <family val="2"/>
        <scheme val="minor"/>
      </rPr>
      <t>2</t>
    </r>
  </si>
  <si>
    <t>Beef</t>
  </si>
  <si>
    <t>Cheese</t>
  </si>
  <si>
    <t>Pork</t>
  </si>
  <si>
    <t>Poultry</t>
  </si>
  <si>
    <t>Eggs</t>
  </si>
  <si>
    <t>Milk</t>
  </si>
  <si>
    <t>Rice</t>
  </si>
  <si>
    <t>Legums</t>
  </si>
  <si>
    <t>Carrots</t>
  </si>
  <si>
    <t>Potatoes</t>
  </si>
  <si>
    <t>lbs CO2/serving</t>
  </si>
  <si>
    <t>Serving</t>
  </si>
  <si>
    <t>4 oz.</t>
  </si>
  <si>
    <t>Cannabis</t>
  </si>
  <si>
    <t>lbs CO2/kg-bud</t>
  </si>
  <si>
    <t>lb</t>
  </si>
  <si>
    <t>oz</t>
  </si>
  <si>
    <t>1 oz</t>
  </si>
  <si>
    <t>Lamb</t>
  </si>
  <si>
    <t>Turkey</t>
  </si>
  <si>
    <t>Chicken</t>
  </si>
  <si>
    <t>Nuts</t>
  </si>
  <si>
    <t>Tofu</t>
  </si>
  <si>
    <t>cup</t>
  </si>
  <si>
    <t>Beer</t>
  </si>
  <si>
    <t>Wine</t>
  </si>
  <si>
    <t>Spirits</t>
  </si>
  <si>
    <t>Cigarettes</t>
  </si>
  <si>
    <t>liter</t>
  </si>
  <si>
    <t xml:space="preserve">kg </t>
  </si>
  <si>
    <t>1000 L</t>
  </si>
  <si>
    <t>lbs CO2/lb consumable</t>
  </si>
  <si>
    <t>grams CO/6-pack</t>
  </si>
  <si>
    <t>oz/6-pack</t>
  </si>
  <si>
    <t>grams CO2/oz</t>
  </si>
  <si>
    <t>tonnes CO2/million cigs</t>
  </si>
  <si>
    <t>kgs/cig</t>
  </si>
  <si>
    <t>cig</t>
  </si>
  <si>
    <t>2 oz</t>
  </si>
  <si>
    <t>oz whiskey</t>
  </si>
  <si>
    <t>oz beer</t>
  </si>
  <si>
    <t>oz wine</t>
  </si>
  <si>
    <t>pack</t>
  </si>
  <si>
    <t>cannabis</t>
  </si>
  <si>
    <t>beer</t>
  </si>
  <si>
    <t>wine</t>
  </si>
  <si>
    <t>spirits</t>
  </si>
  <si>
    <t>lamb</t>
  </si>
  <si>
    <t>beef</t>
  </si>
  <si>
    <t>cheese</t>
  </si>
  <si>
    <t>pork</t>
  </si>
  <si>
    <t>turkey</t>
  </si>
  <si>
    <t>chicken</t>
  </si>
  <si>
    <t>eggs</t>
  </si>
  <si>
    <t>potatoes</t>
  </si>
  <si>
    <t>rice</t>
  </si>
  <si>
    <t>milk</t>
  </si>
  <si>
    <t>cigarettes</t>
  </si>
  <si>
    <t xml:space="preserve">tofu </t>
  </si>
  <si>
    <t>1 L</t>
  </si>
  <si>
    <t>cups</t>
  </si>
  <si>
    <t>0.5 cup</t>
  </si>
  <si>
    <t>5.57 oz</t>
  </si>
  <si>
    <t>Cattle Industry in Colorado</t>
  </si>
  <si>
    <t>million metric tonnes methane</t>
  </si>
  <si>
    <t>kg co2-eq</t>
  </si>
  <si>
    <t>Electric Power</t>
  </si>
  <si>
    <t>Industrial Processes</t>
  </si>
  <si>
    <t>Agriculture</t>
  </si>
  <si>
    <t>Waste</t>
  </si>
  <si>
    <t>Natural Gas &amp; Oil Systems</t>
  </si>
  <si>
    <t>Coal Mining &amp; Abandoned Mines</t>
  </si>
  <si>
    <t>MMT CO2-eq</t>
  </si>
  <si>
    <t>million metric tonnes CO2-eq</t>
  </si>
  <si>
    <t>Cannabis Cultivation</t>
  </si>
  <si>
    <t>[41]</t>
  </si>
  <si>
    <t>Colorado State Level Emissions by Sector</t>
  </si>
  <si>
    <t>https://www.colorado.gov/pacific/sites/default/files/AP-COGHGInventory2014Update.pdf</t>
  </si>
  <si>
    <t>FIELD</t>
  </si>
  <si>
    <t>Soil Amendments Details</t>
  </si>
  <si>
    <t>Aaron Hoare expenses</t>
  </si>
  <si>
    <t>potassium hydroxide</t>
  </si>
  <si>
    <t>COMPOST TECHNOLOGIES</t>
  </si>
  <si>
    <t>compost on fields</t>
  </si>
  <si>
    <t>American Clay Works</t>
  </si>
  <si>
    <t>terra grow</t>
  </si>
  <si>
    <t>Ambrosia Cropz LLC</t>
  </si>
  <si>
    <t>vegetative growth/fruit&amp;flowe/mag/cal</t>
  </si>
  <si>
    <t>soil ammendments</t>
  </si>
  <si>
    <t>Green Cover Seed</t>
  </si>
  <si>
    <t>cover crop seed to keep dirt down while planted</t>
  </si>
  <si>
    <t>Rocky Ford Growers Co-op</t>
  </si>
  <si>
    <t>plant marvel (fertilizer)</t>
  </si>
  <si>
    <t>terra grow (fertilizer)</t>
  </si>
  <si>
    <t>phoscard/iron (field fertilizer)</t>
  </si>
  <si>
    <t>tundamix (field fertilizer)</t>
  </si>
  <si>
    <t>plant marvel/phosphate (field fertilizer)</t>
  </si>
  <si>
    <t>fertilizer</t>
  </si>
  <si>
    <t>kimitec tundamix (fetilizer)</t>
  </si>
  <si>
    <t>phosgard fertilizer</t>
  </si>
  <si>
    <t>sulfur fertilizer</t>
  </si>
  <si>
    <t>plant marvel/potassium phosphate</t>
  </si>
  <si>
    <t>Arkansas Valley Seed, Inc.</t>
  </si>
  <si>
    <t>cover crop to be plowed under</t>
  </si>
  <si>
    <t>Unit Cost from Online Source</t>
  </si>
  <si>
    <t># of Units</t>
  </si>
  <si>
    <t>Size</t>
  </si>
  <si>
    <t>Total Needed</t>
  </si>
  <si>
    <t>Liter</t>
  </si>
  <si>
    <t>lbs (55 cu ft)</t>
  </si>
  <si>
    <t>potassium hyroxide</t>
  </si>
  <si>
    <t>compost</t>
  </si>
  <si>
    <t>vegetative</t>
  </si>
  <si>
    <t>Soil Inoculant</t>
  </si>
  <si>
    <t>NPK fertilizer</t>
  </si>
  <si>
    <t>regular trays</t>
  </si>
  <si>
    <t>jiffy performa pellets</t>
  </si>
  <si>
    <t>clonex gel</t>
  </si>
  <si>
    <t>promix products, microrizzhae mix</t>
  </si>
  <si>
    <t>field operation</t>
  </si>
  <si>
    <t>clones started in greenhouse</t>
  </si>
  <si>
    <t>move into insulator greenhouse</t>
  </si>
  <si>
    <t>gravita 1000W lights</t>
  </si>
  <si>
    <t>plasticulture</t>
  </si>
  <si>
    <t>drip irrigation</t>
  </si>
  <si>
    <t>0.9 gals/hour of water</t>
  </si>
  <si>
    <t>netafim</t>
  </si>
  <si>
    <t>dosatron injection system</t>
  </si>
  <si>
    <t>45% humidiity during curing</t>
  </si>
  <si>
    <t>7-10 days</t>
  </si>
  <si>
    <t>64 degress</t>
  </si>
  <si>
    <t>final moisture 12-15%</t>
  </si>
  <si>
    <t>cannabis cargo</t>
  </si>
  <si>
    <t>40000 lbs of trim &amp; bud</t>
  </si>
  <si>
    <t>Los Suenos</t>
  </si>
  <si>
    <t xml:space="preserve">1 acre = </t>
  </si>
  <si>
    <t>hectares</t>
  </si>
  <si>
    <t>[42]</t>
  </si>
  <si>
    <t>Outdoor Growth Timeline</t>
  </si>
  <si>
    <t>https://www.royalqueenseeds.com/blog-growing-cannabis-outdoors-and-off-the-grid-part-1-getting-started-n953</t>
  </si>
  <si>
    <t>lbs/plant</t>
  </si>
  <si>
    <t>plants/ft2</t>
  </si>
  <si>
    <t>Los Suenos e-mail from Ryan</t>
  </si>
  <si>
    <t>Indoor Inputs Tab</t>
  </si>
  <si>
    <t xml:space="preserve">1 foot = </t>
  </si>
  <si>
    <t>inches</t>
  </si>
  <si>
    <t>feet/water-day</t>
  </si>
  <si>
    <t>gal/plant-hr</t>
  </si>
  <si>
    <t>gallons/plant-day</t>
  </si>
  <si>
    <t>inches/plant-day</t>
  </si>
  <si>
    <t>inches/plant-harvest</t>
  </si>
  <si>
    <t>feet/plant-day</t>
  </si>
  <si>
    <t>acre-feet/acre-day</t>
  </si>
  <si>
    <t>volume</t>
  </si>
  <si>
    <t xml:space="preserve">1 acre-foot = </t>
  </si>
  <si>
    <t>gallons</t>
  </si>
  <si>
    <t>gallon/acre-day</t>
  </si>
  <si>
    <t>gallon/m2-day</t>
  </si>
  <si>
    <t>gallon/ft-day</t>
  </si>
  <si>
    <t>Los Suenos Camera Interview</t>
  </si>
  <si>
    <t>Youtube</t>
  </si>
  <si>
    <t>[43]</t>
  </si>
  <si>
    <t>Outdoor water needs</t>
  </si>
  <si>
    <t>https://www.jainsusa.com/blog/water-demands-for-cannabis</t>
  </si>
  <si>
    <t>[44]</t>
  </si>
  <si>
    <t>Outdoor water needs 2</t>
  </si>
  <si>
    <t>https://www.leafly.com/news/growing/outdoor-cannabis-grows-101-everything-you-need-to-start-growing-o</t>
  </si>
  <si>
    <t>Jains USA</t>
  </si>
  <si>
    <t>Leafly</t>
  </si>
  <si>
    <t>Outdoor Backup Calcs</t>
  </si>
  <si>
    <t>Los Suenos Video</t>
  </si>
  <si>
    <t>Outdoor Acreage</t>
  </si>
  <si>
    <t>acres</t>
  </si>
  <si>
    <t>Greenhouse Cloning Area</t>
  </si>
  <si>
    <t>Technically clone, germination and part of veg</t>
  </si>
  <si>
    <t>Indoor Vegetative Growth Duration</t>
  </si>
  <si>
    <t>[42] total is 4-6 weeks</t>
  </si>
  <si>
    <t>Outdoor Vegetative Growth Duration</t>
  </si>
  <si>
    <t>Usable grow area</t>
  </si>
  <si>
    <t>% of total greenhouse area</t>
  </si>
  <si>
    <t>Assumed by inspection</t>
  </si>
  <si>
    <t>Greenhouse Height</t>
  </si>
  <si>
    <t>feet</t>
  </si>
  <si>
    <t>k = t/R</t>
  </si>
  <si>
    <t>Calculated based on 1.5 R value</t>
  </si>
  <si>
    <t>Dehumidificaiton Percent Recirc</t>
  </si>
  <si>
    <t>plant-day</t>
  </si>
  <si>
    <t>m2</t>
  </si>
  <si>
    <t>Clone Floor Area Percent</t>
  </si>
  <si>
    <t>Veg Floor Area Percent</t>
  </si>
  <si>
    <t>Cure Floor Area Percent</t>
  </si>
  <si>
    <t>Flowering Floor Area Percent</t>
  </si>
  <si>
    <t>I step</t>
  </si>
  <si>
    <t>start</t>
  </si>
  <si>
    <t>end clone</t>
  </si>
  <si>
    <t>end veg in</t>
  </si>
  <si>
    <t>end veg out</t>
  </si>
  <si>
    <t>end flower</t>
  </si>
  <si>
    <t>end cure</t>
  </si>
  <si>
    <t>plant</t>
  </si>
  <si>
    <t>Wh/year</t>
  </si>
  <si>
    <t>kg/plant</t>
  </si>
  <si>
    <t>Annual Bud Yield</t>
  </si>
  <si>
    <t>kg-bud/year</t>
  </si>
  <si>
    <t>gallons/day</t>
  </si>
  <si>
    <t>Outdoor Watering Amount</t>
  </si>
  <si>
    <t>Indoor Vegetative Water Amount</t>
  </si>
  <si>
    <t>gallon/plant-day</t>
  </si>
  <si>
    <t>Indoor Clone Water Amount</t>
  </si>
  <si>
    <t>Total number of plants</t>
  </si>
  <si>
    <t>plants/year</t>
  </si>
  <si>
    <t>Los Suenos email from Ryan</t>
  </si>
  <si>
    <t>outdoor veg + flower</t>
  </si>
  <si>
    <t>% Diff</t>
  </si>
  <si>
    <t>This is saying delta T is 0 currently, no pre-heat of water.</t>
  </si>
  <si>
    <t>Pasted Outdoor - Fort Collins</t>
  </si>
  <si>
    <t>% Diff FoCo</t>
  </si>
  <si>
    <t>Pasted - Pueblo</t>
  </si>
  <si>
    <t>Heating Efficiency</t>
  </si>
  <si>
    <t>% of energy delivered</t>
  </si>
  <si>
    <t>Thermo text, [45]</t>
  </si>
  <si>
    <t>[45]</t>
  </si>
  <si>
    <t>COP and Nth, heat vs. cool</t>
  </si>
  <si>
    <t>https://smarterhouse.org/cooling-systems/types-cooling-systems</t>
  </si>
  <si>
    <t>ecoinvent - natural gas processing plant production | natural gas processing plant | Cutoff, S
USLCI - Natural gas, combusted in industrial equipment</t>
  </si>
  <si>
    <t>Los Suenos e-mail from Ryan (40000/36000)</t>
  </si>
  <si>
    <t>Irrigation Water</t>
  </si>
  <si>
    <t>Irrigation | Cutoff, S - RoW</t>
  </si>
  <si>
    <t>Irrigating</t>
  </si>
  <si>
    <t>ha or m3 water use</t>
  </si>
  <si>
    <t>4 x 0.25 tractor
4 x 10 automation</t>
  </si>
  <si>
    <t>irrigating (per ha)</t>
  </si>
  <si>
    <t>tractor</t>
  </si>
  <si>
    <t>AM - general</t>
  </si>
  <si>
    <t>tractor, production</t>
  </si>
  <si>
    <t>kg/ha</t>
  </si>
  <si>
    <t>No diesel use, so assumed the tractor burden to establish irrigation originally is all allocated to other crops (also, 100% of the tractor is accounted for via other processes)</t>
  </si>
  <si>
    <t>agricultural machinery, general, production</t>
  </si>
  <si>
    <t xml:space="preserve">Just used original numbers </t>
  </si>
  <si>
    <t>diesel, at regional storage</t>
  </si>
  <si>
    <t>shed</t>
  </si>
  <si>
    <t>m2/ha</t>
  </si>
  <si>
    <t>Just scaled shed for machinery because shed due to tractor is scaled elsewhere</t>
  </si>
  <si>
    <t>polyethylene, HDPE, granulate, at plant</t>
  </si>
  <si>
    <t>extrusion, plastic film</t>
  </si>
  <si>
    <t>water, river</t>
  </si>
  <si>
    <t>m3/ha</t>
  </si>
  <si>
    <t>excavation, hydraulic digger</t>
  </si>
  <si>
    <t>cast iron, at plant</t>
  </si>
  <si>
    <t>electricity, low voltage, at grid</t>
  </si>
  <si>
    <t>kWh/ha</t>
  </si>
  <si>
    <t>polyvinylchloride, builk polymerised, at plant</t>
  </si>
  <si>
    <t xml:space="preserve"> = Remember to Link to Clarks when we copy this tab to Integrated Model</t>
  </si>
  <si>
    <t>Ecoinvent Database v3.4</t>
  </si>
  <si>
    <t>15_Agriculture: Table A-9 Ecoinvent Module Name, Description, Functional Unit &amp; Operating Time</t>
  </si>
  <si>
    <t>15_Agriculture: Table A-10 Characteristics of the mployed agricultural machinery</t>
  </si>
  <si>
    <t>15_Agriculture: Table A-11 Unit-process inventories</t>
  </si>
  <si>
    <t>Equipment Lifetime from Clark's Model</t>
  </si>
  <si>
    <t>Total Lifetime Acres of Equipment</t>
  </si>
  <si>
    <t>Annual Acres via Equipment</t>
  </si>
  <si>
    <t xml:space="preserve">Annual Guar Acres via Equipment </t>
  </si>
  <si>
    <t>LCA Converted Value</t>
  </si>
  <si>
    <t>Machines</t>
  </si>
  <si>
    <t>Fuel Consumption</t>
  </si>
  <si>
    <t>EcoInvent Process Equivalent</t>
  </si>
  <si>
    <t>Functional Unit (FU)</t>
  </si>
  <si>
    <t>Operation time [h/FU]</t>
  </si>
  <si>
    <t>Module-Name</t>
  </si>
  <si>
    <t>Class</t>
  </si>
  <si>
    <t>Weight (kg)</t>
  </si>
  <si>
    <t>per hour (liters/hour)</t>
  </si>
  <si>
    <t>per FU [kg/FU]</t>
  </si>
  <si>
    <t>Unit Process Inventory</t>
  </si>
  <si>
    <t>Baseline Process</t>
  </si>
  <si>
    <t>X liters</t>
  </si>
  <si>
    <t>X liter</t>
  </si>
  <si>
    <t>X hectares</t>
  </si>
  <si>
    <t>LCA FOR OUTDOOR GROWING</t>
  </si>
  <si>
    <t>Tractor, production</t>
  </si>
  <si>
    <t>ecoinvent - tractor production, 4-wheel, agricultural | tractor, 4-wheel, agricultural | Cutoff, S - RoW</t>
  </si>
  <si>
    <t>Agricultural Machinery, unspecified, production</t>
  </si>
  <si>
    <t>ecoinvent - agricultural machinery production, unspecified | agricultural machinery, unspecified | Cutoff, S - RoW</t>
  </si>
  <si>
    <t>ecoinvent - diesel production, low-sulfer | diesel, low-sulfer | Cutoff, S - RoW 
USLCI - Diesel, combusted in industrial equipment</t>
  </si>
  <si>
    <t>Diesel</t>
  </si>
  <si>
    <t>Shed, construction</t>
  </si>
  <si>
    <t>ecoinvent - shed construction | shed | Cutoff, S - RoW</t>
  </si>
  <si>
    <t>Polyethylene production, high density, granulate</t>
  </si>
  <si>
    <t>ecoinvent - polyethylene production, high density, granulate | polyethylene, high density, granulate | Cutoff, S - RoW</t>
  </si>
  <si>
    <t>Extrusion plastic film production</t>
  </si>
  <si>
    <t>ecoinvent - extrusion production, plastic film | extrusion, plastic film | Cutoff, S - RoW</t>
  </si>
  <si>
    <t>Excavation hydraulic digger production</t>
  </si>
  <si>
    <t>ecoinvent - excavation, hydraulic digger | excavation, hydraulic digger | Cutoff, S - RoW</t>
  </si>
  <si>
    <t>Cast iron production</t>
  </si>
  <si>
    <t>cast iron production | cast iron | Cutoff, S</t>
  </si>
  <si>
    <t>Polyvinylchloride production</t>
  </si>
  <si>
    <t>ecoinvent - polyvinylchloride production, bulk polymerisation | polyvinylchloride, bulk polymerised | Cutoff, S - RoW</t>
  </si>
  <si>
    <t>Water For Plant</t>
  </si>
  <si>
    <t>%decrease from indoor</t>
  </si>
  <si>
    <t>Global Warming Potential</t>
  </si>
  <si>
    <t>LCA FOR INDOOR GROWING (GROUPING)</t>
  </si>
  <si>
    <t>Climate Control</t>
  </si>
  <si>
    <t>Plant Protection</t>
  </si>
  <si>
    <t>TOTAL PER KG DRY</t>
  </si>
  <si>
    <t>% change from zbove</t>
  </si>
  <si>
    <t>% change from above</t>
  </si>
  <si>
    <t>should equal</t>
  </si>
  <si>
    <t>% Reduction</t>
  </si>
  <si>
    <t>Typical Electric Energy Usage for a Grow House</t>
  </si>
  <si>
    <t>TOTAL</t>
  </si>
  <si>
    <t>Source:</t>
  </si>
  <si>
    <t>https://electricityplans.com/power-consumption-for-cannabis-growers/</t>
  </si>
  <si>
    <t>Website says: 2000 - 3000 kWh of ENERGY per pound of product</t>
  </si>
  <si>
    <t>Total electricity</t>
  </si>
  <si>
    <t>Total Bud</t>
  </si>
  <si>
    <t>kWh electricity/kg-bud</t>
  </si>
  <si>
    <t>kWh electricity/lb-bud</t>
  </si>
  <si>
    <t>Their value:</t>
  </si>
  <si>
    <t>Website says: ELECTRICITY BILLS of $40000 per month in a 60,000 ft^2 warehouse</t>
  </si>
  <si>
    <t>$/ft^2</t>
  </si>
  <si>
    <t>Mine:</t>
  </si>
  <si>
    <t>total ft2 warehouse</t>
  </si>
  <si>
    <t>$/ft^2-month</t>
  </si>
  <si>
    <t>X HIGHER</t>
  </si>
  <si>
    <t>kg co2/gallon</t>
  </si>
  <si>
    <t>miles per gallon</t>
  </si>
  <si>
    <t>kg CO2/mile</t>
  </si>
  <si>
    <t>Matlab Var Name</t>
  </si>
  <si>
    <t>A_g_total</t>
  </si>
  <si>
    <t>H</t>
  </si>
  <si>
    <t>t</t>
  </si>
  <si>
    <t>k</t>
  </si>
  <si>
    <t>N</t>
  </si>
  <si>
    <t>L_clone</t>
  </si>
  <si>
    <t>L_veg</t>
  </si>
  <si>
    <t>L_flower</t>
  </si>
  <si>
    <t>L_cure</t>
  </si>
  <si>
    <t>L_clone_hours</t>
  </si>
  <si>
    <t>L_veg_hours</t>
  </si>
  <si>
    <t>L_flower_hours</t>
  </si>
  <si>
    <t>L_cure_hours</t>
  </si>
  <si>
    <t>L_clone_W</t>
  </si>
  <si>
    <t>L_veg_W</t>
  </si>
  <si>
    <t>L_flower_W</t>
  </si>
  <si>
    <t>L_cure_W</t>
  </si>
  <si>
    <t>RH_clone_max</t>
  </si>
  <si>
    <t>RH_clone_mean</t>
  </si>
  <si>
    <t>RH_clone_min</t>
  </si>
  <si>
    <t>Clone Room Relative Humidity Max</t>
  </si>
  <si>
    <t>Clone Room Relative Humidity Mean</t>
  </si>
  <si>
    <t>Clone Room Relative Humidity Min</t>
  </si>
  <si>
    <t>RH_veg_max</t>
  </si>
  <si>
    <t>RH_veg_mean</t>
  </si>
  <si>
    <t>RH_veg_min</t>
  </si>
  <si>
    <t>Vegetative Relative Humidity Max</t>
  </si>
  <si>
    <t>Vegetative Relative Humidity Mean</t>
  </si>
  <si>
    <t>Vegetative Relative Humidity Min</t>
  </si>
  <si>
    <t>RH_flower_max</t>
  </si>
  <si>
    <t>RH_flower_mean</t>
  </si>
  <si>
    <t>RH_flower_min</t>
  </si>
  <si>
    <t>Flowering Relative Humidity Max</t>
  </si>
  <si>
    <t>Flowering Relative Humidity Mean</t>
  </si>
  <si>
    <t>Flowering Relative Humidity Min</t>
  </si>
  <si>
    <t>RH_cure_max</t>
  </si>
  <si>
    <t>RH_cure_mean</t>
  </si>
  <si>
    <t>RH_cure_min</t>
  </si>
  <si>
    <t>Curing Relative Humidity Max</t>
  </si>
  <si>
    <t>Curing Relative Humidity Mean</t>
  </si>
  <si>
    <t>Curing Relative Humidity Min</t>
  </si>
  <si>
    <t>T_veg_day</t>
  </si>
  <si>
    <t>T_flower_day</t>
  </si>
  <si>
    <t>T_cure_day</t>
  </si>
  <si>
    <t>T_veg_night</t>
  </si>
  <si>
    <t>T_flower_night</t>
  </si>
  <si>
    <t>T_cure_night</t>
  </si>
  <si>
    <t>T_well</t>
  </si>
  <si>
    <t>T_water</t>
  </si>
  <si>
    <t>water_rate</t>
  </si>
  <si>
    <t>CO2_veg_conc</t>
  </si>
  <si>
    <t>CO2_flower_conc</t>
  </si>
  <si>
    <t>CO2_atmos</t>
  </si>
  <si>
    <t>COP_chiller</t>
  </si>
  <si>
    <t>Nth_heat</t>
  </si>
  <si>
    <t>A_g_1</t>
  </si>
  <si>
    <t>A_g_2</t>
  </si>
  <si>
    <t>A_g_3</t>
  </si>
  <si>
    <t>A_g_4</t>
  </si>
  <si>
    <t>NA3</t>
  </si>
  <si>
    <t>NA4</t>
  </si>
  <si>
    <t>NA10</t>
  </si>
  <si>
    <t>NA11</t>
  </si>
  <si>
    <t>NA12</t>
  </si>
  <si>
    <t>NA13</t>
  </si>
  <si>
    <t>NA14</t>
  </si>
  <si>
    <t>NA15</t>
  </si>
  <si>
    <t>plant_area</t>
  </si>
  <si>
    <t>W_BTU</t>
  </si>
  <si>
    <t>output1</t>
  </si>
  <si>
    <t>fan_power</t>
  </si>
  <si>
    <t>water_pump_energy</t>
  </si>
  <si>
    <t>trans_distance</t>
  </si>
  <si>
    <t>output2</t>
  </si>
  <si>
    <t>output3</t>
  </si>
  <si>
    <t>water_weeks_year</t>
  </si>
  <si>
    <t>output4</t>
  </si>
  <si>
    <t>extractor_fan_HP</t>
  </si>
  <si>
    <t>trans_fuel_econ</t>
  </si>
  <si>
    <t>bud_density</t>
  </si>
  <si>
    <t>trans_trips_year</t>
  </si>
  <si>
    <t>output5</t>
  </si>
  <si>
    <t>output6</t>
  </si>
  <si>
    <t>annual_bud_year</t>
  </si>
  <si>
    <t>percent_recirc</t>
  </si>
  <si>
    <t>h_air_out</t>
  </si>
  <si>
    <t>h_air_in</t>
  </si>
  <si>
    <t>convective heat transfer coefficient outside</t>
  </si>
  <si>
    <t>convective heat transfer coefficient inside</t>
  </si>
  <si>
    <t>W/m^2-K</t>
  </si>
  <si>
    <t>plant_yield</t>
  </si>
  <si>
    <t>[46]</t>
  </si>
  <si>
    <t>U.S. Domestic Water Line Temps</t>
  </si>
  <si>
    <t>http://www.gfxtechnology.com/WaterTemp.pdf</t>
  </si>
  <si>
    <t>[47]</t>
  </si>
  <si>
    <t>Wattage per square foot!</t>
  </si>
  <si>
    <t>https://growace.com/blog/how-many-grow-lights-do-your-plants-need/</t>
  </si>
  <si>
    <t>A_g_use</t>
  </si>
  <si>
    <t>lights on</t>
  </si>
  <si>
    <t>lights off</t>
  </si>
  <si>
    <t>T_clone_day</t>
  </si>
  <si>
    <t>T_clone_night</t>
  </si>
  <si>
    <t>Clone Room Temperature Night (low)</t>
  </si>
  <si>
    <t>Clone Room Temperature Day (High)</t>
  </si>
  <si>
    <t>Latent Heat of Vaporization</t>
  </si>
  <si>
    <t>ET_night</t>
  </si>
  <si>
    <t>Percent plants sweat at night (of day)</t>
  </si>
  <si>
    <t xml:space="preserve">% of day sweat </t>
  </si>
  <si>
    <t>% of day sweat</t>
  </si>
  <si>
    <t>[48]</t>
  </si>
  <si>
    <t>Night evapotransportation and VPD description</t>
  </si>
  <si>
    <t>https://pugetsoundashrae.org/wp-content/uploads/2018/01/Seattle-ASHRAE-Grow-Room-Presentation.pdf</t>
  </si>
  <si>
    <t>MED 2017 Report (Average Colorado Length) 22 days</t>
  </si>
  <si>
    <t>MED 2017 Report (Average Colorado Length) 50 days</t>
  </si>
  <si>
    <t>MED 2017 Report (Average Colorado Length) 57 days</t>
  </si>
  <si>
    <t>NA16</t>
  </si>
  <si>
    <t>NA17</t>
  </si>
  <si>
    <t>Dehumidification (Electric)</t>
  </si>
  <si>
    <t>Dehumidification Reheat (NG)</t>
  </si>
  <si>
    <t>Humidification</t>
  </si>
  <si>
    <t>NA18</t>
  </si>
  <si>
    <t>NA19</t>
  </si>
  <si>
    <t>Humidification and Cooling (NG)</t>
  </si>
  <si>
    <t>Humidification and Cooling(Electric)</t>
  </si>
  <si>
    <t>[49]</t>
  </si>
  <si>
    <t>Vice article on cannabis waste</t>
  </si>
  <si>
    <t>https://www.vice.com/en_ca/article/vbnby3/canadas-weed-growers-destroy-a-lot-of-cannabis</t>
  </si>
  <si>
    <t>lb waste /lb product</t>
  </si>
  <si>
    <t>Energy Cannabis Report 2018</t>
  </si>
  <si>
    <t>TO MATCH GROUPS ABOVE</t>
  </si>
  <si>
    <t>Space Heating</t>
  </si>
  <si>
    <t>Water Pumping</t>
  </si>
  <si>
    <t>Ventilation, cooling and dehum</t>
  </si>
  <si>
    <t>Pump Power</t>
  </si>
  <si>
    <t>pumping_power</t>
  </si>
  <si>
    <t>weeks</t>
  </si>
  <si>
    <t>Electricity Consumption Rate (kWh/lb flower)</t>
  </si>
  <si>
    <t>Anonymous</t>
  </si>
  <si>
    <t>Clinic (Historical)</t>
  </si>
  <si>
    <t>Clinic (Current)</t>
  </si>
  <si>
    <t>Water Consumption Rate (gal/lb of flower)</t>
  </si>
  <si>
    <t>My numbers</t>
  </si>
  <si>
    <t>Median</t>
  </si>
  <si>
    <t>Days between plant stages</t>
  </si>
  <si>
    <t>days/stage</t>
  </si>
  <si>
    <t>assumed</t>
  </si>
  <si>
    <t>LCA facility count vales</t>
  </si>
  <si>
    <t>end</t>
  </si>
  <si>
    <t>season 1</t>
  </si>
  <si>
    <t>season 2</t>
  </si>
  <si>
    <t>season 3</t>
  </si>
  <si>
    <t>season 4</t>
  </si>
  <si>
    <t>season 5</t>
  </si>
  <si>
    <t>season 6</t>
  </si>
  <si>
    <t>break</t>
  </si>
  <si>
    <t>season 7</t>
  </si>
  <si>
    <t>season 0</t>
  </si>
  <si>
    <t>season 8</t>
  </si>
  <si>
    <t>season 9</t>
  </si>
  <si>
    <t>transition_days</t>
  </si>
  <si>
    <t>L_break_W</t>
  </si>
  <si>
    <t>Break Lighting Intensity</t>
  </si>
  <si>
    <t>Break Relative Humidity Max</t>
  </si>
  <si>
    <t>Break Relative Humidity Mean</t>
  </si>
  <si>
    <t>Break Relative Humidity Min</t>
  </si>
  <si>
    <t>RH_break_max</t>
  </si>
  <si>
    <t>RH_break_mean</t>
  </si>
  <si>
    <t>RH_break_min</t>
  </si>
  <si>
    <t>T_break_day</t>
  </si>
  <si>
    <t>Break Day Temperature</t>
  </si>
  <si>
    <t>T_break_night</t>
  </si>
  <si>
    <t>Break Night Temperature</t>
  </si>
  <si>
    <t>L_break_hours</t>
  </si>
  <si>
    <t>Break Light Exposure</t>
  </si>
  <si>
    <t xml:space="preserve">Vegetative </t>
  </si>
  <si>
    <t>high N, low P, moderate K</t>
  </si>
  <si>
    <t>taper N, high P and K</t>
  </si>
  <si>
    <t>3.8.7</t>
  </si>
  <si>
    <t>9.4.5</t>
  </si>
  <si>
    <t>[50]</t>
  </si>
  <si>
    <t>Bergman's Nutrient Schedules and Amounts</t>
  </si>
  <si>
    <t>https://shop.ilovegrowingmarijuana.com/products/marijuana-fertilizer-set</t>
  </si>
  <si>
    <t>Seeding</t>
  </si>
  <si>
    <t xml:space="preserve"> N-P-K Ratio</t>
  </si>
  <si>
    <t>11.40.13</t>
  </si>
  <si>
    <t>10 grams</t>
  </si>
  <si>
    <t>Bergmans for 5 plants</t>
  </si>
  <si>
    <t>19.5.20</t>
  </si>
  <si>
    <t>25 grams</t>
  </si>
  <si>
    <t>16.6.30</t>
  </si>
  <si>
    <t>200 grams</t>
  </si>
  <si>
    <t>Booster (Flowering)</t>
  </si>
  <si>
    <t>Nitrogen</t>
  </si>
  <si>
    <t>Ammonium Nitrate Production</t>
  </si>
  <si>
    <t>Phosphate</t>
  </si>
  <si>
    <t>Triple Super Phosphate</t>
  </si>
  <si>
    <t>1 kg P2O5</t>
  </si>
  <si>
    <t>2.08 kg TSP w/ P2O5 @ 48%</t>
  </si>
  <si>
    <t>1 kg N</t>
  </si>
  <si>
    <t>2.86 kg AN w/ N @ 35%</t>
  </si>
  <si>
    <t>Potassium Chloride</t>
  </si>
  <si>
    <t>Potassium</t>
  </si>
  <si>
    <t>Potassium Chrolide</t>
  </si>
  <si>
    <t>1 kg K2O</t>
  </si>
  <si>
    <t>1.67 kg PC w/ K2O @ 60%</t>
  </si>
  <si>
    <t>Ammonium Nitrate</t>
  </si>
  <si>
    <t xml:space="preserve">per kg </t>
  </si>
  <si>
    <t>Ammonium Nitrate Production, as N | Cutoff, RoW</t>
  </si>
  <si>
    <t>Triple Superphosphate</t>
  </si>
  <si>
    <t>Potassium Chloride Production, as K | Cutoff, RoW</t>
  </si>
  <si>
    <t>Triple Superphosphate Production, as P | Cutoff, RoW</t>
  </si>
  <si>
    <t>Flowering (1)</t>
  </si>
  <si>
    <t>Flowering (2)</t>
  </si>
  <si>
    <t>Amount per 5 plants</t>
  </si>
  <si>
    <t>Mass per Plant (grams/plant)</t>
  </si>
  <si>
    <t>P</t>
  </si>
  <si>
    <t>K</t>
  </si>
  <si>
    <t>% of element per stage</t>
  </si>
  <si>
    <t>Ammonium Nitrate (N)</t>
  </si>
  <si>
    <t>Triple Superphosphate (P)</t>
  </si>
  <si>
    <t>Potassium Chloride (K)</t>
  </si>
  <si>
    <t>grams/plant</t>
  </si>
  <si>
    <t>kg/plant-cycle</t>
  </si>
  <si>
    <t>i_count_flower</t>
  </si>
  <si>
    <t>icount_flower + 1</t>
  </si>
  <si>
    <t>(i_count_flower+i_count_break)</t>
  </si>
  <si>
    <t>j</t>
  </si>
  <si>
    <t>n</t>
  </si>
  <si>
    <t>Waste from Plants</t>
  </si>
  <si>
    <t>plant_waste</t>
  </si>
  <si>
    <t>Clone Soil Waste</t>
  </si>
  <si>
    <t>Veg Soil Waste</t>
  </si>
  <si>
    <t>Flower Soil Waste</t>
  </si>
  <si>
    <t>soil_waste_veg</t>
  </si>
  <si>
    <t>soil_waste_flower</t>
  </si>
  <si>
    <t>soil_waste_clone</t>
  </si>
  <si>
    <t>I clone</t>
  </si>
  <si>
    <t>grow</t>
  </si>
  <si>
    <t>I clone break</t>
  </si>
  <si>
    <t>I cure</t>
  </si>
  <si>
    <t>I cure break</t>
  </si>
  <si>
    <t>I veg</t>
  </si>
  <si>
    <t>I veg break</t>
  </si>
  <si>
    <t>Array Name</t>
  </si>
  <si>
    <t>HVAC cool year</t>
  </si>
  <si>
    <t>Cure</t>
  </si>
  <si>
    <t>HVAC dehumid year</t>
  </si>
  <si>
    <t>HVAC hc cool year</t>
  </si>
  <si>
    <t>HVAC hc humid year</t>
  </si>
  <si>
    <t>HVAC heat year</t>
  </si>
  <si>
    <t>HVAC Hum heat year</t>
  </si>
  <si>
    <t>HVAC humid year</t>
  </si>
  <si>
    <t>HVAC reheat year</t>
  </si>
  <si>
    <t>Energy Source</t>
  </si>
  <si>
    <t>Q light year</t>
  </si>
  <si>
    <t>AC P year</t>
  </si>
  <si>
    <t>Q water year</t>
  </si>
  <si>
    <t>DH P year</t>
  </si>
  <si>
    <t>CO2 year</t>
  </si>
  <si>
    <t>Water year</t>
  </si>
  <si>
    <t>ET year</t>
  </si>
  <si>
    <t>kg H2O/m2-grow year</t>
  </si>
  <si>
    <t>Electric Yearly Sums</t>
  </si>
  <si>
    <t>$/month for a 15,000 sq ft warehouse</t>
  </si>
  <si>
    <t>NEW INDOOR ANNUAL BUD YIELD</t>
  </si>
  <si>
    <t>kg-bud/yr</t>
  </si>
  <si>
    <t>m3/plant</t>
  </si>
  <si>
    <t>[51]</t>
  </si>
  <si>
    <t>Leafly Soil Requirements Amounts</t>
  </si>
  <si>
    <t>https://www.leafly.com/news/growing/how-and-when-to-transplant-cannabis-plants</t>
  </si>
  <si>
    <t>kWh/lb</t>
  </si>
  <si>
    <t>NCSL website</t>
  </si>
  <si>
    <t>5,000 ft2 warehouse uses 41,808 kWh/month</t>
  </si>
  <si>
    <t>Scenario 1 from above</t>
  </si>
  <si>
    <t>Scenario 2</t>
  </si>
  <si>
    <t>Scenario 3</t>
  </si>
  <si>
    <t>Mills total kWh/yr-m2</t>
  </si>
  <si>
    <t>Mine</t>
  </si>
  <si>
    <t>**ALL electric systems</t>
  </si>
  <si>
    <t>**A lot of my energy load is handled by NG</t>
  </si>
  <si>
    <t>Yearly Sums Energy Costs</t>
  </si>
  <si>
    <t>http://www.ncsl.org/research/energy/electricity-use-in-marijuana-production.aspx</t>
  </si>
  <si>
    <t>$/MJ</t>
  </si>
  <si>
    <t>per year</t>
  </si>
  <si>
    <t>NCSL Energy Costs ($2500/kg-flower)</t>
  </si>
  <si>
    <t>lbs/plant-cycle</t>
  </si>
  <si>
    <t>USING NO SCALER VALUES AND N=30 IN MATLAB AND HIGHER LIGHTS (800 and 600)</t>
  </si>
  <si>
    <t>Indoor sizing (base model was 86*16*m2_to_ft2)</t>
  </si>
  <si>
    <t>Full Warehouse Analysis Outputs (N = 10 and using scaler, LED lights)</t>
  </si>
  <si>
    <t>USING NO SCALER VALUES IN MATLAB (LED Lights)</t>
  </si>
  <si>
    <t>USING NO SCALER VALUES AND N=30 IN MATLAB, LED Lights</t>
  </si>
  <si>
    <t>Biological waste from plant</t>
  </si>
  <si>
    <t>kg waste/yr</t>
  </si>
  <si>
    <t>My values scaled from 15,000 ft</t>
  </si>
  <si>
    <t>Re-run values at 5,000 ft</t>
  </si>
  <si>
    <t>Scenario 4</t>
  </si>
  <si>
    <t>5,000 sq ft (N =30, no scaler, HPS Lights)</t>
  </si>
  <si>
    <t>RE-RUN of simple building HVAC for offices AFTER CODE OVERHAUL</t>
  </si>
  <si>
    <t>soil waste diluted 50% (X2)</t>
  </si>
  <si>
    <t>Foxfarm Soil &amp; fertilizer pamphlets</t>
  </si>
  <si>
    <t>2nd source for nutrients</t>
  </si>
  <si>
    <t>Big Bloom</t>
  </si>
  <si>
    <t>Grow Big</t>
  </si>
  <si>
    <t>Tiger Bloom</t>
  </si>
  <si>
    <t>Flowers Kiss</t>
  </si>
  <si>
    <t>Boomerang</t>
  </si>
  <si>
    <t>Kangaroots</t>
  </si>
  <si>
    <t>Microbe Brew</t>
  </si>
  <si>
    <t>Wholly Mackerel</t>
  </si>
  <si>
    <t>Kelp Me Kelp You</t>
  </si>
  <si>
    <t>Bembe</t>
  </si>
  <si>
    <t>Open Sesame</t>
  </si>
  <si>
    <t>Beasite Bloomz</t>
  </si>
  <si>
    <t>Cha Ching</t>
  </si>
  <si>
    <t>Week #</t>
  </si>
  <si>
    <t>Seedlings and Cuttings</t>
  </si>
  <si>
    <t>Density (kg/mL)</t>
  </si>
  <si>
    <t>kg/m3</t>
  </si>
  <si>
    <t>BTU/yr</t>
  </si>
  <si>
    <t>kBTU/yr</t>
  </si>
  <si>
    <t>ALL DAY SETPOINTS OF 72 AND NIGHT OF 68</t>
  </si>
  <si>
    <t>From above (N = 30, HPS lights, no scaler)</t>
  </si>
  <si>
    <t>[52]</t>
  </si>
  <si>
    <t>Validation Temperature Setpoints of Average Building</t>
  </si>
  <si>
    <t>https://www.plu.edu/facilities-management/wp-content/uploads/sites/140/2017/01/plu-temperature-set-point-policy.pdf</t>
  </si>
  <si>
    <t>Validation Relative Humidity Setpoints</t>
  </si>
  <si>
    <t>https://www.engineeringtoolbox.com/relative-humidity-d_895.html</t>
  </si>
  <si>
    <t>[53]</t>
  </si>
  <si>
    <t>BTU/ft^2-yr</t>
  </si>
  <si>
    <t>% Electricity</t>
  </si>
  <si>
    <t>% NG</t>
  </si>
  <si>
    <t>Bulk Density</t>
  </si>
  <si>
    <t>Fertilizer (Miracle Grow)</t>
  </si>
  <si>
    <t>https://www.oregon.gov/ode/educator-resources/standards/science/Documents/Current-Lesson-Materials-MS/msds-miracle-gro.pdf</t>
  </si>
  <si>
    <t>MSDS Miracle Grow</t>
  </si>
  <si>
    <t>1 teaspoon =</t>
  </si>
  <si>
    <t>TOTAL FEED</t>
  </si>
  <si>
    <t>Times per week</t>
  </si>
  <si>
    <t>Masses of each element per gallon (kg/gal)</t>
  </si>
  <si>
    <t>[54]</t>
  </si>
  <si>
    <t>https://www.designingbuildings.co.uk/wiki/U-values</t>
  </si>
  <si>
    <t>U-Value Validation of .18 W/m^2-K for insulated wall</t>
  </si>
  <si>
    <t>% of elec</t>
  </si>
  <si>
    <t>% of NG</t>
  </si>
  <si>
    <t>% of total</t>
  </si>
  <si>
    <t>Enthalpy Liq @ 20 C</t>
  </si>
  <si>
    <t>kJ/kg</t>
  </si>
  <si>
    <t>Thermo Text</t>
  </si>
  <si>
    <t>84.576 kPa</t>
  </si>
  <si>
    <t>Enthalpy Vap @ 100 C</t>
  </si>
  <si>
    <t>KJ/kg</t>
  </si>
  <si>
    <t>plants/yr</t>
  </si>
  <si>
    <t>gal/plant</t>
  </si>
  <si>
    <t>gal/plant-cycle</t>
  </si>
  <si>
    <t>gallons/plant-cycle</t>
  </si>
  <si>
    <t>WATER</t>
  </si>
  <si>
    <t>HVAC_hh_vap</t>
  </si>
  <si>
    <t>HVAC_hh_heat_1 (ma*(h2-h1))</t>
  </si>
  <si>
    <t>HVAC_hh_heat_2 (ma(h3-h2))</t>
  </si>
  <si>
    <t>ft^2/person</t>
  </si>
  <si>
    <t>people in facility</t>
  </si>
  <si>
    <t>cfm/person</t>
  </si>
  <si>
    <t>cfm/facility-fresh</t>
  </si>
  <si>
    <t>cfm at full HVAC with 4 air changes per hour</t>
  </si>
  <si>
    <t>fresh air needed</t>
  </si>
  <si>
    <t>Evan's NWC Calcs</t>
  </si>
  <si>
    <t>kWh/ft2-yr (office)</t>
  </si>
  <si>
    <t xml:space="preserve">TEMPERATURE SETPOINTS BASED OF ENERGY [52], [53] Relative Humidity (see statement below for specifics) </t>
  </si>
  <si>
    <t>The below validation is based on mass_flow_air being 20% of the total. This is determined via an average building occupancy load per person of 200 sq ft/person, 20 cfm/person of fresh air</t>
  </si>
  <si>
    <t>The below validation is based on mass_flow_air being 10% of the total. This is determined via an average building occupancy load per person of 100 sq ft/person, 20 cfm/person of fresh air</t>
  </si>
  <si>
    <t>Number of Plants</t>
  </si>
  <si>
    <t>The 4 quare feet per plant is adult, so what comes out of the flowering stage</t>
  </si>
  <si>
    <t>plant_count</t>
  </si>
  <si>
    <t>water_rate*plant_count</t>
  </si>
  <si>
    <t>gal/week</t>
  </si>
  <si>
    <t>fert. Gallons/week</t>
  </si>
  <si>
    <t>fert. Gallon/plant harvest</t>
  </si>
  <si>
    <t>gal/plant harvest</t>
  </si>
  <si>
    <t>kg N/plant-harvest</t>
  </si>
  <si>
    <t>kg P/plant-harvest</t>
  </si>
  <si>
    <t>kg K/plant-harvest</t>
  </si>
  <si>
    <t>Didn't use</t>
  </si>
  <si>
    <t>[55]</t>
  </si>
  <si>
    <t>Foxfarm soil &amp; fertilizer company</t>
  </si>
  <si>
    <t>Pamphlets from Austin</t>
  </si>
  <si>
    <t>HVAC Energy</t>
  </si>
  <si>
    <t>Secondary Air Conditioning</t>
  </si>
  <si>
    <t>Secondary Dehumidification</t>
  </si>
  <si>
    <t>thousand MWh</t>
  </si>
  <si>
    <t>Wh/kg-bud</t>
  </si>
  <si>
    <t>kWh/kg-bud</t>
  </si>
  <si>
    <t>kWh/lb-bud</t>
  </si>
  <si>
    <t>kWh/yr-colorado</t>
  </si>
  <si>
    <t>thousand MWH for cannabis</t>
  </si>
  <si>
    <t>lbs bud/yr-colorado</t>
  </si>
  <si>
    <t>lbs CO2/lb bud</t>
  </si>
  <si>
    <t>tons CO2/yr</t>
  </si>
  <si>
    <t>tonnes CO2/yr</t>
  </si>
  <si>
    <t>MMT co2/yr</t>
  </si>
  <si>
    <t>total ag</t>
  </si>
  <si>
    <t>Electricity Generation</t>
  </si>
  <si>
    <t>Building Fuel Use</t>
  </si>
  <si>
    <t>Coal Mining</t>
  </si>
  <si>
    <t>Waste Management</t>
  </si>
  <si>
    <t>Oil &amp; Gas Production</t>
  </si>
  <si>
    <t>Indoor Cannabis</t>
  </si>
  <si>
    <t>Human Health</t>
  </si>
  <si>
    <t>Resource Depletion</t>
  </si>
  <si>
    <t>$/yr</t>
  </si>
  <si>
    <t>BTU/W</t>
  </si>
  <si>
    <t>USING NO SCALER VALUES AND N=30 IN MATLAB AND HIGHER LIGHTS (800 and 600), clone @ 24 hrs/day</t>
  </si>
  <si>
    <t>Indor_Model_Facility_LCAv2Optimization Outputs (Model with ALL (k,i))</t>
  </si>
  <si>
    <t>% Difference</t>
  </si>
  <si>
    <t>Indor_Model_Facility_LCAv3Optimization Outputs (Model without (k,i))</t>
  </si>
  <si>
    <t>i</t>
  </si>
  <si>
    <t>narrow</t>
  </si>
  <si>
    <t>wide</t>
  </si>
  <si>
    <t>plants/ft^2</t>
  </si>
  <si>
    <t>plants</t>
  </si>
  <si>
    <t>cycle</t>
  </si>
  <si>
    <t>veg ft^2</t>
  </si>
  <si>
    <t>4 gal</t>
  </si>
  <si>
    <t>day-kw</t>
  </si>
  <si>
    <t>gal/day</t>
  </si>
  <si>
    <t>flower ft^2</t>
  </si>
  <si>
    <t>gal/cycle</t>
  </si>
  <si>
    <t>gal/ft^2-day</t>
  </si>
  <si>
    <t>kW/ft^2</t>
  </si>
  <si>
    <t>plants/room</t>
  </si>
  <si>
    <t>used to be 'Indoor Raw Data'!F163</t>
  </si>
  <si>
    <t>**Should match B299</t>
  </si>
  <si>
    <t>Outputs from Indoor_Model_facility_LCAv2Optimization</t>
  </si>
  <si>
    <t>ET outputs from same model as above</t>
  </si>
  <si>
    <t>kg H2O/m2-grow area per year</t>
  </si>
  <si>
    <t>gallons/m2-grow area per year</t>
  </si>
  <si>
    <t>gallons/plant</t>
  </si>
  <si>
    <t>**Shouldn't be more than water applied</t>
  </si>
  <si>
    <t>THIS IS WRONG BECAUSE ALL HVAC WAS *0.1 FOR OFFICE VALIDATION METRICS</t>
  </si>
  <si>
    <t>AFTER WATER AND YIELD SHIFTS (1 gal/plant-day for water and yields closer to 1 lb per plant) ALSO ADDED AUXILARY HEATING, FANS FOR HVAC AND WATER PUMPING POWER</t>
  </si>
  <si>
    <t>HEAT_P year</t>
  </si>
  <si>
    <t>Water pumping year</t>
  </si>
  <si>
    <t>water_year</t>
  </si>
  <si>
    <t>ET_year</t>
  </si>
  <si>
    <t>CO2-year</t>
  </si>
  <si>
    <t>HP/hr</t>
  </si>
  <si>
    <t>number_clip_fans</t>
  </si>
  <si>
    <t>Number of clip fans needed</t>
  </si>
  <si>
    <t>fans</t>
  </si>
  <si>
    <t>Counted # of fans in Los Suenos pictures and took square footage from Google Earth</t>
  </si>
  <si>
    <t>Intake Fan Power</t>
  </si>
  <si>
    <t>intake_fan_HP</t>
  </si>
  <si>
    <t>Intake Fan Electricity</t>
  </si>
  <si>
    <t>Auxilary Heating Load</t>
  </si>
  <si>
    <t>NA30</t>
  </si>
  <si>
    <t>Secondary Heating</t>
  </si>
  <si>
    <t>Natural_Gas</t>
  </si>
  <si>
    <t>Tap_Water</t>
  </si>
  <si>
    <t>Carbon_Dioxide</t>
  </si>
  <si>
    <t>Peat_Moss</t>
  </si>
  <si>
    <t>Matlab Names</t>
  </si>
  <si>
    <t>Shed_construction</t>
  </si>
  <si>
    <t>Ammonium_Nitrate</t>
  </si>
  <si>
    <t>Triple_Superphosphate</t>
  </si>
  <si>
    <t>Potassium_Chloride</t>
  </si>
  <si>
    <t>N_Urea</t>
  </si>
  <si>
    <t>Tractor</t>
  </si>
  <si>
    <t>Ag_Machinery</t>
  </si>
  <si>
    <t>HDPE</t>
  </si>
  <si>
    <t>Plastic_Film</t>
  </si>
  <si>
    <t>Hydraulic_digger_production</t>
  </si>
  <si>
    <t>Cast_iron_production</t>
  </si>
  <si>
    <t>PVC_production</t>
  </si>
  <si>
    <t>HP_to_kW*kW_to_W*day_to_hour*year_to_day</t>
  </si>
  <si>
    <t>hr</t>
  </si>
  <si>
    <t>day</t>
  </si>
  <si>
    <t>biofungicide_mass</t>
  </si>
  <si>
    <t>soil_amendment_mass</t>
  </si>
  <si>
    <t>ammonium_nitrate_mass</t>
  </si>
  <si>
    <t>triple_superphosphate_mass</t>
  </si>
  <si>
    <t>potassium_chloride_mass</t>
  </si>
  <si>
    <t>plants/harvest-flower</t>
  </si>
  <si>
    <t>m^3/plant</t>
  </si>
  <si>
    <t>fans/m^2-facility</t>
  </si>
  <si>
    <t>Nutrient Supply from Coconut Husk, as N</t>
  </si>
  <si>
    <t>Coco_Husk</t>
  </si>
  <si>
    <t>Nutrient Supply from Coconut Husk, as N | Cutoff, RoW</t>
  </si>
  <si>
    <t>Coco Coir as Soil</t>
  </si>
  <si>
    <t>[56]</t>
  </si>
  <si>
    <t>Perlite/Coco mixture ratios</t>
  </si>
  <si>
    <t>https://cannabistraininguniversity.com/learn-more-about-growing-cannabis-in-perlite-and-coco-coir/</t>
  </si>
  <si>
    <t>70% coco and 30% perlite [56]</t>
  </si>
  <si>
    <t>perlite</t>
  </si>
  <si>
    <t>coco</t>
  </si>
  <si>
    <t>https://www.walmart.com/ip/FoxFarm-FX14100-Bush-Doctor-Coco-Loco-Plant-Garden-Potting-Soil-Mix-2-Cubic-Ft/194569731?wmlspartner=wlpa&amp;selectedSellerId=1187&amp;adid=22222222227053299007&amp;wl0=&amp;wl1=g&amp;wl2=c&amp;wl3=153877461783&amp;wl4=pla-265417260405&amp;wl5=9028895&amp;wl6=&amp;wl7=&amp;wl8=&amp;wl9=pla&amp;wl10=112549749&amp;wl11=online&amp;wl12=194569731&amp;veh=sem&amp;gclid=EAIaIQobChMI46nT_7f85QIViB-tBh0zSAjiEAQYBCABEgIr4_D_BwE</t>
  </si>
  <si>
    <t>soil_coco</t>
  </si>
  <si>
    <t>Neem Oil</t>
  </si>
  <si>
    <t>Palm Oil, Refined, to Generic Market for Vegetable Oil</t>
  </si>
  <si>
    <t>palm oil, refined, to generic market for vegetable oil | vegetable oil, refined | Cutoff, S</t>
  </si>
  <si>
    <t>teaspoon/liter</t>
  </si>
  <si>
    <t>Surfactant (non-phosphate)</t>
  </si>
  <si>
    <t>drops/liter</t>
  </si>
  <si>
    <t>**5 ml/drop of dilute soap</t>
  </si>
  <si>
    <t>liter/liter</t>
  </si>
  <si>
    <t>https://www.royalqueenseeds.com/blog-neem-oil-the-organic-pesticide-of-choice-for-cannabis-n657</t>
  </si>
  <si>
    <t>Neem oil and surfactant amounts</t>
  </si>
  <si>
    <t>[57]</t>
  </si>
  <si>
    <t>Neem Oil and Surfactant [57]</t>
  </si>
  <si>
    <t>Water Rate</t>
  </si>
  <si>
    <t>liter/plant</t>
  </si>
  <si>
    <t>Frequency</t>
  </si>
  <si>
    <t>per 10 days, stop 3 weeks before harvest</t>
  </si>
  <si>
    <t>Total weeks of cycle</t>
  </si>
  <si>
    <t># of applications</t>
  </si>
  <si>
    <t>applications</t>
  </si>
  <si>
    <t>Water Use</t>
  </si>
  <si>
    <t>liters/plant-cycle</t>
  </si>
  <si>
    <t>neem_oil_mass</t>
  </si>
  <si>
    <t>neem_oil_water</t>
  </si>
  <si>
    <t>neem_oil_soap</t>
  </si>
  <si>
    <t>Surfactant mixed with neem oil application</t>
  </si>
  <si>
    <t>water mixed with neem oil application</t>
  </si>
  <si>
    <t>Neem oil for insecticide</t>
  </si>
  <si>
    <t>Indoor Raw Data</t>
  </si>
  <si>
    <t>Surfactant Production</t>
  </si>
  <si>
    <t>soap production | soap | Cutoff, S</t>
  </si>
  <si>
    <t>Surfactant_Production</t>
  </si>
  <si>
    <t>neem oil</t>
  </si>
  <si>
    <t>soap</t>
  </si>
  <si>
    <t>density</t>
  </si>
  <si>
    <t>grams/cm3</t>
  </si>
  <si>
    <t>Dawn Liquid Soap</t>
  </si>
  <si>
    <t>Functional properties of neem oil as potential feedstock for biodiesel</t>
  </si>
  <si>
    <t>plant-harvest</t>
  </si>
  <si>
    <t xml:space="preserve">Neem Oil </t>
  </si>
  <si>
    <t>Neem Oil (Soap)</t>
  </si>
  <si>
    <t>MATLAB OUTPUTS</t>
  </si>
  <si>
    <t>% DIFFERENCE</t>
  </si>
  <si>
    <t>MATLAB NUMBER</t>
  </si>
  <si>
    <t>Neem_Oil</t>
  </si>
  <si>
    <t>Electricity_WECC</t>
  </si>
  <si>
    <t>Electricity_FRCC</t>
  </si>
  <si>
    <t>Electricity_MRO</t>
  </si>
  <si>
    <t>Electricity_NPCC</t>
  </si>
  <si>
    <t>Electricity_RFC</t>
  </si>
  <si>
    <t>Electricity_SERC</t>
  </si>
  <si>
    <t>Electricity_SPP</t>
  </si>
  <si>
    <t>Electricity_TRE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</si>
  <si>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</si>
  <si>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</si>
  <si>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</si>
  <si>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</si>
  <si>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</si>
  <si>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</si>
  <si>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</si>
  <si>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</si>
  <si>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</si>
  <si>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</si>
  <si>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</si>
  <si>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</si>
  <si>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</si>
  <si>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</si>
  <si>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</si>
  <si>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</si>
  <si>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</si>
  <si>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</si>
  <si>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</si>
  <si>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</si>
  <si>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</si>
  <si>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</si>
  <si>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</si>
  <si>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</si>
  <si>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</si>
  <si>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</si>
  <si>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</si>
  <si>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</si>
  <si>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</si>
  <si>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</si>
  <si>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</si>
  <si>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</si>
  <si>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</si>
  <si>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</si>
  <si>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</si>
  <si>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</si>
  <si>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</si>
  <si>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</si>
  <si>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</si>
  <si>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</si>
  <si>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</si>
  <si>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</si>
  <si>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UT</t>
  </si>
  <si>
    <t>VT</t>
  </si>
  <si>
    <t>VA</t>
  </si>
  <si>
    <t>WA</t>
  </si>
  <si>
    <t>WV</t>
  </si>
  <si>
    <t>WI</t>
  </si>
  <si>
    <t>WY</t>
  </si>
  <si>
    <t>TX</t>
  </si>
  <si>
    <t>STATE ABBREVIATION</t>
  </si>
  <si>
    <t>REGION</t>
  </si>
  <si>
    <t>SERC</t>
  </si>
  <si>
    <t>WECC</t>
  </si>
  <si>
    <t>NPCC</t>
  </si>
  <si>
    <t>RFC</t>
  </si>
  <si>
    <t>FRCC</t>
  </si>
  <si>
    <t>MRO</t>
  </si>
  <si>
    <t>SPP</t>
  </si>
  <si>
    <t>TRE</t>
  </si>
  <si>
    <t>3. State Output Emission Rates (eGRID2016)</t>
  </si>
  <si>
    <t>State</t>
  </si>
  <si>
    <t>Total output emission rates</t>
  </si>
  <si>
    <t>(lb/MWh)</t>
  </si>
  <si>
    <r>
      <t>CO</t>
    </r>
    <r>
      <rPr>
        <b/>
        <vertAlign val="subscript"/>
        <sz val="8.5"/>
        <color theme="1"/>
        <rFont val="Arial"/>
        <family val="2"/>
      </rPr>
      <t>2</t>
    </r>
  </si>
  <si>
    <r>
      <t>CH</t>
    </r>
    <r>
      <rPr>
        <b/>
        <vertAlign val="subscript"/>
        <sz val="8.5"/>
        <color theme="1"/>
        <rFont val="Arial"/>
        <family val="2"/>
      </rPr>
      <t>4</t>
    </r>
  </si>
  <si>
    <r>
      <t>N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O</t>
    </r>
  </si>
  <si>
    <r>
      <t>CO</t>
    </r>
    <r>
      <rPr>
        <b/>
        <vertAlign val="subscript"/>
        <sz val="8.5"/>
        <color theme="1"/>
        <rFont val="Arial"/>
        <family val="2"/>
      </rPr>
      <t>2</t>
    </r>
    <r>
      <rPr>
        <b/>
        <sz val="8.5"/>
        <color theme="1"/>
        <rFont val="Arial"/>
        <family val="2"/>
      </rPr>
      <t>e</t>
    </r>
  </si>
  <si>
    <r>
      <t>Annual NO</t>
    </r>
    <r>
      <rPr>
        <b/>
        <vertAlign val="subscript"/>
        <sz val="8.5"/>
        <color theme="1"/>
        <rFont val="Arial"/>
        <family val="2"/>
      </rPr>
      <t>x</t>
    </r>
  </si>
  <si>
    <r>
      <t>Ozone Season NO</t>
    </r>
    <r>
      <rPr>
        <b/>
        <vertAlign val="subscript"/>
        <sz val="8.5"/>
        <color theme="1"/>
        <rFont val="Arial"/>
        <family val="2"/>
      </rPr>
      <t>x</t>
    </r>
  </si>
  <si>
    <r>
      <t>SO</t>
    </r>
    <r>
      <rPr>
        <b/>
        <vertAlign val="subscript"/>
        <sz val="8.5"/>
        <color theme="1"/>
        <rFont val="Arial"/>
        <family val="2"/>
      </rPr>
      <t>2</t>
    </r>
  </si>
  <si>
    <t>U.S.</t>
  </si>
  <si>
    <t>Created:</t>
  </si>
  <si>
    <t>kg/kWh</t>
  </si>
  <si>
    <t>CO2e</t>
  </si>
  <si>
    <t>Electricity_ASCC</t>
  </si>
  <si>
    <t>Electricity_HICC</t>
  </si>
  <si>
    <t>Location Case Study</t>
  </si>
  <si>
    <t>From CannabiseGrid26RegionsTotal</t>
  </si>
  <si>
    <t>Min</t>
  </si>
  <si>
    <t>Long Beach</t>
  </si>
  <si>
    <t>GWP (kg CO2e/kg-bud)</t>
  </si>
  <si>
    <t>File #</t>
  </si>
  <si>
    <t>City</t>
  </si>
  <si>
    <t>Portland</t>
  </si>
  <si>
    <t>Medium</t>
  </si>
  <si>
    <t>Denver/Golden</t>
  </si>
  <si>
    <t>Higher</t>
  </si>
  <si>
    <t>Miami</t>
  </si>
  <si>
    <t>Matlab I #</t>
  </si>
  <si>
    <t>Long Beach, CA</t>
  </si>
  <si>
    <t>Portland, ME</t>
  </si>
  <si>
    <t>Portland, OR</t>
  </si>
  <si>
    <t>Miami, FL</t>
  </si>
  <si>
    <t>Original Categories</t>
  </si>
  <si>
    <t>Condensed Categogries</t>
  </si>
  <si>
    <t>Dehumidification</t>
  </si>
  <si>
    <t>Fans</t>
  </si>
  <si>
    <t>California</t>
  </si>
  <si>
    <t>AC</t>
  </si>
  <si>
    <t>vap</t>
  </si>
  <si>
    <t>simple cooling</t>
  </si>
  <si>
    <t>simple heating</t>
  </si>
  <si>
    <t>HVAC_hh_heat_1</t>
  </si>
  <si>
    <t>humidification</t>
  </si>
  <si>
    <t>HVAC_dehumid</t>
  </si>
  <si>
    <t>HVAC_heat_temp</t>
  </si>
  <si>
    <t>HVAC_humid</t>
  </si>
  <si>
    <t>HVAC_humid_temp</t>
  </si>
  <si>
    <t>HVAC_cool_temp</t>
  </si>
  <si>
    <t>electric</t>
  </si>
  <si>
    <t>nat gas</t>
  </si>
  <si>
    <t>Humidification (Heat+Hum)</t>
  </si>
  <si>
    <t>Heating (Heat+Hum)</t>
  </si>
  <si>
    <t>Humidification (Hum+Cool)</t>
  </si>
  <si>
    <t>Cooling (Hum+Cool)</t>
  </si>
  <si>
    <t>HVAC Heating and Cooling</t>
  </si>
  <si>
    <t>HVAC Humidity Management</t>
  </si>
  <si>
    <t>HVAC_reheat</t>
  </si>
  <si>
    <t>HVAC_hh_heat</t>
  </si>
  <si>
    <t>HVAC_hc_humid</t>
  </si>
  <si>
    <t>HVAC_hc_cool</t>
  </si>
  <si>
    <t>HVAC_dehum</t>
  </si>
  <si>
    <t>Neem Oil (water)</t>
  </si>
  <si>
    <t>NA141</t>
  </si>
  <si>
    <t>Heating and Humidification (Heating)</t>
  </si>
  <si>
    <t>Heating and Humidification (Vaporization)</t>
  </si>
  <si>
    <t>HVAC Hum Heat (Heat)</t>
  </si>
  <si>
    <t>HVAC Hum Heat (Vap)</t>
  </si>
  <si>
    <t>Input Variable Values</t>
  </si>
  <si>
    <t>Resulting GWP</t>
  </si>
  <si>
    <t>Plant Yield (kg/plant)</t>
  </si>
  <si>
    <t>Harvest Quantity (cycles per year)</t>
  </si>
  <si>
    <t>Useable Grow Area (% of facility)</t>
  </si>
  <si>
    <t>SENSITIVITY ANALYSIS FOR DENVER (724666, i =509)</t>
  </si>
  <si>
    <t>Annual Lighting Load (Wh/yr)</t>
  </si>
  <si>
    <t>Annual CO2 (kg CO2/yr)</t>
  </si>
  <si>
    <t>Variable Name</t>
  </si>
  <si>
    <t>Air Changes Per Hour</t>
  </si>
  <si>
    <t>Temperature Range Higher 20%</t>
  </si>
  <si>
    <t>Temperature Range lower 20%</t>
  </si>
  <si>
    <t>Temperature Range higher 20%</t>
  </si>
  <si>
    <t>Decrease Temps 20%</t>
  </si>
  <si>
    <t>Increase Temps 20%</t>
  </si>
  <si>
    <t>Baseline Temps</t>
  </si>
  <si>
    <t>Baseline Temperature Values</t>
  </si>
  <si>
    <t>FOR GRAPHING</t>
  </si>
  <si>
    <t>Soil Amendments (kg/harvest)</t>
  </si>
  <si>
    <t>Clone Room Duration (Weeks)</t>
  </si>
  <si>
    <t>Vegetative Growth Duration (Weeks)</t>
  </si>
  <si>
    <t>Flowering Duration (Weeks)</t>
  </si>
  <si>
    <t>Curing Duration (Weeks)</t>
  </si>
  <si>
    <t>Days between plant stages (Days)</t>
  </si>
  <si>
    <t>Axis Middle</t>
  </si>
  <si>
    <t>Axis Min</t>
  </si>
  <si>
    <t>Axis Max</t>
  </si>
  <si>
    <t>Temperature Study Running 5 cities</t>
  </si>
  <si>
    <t>Air Exchange Analysis</t>
  </si>
  <si>
    <t>Denver,CO</t>
  </si>
  <si>
    <t>long beach</t>
  </si>
  <si>
    <t>portland maine</t>
  </si>
  <si>
    <t>portland or</t>
  </si>
  <si>
    <t>denver</t>
  </si>
  <si>
    <t>miami</t>
  </si>
  <si>
    <t>Waste to Landfill</t>
  </si>
  <si>
    <t>28+A135</t>
  </si>
  <si>
    <t>**20% here is 20% on higher AND lower bounds</t>
  </si>
  <si>
    <t>Temperature Range Expand 20%</t>
  </si>
  <si>
    <t>Temperature Range Shrink 20%</t>
  </si>
  <si>
    <t>Shrinking Temp Box 80%</t>
  </si>
  <si>
    <t>average of all</t>
  </si>
  <si>
    <t>median of all</t>
  </si>
  <si>
    <t>nuts</t>
  </si>
  <si>
    <t>Farmed Salmon</t>
  </si>
  <si>
    <t>http://static.ewg.org/reports/2011/meateaters/pdf/methodology_ewg_meat_eaters_guide_to_health_and_climate_2011.pdf</t>
  </si>
  <si>
    <t>Canned Tuna</t>
  </si>
  <si>
    <t>Yogurt</t>
  </si>
  <si>
    <t>yogurt</t>
  </si>
  <si>
    <t>farmed salmon</t>
  </si>
  <si>
    <t>canned tuna</t>
  </si>
  <si>
    <t>max</t>
  </si>
  <si>
    <t>Whrs</t>
  </si>
  <si>
    <t>Sweet Masters Thesis</t>
  </si>
  <si>
    <t>Veg (W/ft^2)</t>
  </si>
  <si>
    <t>Flowering (W/ft^2)</t>
  </si>
  <si>
    <t>Flower (W/ft^2)</t>
  </si>
  <si>
    <t>1 pot/plant-year</t>
  </si>
  <si>
    <t>Assumed can be reused for the full # of cycles/year</t>
  </si>
  <si>
    <t>Red Solo Cups for Clones</t>
  </si>
  <si>
    <t>5 gallons potters</t>
  </si>
  <si>
    <t>clone_cups</t>
  </si>
  <si>
    <t>veg_flower_pots</t>
  </si>
  <si>
    <t>cup/plant-harvest</t>
  </si>
  <si>
    <t>plastic cups/year</t>
  </si>
  <si>
    <t>potters/year</t>
  </si>
  <si>
    <t>Plant Tape</t>
  </si>
  <si>
    <t>Trellis Netting</t>
  </si>
  <si>
    <t>feet tape/plant</t>
  </si>
  <si>
    <t>Plant Tags</t>
  </si>
  <si>
    <t>T posts for staking</t>
  </si>
  <si>
    <t>Nylon mesh</t>
  </si>
  <si>
    <t>meters tape/year</t>
  </si>
  <si>
    <t>https://www.amazon.com/Growers-Edge-Plant-Stake-Labels/dp/B007KIEL7S</t>
  </si>
  <si>
    <t>https://growgen.pro/grower-s-edge-soft-mesh-trellis-netting-bulk-roll-5-ft-x-750-ft-w-6-in-squares.html?fee=15&amp;fep=17841&amp;utm_source=google-feed&amp;utm_medium=shopping%20feed&amp;utm_campaign=SCFeed&amp;utm_source=google&amp;utm_medium=cpc&amp;adpos=1o1&amp;scid=scplp740127&amp;sc_intid=740127&amp;gclid=EAIaIQobChMIwc3Eks_v5gIVxp6zCh10UAdBEAkYASABEgKp7PD_BwE</t>
  </si>
  <si>
    <t>https://www.amazon.com/Zenport-ZL0014-Tapener-0-5-Inch-200-Feet/dp/B00G514B2Q/ref=pd_bxgy_86_img_2/140-9247318-6055757?_encoding=UTF8&amp;pd_rd_i=B00G514B2Q&amp;pd_rd_r=6902b928-b029-48b0-9beb-e89d2666e60f&amp;pd_rd_w=6PL1Z&amp;pd_rd_wg=738NV&amp;pf_rd_p=09627863-9889-4290-b90a-5e9f86682449&amp;pf_rd_r=V18ENE65K2K35AHRVM4R&amp;psc=1&amp;refRID=V18ENE65K2K35AHRVM4R</t>
  </si>
  <si>
    <t>lbs plastic/plant-harvest</t>
  </si>
  <si>
    <t>kg plastic/year</t>
  </si>
  <si>
    <t>kgs steel/year</t>
  </si>
  <si>
    <t>Plastic of some sort</t>
  </si>
  <si>
    <t>plant_tape</t>
  </si>
  <si>
    <t>netting</t>
  </si>
  <si>
    <t>plant_tags</t>
  </si>
  <si>
    <t>t_posts</t>
  </si>
  <si>
    <t>Plant Ties</t>
  </si>
  <si>
    <t>Plant Stakes</t>
  </si>
  <si>
    <t>lbs/harvest</t>
  </si>
  <si>
    <t>stakes/16ft^2</t>
  </si>
  <si>
    <t>Images from Organic Alternatives</t>
  </si>
  <si>
    <t>assumed 4 stakes/16feet and 7.95 lbs per stake</t>
  </si>
  <si>
    <t>Replace HPS once per year</t>
  </si>
  <si>
    <t>If using 400 W and 600 W bulbs…..</t>
  </si>
  <si>
    <t>m^2 lighting</t>
  </si>
  <si>
    <t>lights needed</t>
  </si>
  <si>
    <t>Manufacturing HPS</t>
  </si>
  <si>
    <t>kg CO2e/gigalumenhour</t>
  </si>
  <si>
    <t>1 lumen</t>
  </si>
  <si>
    <t>watt</t>
  </si>
  <si>
    <t>kg CO2e/gigawatthour</t>
  </si>
  <si>
    <t>emissions</t>
  </si>
  <si>
    <t>total Whrs</t>
  </si>
  <si>
    <t>kg CO2/year</t>
  </si>
  <si>
    <t>gigawatthours/year</t>
  </si>
  <si>
    <t>Emissions due to HPS lights</t>
  </si>
  <si>
    <t>https://reader.elsevier.com/reader/sd/pii/S0959652615000293?token=C6DEB4104A6986D19994F24DB74EF9E949A49FD22B692DC5BE0656204DD7B0EB093D95BB3B953FE8E0439C92FE8822E5</t>
  </si>
  <si>
    <t>Journal of Cleaner Production: LCA of road lighting luminaires</t>
  </si>
  <si>
    <t>cost</t>
  </si>
  <si>
    <t>Mass (kgs)</t>
  </si>
  <si>
    <t>FU</t>
  </si>
  <si>
    <t>LCI GWP (kg CO2e/FU)</t>
  </si>
  <si>
    <t>bleach</t>
  </si>
  <si>
    <t>plastic</t>
  </si>
  <si>
    <t>aluminum</t>
  </si>
  <si>
    <t>textile</t>
  </si>
  <si>
    <t>steel</t>
  </si>
  <si>
    <t>LCA (kg CO2e/kg-bud)</t>
  </si>
  <si>
    <t>polyethylene production, high density</t>
  </si>
  <si>
    <t>ventilation duct production + aluminum alloy production</t>
  </si>
  <si>
    <t>**See 2018 Field and GH_HMS xlsx file from Los Suenos for more info</t>
  </si>
  <si>
    <t>25 lbs for a bolt and $85/bolt</t>
  </si>
  <si>
    <t>textile production, kint cotton, batch dyed</t>
  </si>
  <si>
    <t>steel production</t>
  </si>
  <si>
    <t>sodium hypochlorite production</t>
  </si>
  <si>
    <t>How much mass would it take in these categories to have a 1% impact on the average GHG emissions from the 1200 locations??</t>
  </si>
  <si>
    <t>kg CO2e/kg-bud</t>
  </si>
  <si>
    <t>$4.49 for 121 oz bottle. 5% sodium hypochlorite mixture</t>
  </si>
  <si>
    <t>Mass needed (kgs/year-consumable)</t>
  </si>
  <si>
    <t>Carnegie Mellon Economic I/O Model for Light Bulbs</t>
  </si>
  <si>
    <t>1 million USD</t>
  </si>
  <si>
    <t>t CO2/million USD</t>
  </si>
  <si>
    <t>(1) 1000 W HPS Light</t>
  </si>
  <si>
    <t>ton CO2e/USD</t>
  </si>
  <si>
    <t>kg CO2e/light</t>
  </si>
  <si>
    <t>GHGs/light</t>
  </si>
  <si>
    <t>lights for grow facility</t>
  </si>
  <si>
    <t>light replacement</t>
  </si>
  <si>
    <t>lights/year</t>
  </si>
  <si>
    <t>kg CO2e/year</t>
  </si>
  <si>
    <t>lightbulbs</t>
  </si>
  <si>
    <t>combined the road lighting paper and carnegie mellon economic I/O model</t>
  </si>
  <si>
    <t>Mills, [58]</t>
  </si>
  <si>
    <t>4 square feet per plant, Mills and SOG technique</t>
  </si>
  <si>
    <t>[13],Mills, [58]</t>
  </si>
  <si>
    <t>Humidity Range (shift all setpoints up or down)</t>
  </si>
  <si>
    <t>Temperature Range (shift all setpoints up or down)</t>
  </si>
  <si>
    <t>Other</t>
  </si>
  <si>
    <t>https://www.niaaa.nih.gov/what-standard-drink</t>
  </si>
  <si>
    <t>https://fns-prod.azureedge.net/sites/default/files/nutrition_insights_uploads/insight11.pdf</t>
  </si>
  <si>
    <t>https://nutritiondata.self.com/facts/poultry-products/768/2</t>
  </si>
  <si>
    <t>**1 oz</t>
  </si>
  <si>
    <t>**DIDN'T USE IN FIGURE</t>
  </si>
  <si>
    <t>"error"</t>
  </si>
  <si>
    <t>Temperature Low (°C)</t>
  </si>
  <si>
    <t>Relative Humidity High</t>
  </si>
  <si>
    <t>Relative Humidity Low</t>
  </si>
  <si>
    <t>Temperature High (°C)</t>
  </si>
  <si>
    <t>CO2 (ppm)</t>
  </si>
  <si>
    <r>
      <t>Lighting Intensity (W/m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</si>
  <si>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Lighting Duration (hours/day)</t>
  </si>
  <si>
    <r>
      <t>Growth CO</t>
    </r>
    <r>
      <rPr>
        <vertAlign val="subscript"/>
        <sz val="11"/>
        <color theme="1"/>
        <rFont val="Calibri"/>
        <family val="2"/>
        <scheme val="minor"/>
      </rPr>
      <t>2</t>
    </r>
  </si>
  <si>
    <t>Grow Lights</t>
  </si>
  <si>
    <t>Denver, CO (after changing heater to T_min)</t>
  </si>
  <si>
    <t>CO Cannabis</t>
  </si>
  <si>
    <t>tonnes CO2-eq</t>
  </si>
  <si>
    <t>Resident, Commerical &amp; Industrial Fuel Use</t>
  </si>
  <si>
    <t>2015 MMT CO2-eq</t>
  </si>
  <si>
    <t>[58]</t>
  </si>
  <si>
    <t>DRAFT Colorado Greenhouse Gas Inventory 2019 including projections t o2020 &amp; 2030</t>
  </si>
  <si>
    <t>[41] or [58] depending on if draft doc can be used</t>
  </si>
  <si>
    <t>Barrow, AK</t>
  </si>
  <si>
    <t>Kaneohe Bay, HI</t>
  </si>
  <si>
    <t>Detroit, MI</t>
  </si>
  <si>
    <t>Barrow</t>
  </si>
  <si>
    <t>Kaneohe Bay</t>
  </si>
  <si>
    <t>Detroit</t>
  </si>
  <si>
    <t>ng</t>
  </si>
  <si>
    <t>elec</t>
  </si>
  <si>
    <t>Sensitivity</t>
  </si>
  <si>
    <t>eGrid26regionstotal</t>
  </si>
  <si>
    <t>eGrid2020</t>
  </si>
  <si>
    <t>Matlab File Name</t>
  </si>
  <si>
    <t>Excel File Name</t>
  </si>
  <si>
    <t>Revised 2</t>
  </si>
  <si>
    <t>Revised</t>
  </si>
  <si>
    <t>26RegionsTotal(Orig)</t>
  </si>
  <si>
    <t>This is the file that has a NG max of 66,000</t>
  </si>
  <si>
    <t>This file has max NG of 192000</t>
  </si>
  <si>
    <t>sensitivity (miami)</t>
  </si>
  <si>
    <t>mj</t>
  </si>
  <si>
    <t>mj ng</t>
  </si>
  <si>
    <t>kg ng</t>
  </si>
  <si>
    <t>kg co2</t>
  </si>
  <si>
    <t>MJ/kg-bud</t>
  </si>
  <si>
    <t>Electricity Intensity</t>
  </si>
  <si>
    <t>Natural Gas Intensity</t>
  </si>
  <si>
    <t>GHG Total</t>
  </si>
  <si>
    <t>Palm Springs</t>
  </si>
  <si>
    <t>Peanut Butter</t>
  </si>
  <si>
    <t>Broccoli</t>
  </si>
  <si>
    <t>Tomatoes</t>
  </si>
  <si>
    <t>peanut butter</t>
  </si>
  <si>
    <t>broccoli</t>
  </si>
  <si>
    <t>tomatoes</t>
  </si>
  <si>
    <t>lentils</t>
  </si>
  <si>
    <t>Lentils</t>
  </si>
  <si>
    <t>million metric tonnes</t>
  </si>
  <si>
    <t>lbs usable marijuana</t>
  </si>
  <si>
    <t>kgs usable marijuana</t>
  </si>
  <si>
    <t>tonnes CO2e/year</t>
  </si>
  <si>
    <t>million metric tonnes CO2e per year for CO in 2015</t>
  </si>
  <si>
    <t>that marijuana is of total CO annual emissions</t>
  </si>
  <si>
    <t xml:space="preserve">million metric tonnes CO2e/year from cannabis </t>
  </si>
  <si>
    <t>USED IN PAPER</t>
  </si>
  <si>
    <t>https://drive.google.com/file/d/1120LdxmecGTuf7uil9l6YmjOQonYOnxV/view</t>
  </si>
  <si>
    <t>Air Exchanges</t>
  </si>
  <si>
    <t>https://www.royalqueenseeds.com/blog-ventilation-guide-for-your-marijuana-grow-op-n738</t>
  </si>
  <si>
    <t>Same as next one, they say exchange air every 1-2 minutes</t>
  </si>
  <si>
    <t>https://www.leafly.com/news/growing/tips-for-improving-cannabis-grow-room-air-circulation</t>
  </si>
  <si>
    <t xml:space="preserve">Volume Replacement per Hour </t>
  </si>
  <si>
    <t>https://www.zamnesia.com/cannabis-grow-guide/140-ventilation-cannabis-grow-space</t>
  </si>
  <si>
    <t>Every 3 minutes</t>
  </si>
  <si>
    <t>https://percysgrowroom.com/grow-room-ventilation/</t>
  </si>
  <si>
    <t>"Every 3 minutes, or 20 times an hour"</t>
  </si>
  <si>
    <t>https://bigbudsmag.com/calculating-cfm-exhaust-fan-marijuana-grow-room/</t>
  </si>
  <si>
    <t>3-5 minutes</t>
  </si>
  <si>
    <t>grams/cigarette</t>
  </si>
  <si>
    <t>ES&amp;T source</t>
  </si>
  <si>
    <t>Transportation Inventory (Items that need transport to grow facility)</t>
  </si>
  <si>
    <t>Transportation, lorry</t>
  </si>
  <si>
    <t xml:space="preserve">1 mile = </t>
  </si>
  <si>
    <t>km</t>
  </si>
  <si>
    <t>Wine Carbon Footprint (averaged all values in Figure 11)</t>
  </si>
  <si>
    <t>https://www.mdpi.com/2071-1050/11/10/2945/htm</t>
  </si>
  <si>
    <t>[59]</t>
  </si>
  <si>
    <t>[60]</t>
  </si>
  <si>
    <t>New Belgium Fat Tire Report (added production and cradle-to-gate materials, first figure)</t>
  </si>
  <si>
    <t>Zotero</t>
  </si>
  <si>
    <t>[60[</t>
  </si>
  <si>
    <t>\\nasstore.engr.colostate.edu\students\GRAD\ME\hsummers\home\Colorado State\Other\Cannabis\Background Lit</t>
  </si>
  <si>
    <t>Cigarettes Carbon Footprint PDF</t>
  </si>
  <si>
    <t>[61]</t>
  </si>
  <si>
    <t>[62]</t>
  </si>
  <si>
    <t>https://www.fcrn.org.uk/sites/default/files/ALCOHOL%20final%20version%20TG%20feb%202007.pdf</t>
  </si>
  <si>
    <t>the alcohol we drink and its contribution to the uk's greenhouse gas emissions: a discussion paper</t>
  </si>
  <si>
    <t>HVAC Systems and Grow Room Energy</t>
  </si>
  <si>
    <t>U: Drive</t>
  </si>
  <si>
    <t>Electrical Cost Per Year ($/ft^2)</t>
  </si>
  <si>
    <t>[63]</t>
  </si>
  <si>
    <t>[64]</t>
  </si>
  <si>
    <t>ASHREA Standards - Grow Facilities</t>
  </si>
  <si>
    <t>U: Dirve</t>
  </si>
  <si>
    <t>**Assumed commercial electric rate of $0.10/kWh for all of these calcs</t>
  </si>
  <si>
    <t>Other way of calculating (min)</t>
  </si>
  <si>
    <t>Other way of calculating (max)</t>
  </si>
  <si>
    <t>kWh/lb-flower</t>
  </si>
  <si>
    <t>$/cycle-ft^2</t>
  </si>
  <si>
    <t>https://mass-cannabis-control.com/wp-content/uploads/2018/03/Presentation_Cannabis-Energy-Overview-to-CCC.pdf</t>
  </si>
  <si>
    <t>Denverpost powerpoint</t>
  </si>
  <si>
    <t>[65]</t>
  </si>
  <si>
    <t>https://www.nwcouncil.org/sites/default/files/2018_0612_p4.pdf</t>
  </si>
  <si>
    <t>NW Council powerpoint</t>
  </si>
  <si>
    <t>[66]</t>
  </si>
  <si>
    <t>Energy Use in Colorado Cannabis Industry (18-CEO MJ32 Energy cannabis Report)</t>
  </si>
  <si>
    <t>MILLS LIGHTING VALIDATION</t>
  </si>
  <si>
    <t>MILLS</t>
  </si>
  <si>
    <t>Q_light_year (max and min)</t>
  </si>
  <si>
    <t>All locations kWh/yr</t>
  </si>
  <si>
    <t>Transportation Distances</t>
  </si>
  <si>
    <t>From Distribution to Retail</t>
  </si>
  <si>
    <t>From Manufacturing to Distribution</t>
  </si>
  <si>
    <t>From Retail to Grow Facility</t>
  </si>
  <si>
    <t>Distance (km)</t>
  </si>
  <si>
    <t>transport, freight, lorry 16-32 metric ton, EURO5 | transport, freight, lorry 16-32 metric ton, EURO5 | Cutoff, S</t>
  </si>
  <si>
    <t>Transportation, medium-sized passengar car</t>
  </si>
  <si>
    <t>per ton-km</t>
  </si>
  <si>
    <t>Transportation, light commercial vehicle</t>
  </si>
  <si>
    <t>Lorry (16-32 ton)</t>
  </si>
  <si>
    <t>Light Duty Truck</t>
  </si>
  <si>
    <t>Passenger Vehicle</t>
  </si>
  <si>
    <t>transport, freight, light commercial vehicle | transport, freight, light commercial vehicle | Cutoff, S</t>
  </si>
  <si>
    <t>Transportation Emissions (kg CO2e/kg-bud)</t>
  </si>
  <si>
    <t>Transportation Inventory (Items that need transport away from facility)</t>
  </si>
  <si>
    <t>Distance to landfill</t>
  </si>
  <si>
    <t>Distance (miles)</t>
  </si>
  <si>
    <t>Transportation, Lorry, to facility</t>
  </si>
  <si>
    <t>Transportation, Truck, to facility</t>
  </si>
  <si>
    <t>Tranportation, passenger vehicle, to facility</t>
  </si>
  <si>
    <t>%increase</t>
  </si>
  <si>
    <t>new GHGs</t>
  </si>
  <si>
    <t>old GHGs</t>
  </si>
  <si>
    <t>LANDFILL</t>
  </si>
  <si>
    <t>Mass In (Tons of landfill waste)</t>
  </si>
  <si>
    <t>Mass Out (Landfill Gas (LFG)) ft^3</t>
  </si>
  <si>
    <t>**Density is similar to air</t>
  </si>
  <si>
    <t>Density of air</t>
  </si>
  <si>
    <t>kg/ft^3</t>
  </si>
  <si>
    <t>kg LFG Out/day</t>
  </si>
  <si>
    <t>CH4</t>
  </si>
  <si>
    <t>Molecular Weight (g/mol)</t>
  </si>
  <si>
    <t>Density (kg/m3)</t>
  </si>
  <si>
    <t>Paper from Garrett on Sludge Landfill</t>
  </si>
  <si>
    <t>Table 3-10 Methane Emissions Calculation Parameters (Page 3-9)</t>
  </si>
  <si>
    <t>My values</t>
  </si>
  <si>
    <t>Wet Weight of Solids Landfilled Annually</t>
  </si>
  <si>
    <t>Moisture Concent of Biosolids</t>
  </si>
  <si>
    <t>Dry Weight of Solids</t>
  </si>
  <si>
    <t>Carbon Content of Dry Solids</t>
  </si>
  <si>
    <t>Incoming C, Annual (metric tons)</t>
  </si>
  <si>
    <t>tonnes/yr</t>
  </si>
  <si>
    <t>tonnes/yr if 20% moisture content mass coming in</t>
  </si>
  <si>
    <t>Degradable Carbon, % of wet mass</t>
  </si>
  <si>
    <t>paper</t>
  </si>
  <si>
    <t>Degradable Carbon mass flow</t>
  </si>
  <si>
    <t>Fraction of degradable carbon decomposed</t>
  </si>
  <si>
    <t>Paramter (all taken from the baseline)</t>
  </si>
  <si>
    <t>Fraction of degraded carbon turning to CH4</t>
  </si>
  <si>
    <t>Fraction of degraded carbon turning to CO2</t>
  </si>
  <si>
    <t>**another paper</t>
  </si>
  <si>
    <t>Degraged CH4 mass flow</t>
  </si>
  <si>
    <t>Degraged CO2 mass flow</t>
  </si>
  <si>
    <t>Fraction of CH4 oxidized to CO2 in landfill cover</t>
  </si>
  <si>
    <t>Total Degraged CH4 mass flow</t>
  </si>
  <si>
    <t>Total Degraged CO2 mass flow</t>
  </si>
  <si>
    <t>Landfill Operations</t>
  </si>
  <si>
    <t>Landfill Emissions</t>
  </si>
  <si>
    <t>Transportation to Landfill</t>
  </si>
  <si>
    <t>Landfill_Operations</t>
  </si>
  <si>
    <t>Trans_dist_lorry</t>
  </si>
  <si>
    <t>Trans_dist_truck</t>
  </si>
  <si>
    <t>Trans_dist_pass</t>
  </si>
  <si>
    <t>Transportation distance for materials via truck</t>
  </si>
  <si>
    <t>Transportation distance for materials via lorry</t>
  </si>
  <si>
    <t>Transportation distance for materials via passenger car</t>
  </si>
  <si>
    <t>Annual Usable Product</t>
  </si>
  <si>
    <t>Fraction of biomass that is carbon</t>
  </si>
  <si>
    <t>assumed from landfill paper</t>
  </si>
  <si>
    <t>Transportation_Lorry</t>
  </si>
  <si>
    <t>Transportation_Truck</t>
  </si>
  <si>
    <t>Transportation_Passenger</t>
  </si>
  <si>
    <t>Amount of CH4 per input</t>
  </si>
  <si>
    <t>Amount of CO2 per input</t>
  </si>
  <si>
    <t>mass CO2 out per mass in</t>
  </si>
  <si>
    <t>mass CH4 out per mass in</t>
  </si>
  <si>
    <t>Landfill_methane</t>
  </si>
  <si>
    <t>Landfill_carbon</t>
  </si>
  <si>
    <t>Amount of methane released per input</t>
  </si>
  <si>
    <t>Trans_landfill</t>
  </si>
  <si>
    <t>Transportation distance to landfill</t>
  </si>
  <si>
    <t>Trans_mat_mass</t>
  </si>
  <si>
    <t>Total mass needing transportation to facility</t>
  </si>
  <si>
    <t>% of biomass that is carbon</t>
  </si>
  <si>
    <t>kg-C/year</t>
  </si>
  <si>
    <t>Amount of carbon sequestered</t>
  </si>
  <si>
    <t>kg C</t>
  </si>
  <si>
    <t>44 g/mol CO2e</t>
  </si>
  <si>
    <t>12 g/mol C</t>
  </si>
  <si>
    <t>Amount of CO2 sequestered</t>
  </si>
  <si>
    <t>kg CO2e/kg-bud sequestered/year</t>
  </si>
  <si>
    <t>Annual CO2 sequestered</t>
  </si>
  <si>
    <t>**16 g/mol CH4 per 12g/mol C</t>
  </si>
  <si>
    <t>tonnes CH4/yr</t>
  </si>
  <si>
    <t>Degraged C as CH4 mass flow</t>
  </si>
  <si>
    <t>Degraged C as CO2 mass flow</t>
  </si>
  <si>
    <t>tonnes C/yr</t>
  </si>
  <si>
    <t>Sequestered Carbon from Product</t>
  </si>
  <si>
    <t>Sequestered Carbon from Plant/Soil left in landfill</t>
  </si>
  <si>
    <t>tonnes C to landfill/yr</t>
  </si>
  <si>
    <t>total C degraded and released as gas</t>
  </si>
  <si>
    <t>Annual sequestered C in landfill</t>
  </si>
  <si>
    <t>tonnes CO2e/yr</t>
  </si>
  <si>
    <t>Annual sequestered CO2 in landfill</t>
  </si>
  <si>
    <t>Annual sequestered CO2 per product</t>
  </si>
  <si>
    <t>Carbon Sequestered in product</t>
  </si>
  <si>
    <t>add landfill</t>
  </si>
  <si>
    <t>add</t>
  </si>
  <si>
    <t>subtract</t>
  </si>
  <si>
    <t>% CO2e sequestered in bud</t>
  </si>
  <si>
    <t>% CO2e sequestered in landfill</t>
  </si>
  <si>
    <t>biomass_carbon</t>
  </si>
  <si>
    <t>Amount of biommas that is carbon</t>
  </si>
  <si>
    <t>Carbon_seq_product</t>
  </si>
  <si>
    <t>Carbon_seq_landfill</t>
  </si>
  <si>
    <t>Percent of product that is sequestered CO2e</t>
  </si>
  <si>
    <t>Percent of landfill mass that is sequestered CO2e</t>
  </si>
  <si>
    <t>% sequestered CO2e</t>
  </si>
  <si>
    <t>Amount of carbon released per input</t>
  </si>
  <si>
    <t>Carbon sequestered in landfill</t>
  </si>
  <si>
    <t>Net GHGs</t>
  </si>
  <si>
    <t>Suppl. Dehumidifier</t>
  </si>
  <si>
    <t>Suppl. Heater</t>
  </si>
  <si>
    <t>Parameter Name</t>
  </si>
  <si>
    <t>Water Pump Power</t>
  </si>
  <si>
    <t>Cumulative Circulating Fan Power</t>
  </si>
  <si>
    <t>Number of Circulating Fans Needed</t>
  </si>
  <si>
    <t>Days Between Plant Stages</t>
  </si>
  <si>
    <t>Convective Heat Transfer Coefficient Inside</t>
  </si>
  <si>
    <t>Convective Heat Transfer Coefficient Outside</t>
  </si>
  <si>
    <t>Vegetative Grow Area Fraction</t>
  </si>
  <si>
    <t>% of Usable Grow Area</t>
  </si>
  <si>
    <t>Vegetative Soil Waste</t>
  </si>
  <si>
    <t>Night (when lights are off)</t>
  </si>
  <si>
    <t>of daytime amounts</t>
  </si>
  <si>
    <t>Evapotranspiration Equations for Stage of Life</t>
  </si>
  <si>
    <t>Fox Farm Soil &amp; Fertilizer Company Product Names</t>
  </si>
  <si>
    <t>`1</t>
  </si>
  <si>
    <t>Soil-Based Feeding Schedule</t>
  </si>
  <si>
    <t>Vegetative Amounts (teaspoons per gallon of water, two feedings per week)</t>
  </si>
  <si>
    <t>Flower Amounts (teaspoons per gallon of water, two feedings per week)</t>
  </si>
  <si>
    <t>SI Table 2</t>
  </si>
  <si>
    <t>SI Table 4</t>
  </si>
  <si>
    <t>SI Table 6</t>
  </si>
  <si>
    <t>SI Table 7</t>
  </si>
  <si>
    <t>eGRID subregion acronym</t>
  </si>
  <si>
    <t>eGRID subregion name</t>
  </si>
  <si>
    <t>AKGD</t>
  </si>
  <si>
    <t>ASCC Alaska Grid</t>
  </si>
  <si>
    <t>AKMS</t>
  </si>
  <si>
    <t>ASCC Miscellaneous</t>
  </si>
  <si>
    <t>AZNM</t>
  </si>
  <si>
    <t>WECC Southwest</t>
  </si>
  <si>
    <t>CAMX</t>
  </si>
  <si>
    <t>WECC California</t>
  </si>
  <si>
    <t>ERCT</t>
  </si>
  <si>
    <t>ERCOT All</t>
  </si>
  <si>
    <t>FRCC All</t>
  </si>
  <si>
    <t>HIMS</t>
  </si>
  <si>
    <t>HICC Miscellaneous</t>
  </si>
  <si>
    <t>HIOA</t>
  </si>
  <si>
    <t>HICC Oahu</t>
  </si>
  <si>
    <t>MROE</t>
  </si>
  <si>
    <t>MRO East</t>
  </si>
  <si>
    <t>MROW</t>
  </si>
  <si>
    <t>MRO West</t>
  </si>
  <si>
    <t>NEWE</t>
  </si>
  <si>
    <t>NPCC New England</t>
  </si>
  <si>
    <t>NWPP</t>
  </si>
  <si>
    <t>WECC Northwest</t>
  </si>
  <si>
    <t>NYCW</t>
  </si>
  <si>
    <t>NPCC NYC/Westchester</t>
  </si>
  <si>
    <t>NYLI</t>
  </si>
  <si>
    <t>NPCC Long Island</t>
  </si>
  <si>
    <t>NYUP</t>
  </si>
  <si>
    <t>NPCC Upstate NY</t>
  </si>
  <si>
    <t>RFCE</t>
  </si>
  <si>
    <t>RFC East</t>
  </si>
  <si>
    <t>RFCM</t>
  </si>
  <si>
    <t>RFC Michigan</t>
  </si>
  <si>
    <t>RFCW</t>
  </si>
  <si>
    <t>RFC West</t>
  </si>
  <si>
    <t>RMPA</t>
  </si>
  <si>
    <t>WECC Rockies</t>
  </si>
  <si>
    <t>SPNO</t>
  </si>
  <si>
    <t>SPP North</t>
  </si>
  <si>
    <t>SPSO</t>
  </si>
  <si>
    <t>SPP South</t>
  </si>
  <si>
    <t>SRMV</t>
  </si>
  <si>
    <t>SERC Mississippi Valley</t>
  </si>
  <si>
    <t>SRMW</t>
  </si>
  <si>
    <t>SERC Midwest</t>
  </si>
  <si>
    <t>SRSO</t>
  </si>
  <si>
    <t>SERC South</t>
  </si>
  <si>
    <t>SRTV</t>
  </si>
  <si>
    <t>SERC Tennessee Valley</t>
  </si>
  <si>
    <t>SRVC</t>
  </si>
  <si>
    <t>SERC Virginia/Carolina</t>
  </si>
  <si>
    <t>Grid Gross Loss (%)</t>
  </si>
  <si>
    <t>mass CO2-eq per mass product</t>
  </si>
  <si>
    <t>SI Table Values</t>
  </si>
  <si>
    <t>Annual Biomass Carbon (elemental)</t>
  </si>
  <si>
    <t>% of C that is sequestered in product</t>
  </si>
  <si>
    <t>% of C that is sequestered in landfill</t>
  </si>
  <si>
    <t>% of C that is degraded and released as gas</t>
  </si>
  <si>
    <t>of annual C</t>
  </si>
  <si>
    <t>SI Table 9</t>
  </si>
  <si>
    <t>SI Table 3</t>
  </si>
  <si>
    <t>Cooling Associated w/ Humidification &amp; Cooling (Electric)</t>
  </si>
  <si>
    <t>Humidification Associated w/ Humidification &amp; Cooling (NG)</t>
  </si>
  <si>
    <t>Humidification (NG)</t>
  </si>
  <si>
    <t>Humidification Associated w/ Heating &amp; Humidification (NG)</t>
  </si>
  <si>
    <t>Heating Associated w/ Heating &amp; Humidification (NG)</t>
  </si>
  <si>
    <t>Simple Cooling Load (Electric)</t>
  </si>
  <si>
    <t>Simple Heating Load (NG)</t>
  </si>
  <si>
    <t>Serving Size</t>
  </si>
  <si>
    <t>GHGs (kg CO2-eq/kg-consumable)</t>
  </si>
  <si>
    <t>cigarette</t>
  </si>
  <si>
    <t>cup diced</t>
  </si>
  <si>
    <t>cup uncooked</t>
  </si>
  <si>
    <t>grams uncooked</t>
  </si>
  <si>
    <t>2789-5690</t>
  </si>
  <si>
    <t>kgs CO2/serving</t>
  </si>
  <si>
    <t>1 grams</t>
  </si>
  <si>
    <t>Greenhouse Gas Emissions (kg CO2-eq)</t>
  </si>
  <si>
    <r>
      <t>m</t>
    </r>
    <r>
      <rPr>
        <vertAlign val="superscript"/>
        <sz val="11"/>
        <color theme="1"/>
        <rFont val="Times New Roman"/>
        <family val="1"/>
      </rPr>
      <t>2</t>
    </r>
  </si>
  <si>
    <r>
      <t>W/m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-K</t>
    </r>
  </si>
  <si>
    <r>
      <t>fans/m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of facility</t>
    </r>
  </si>
  <si>
    <t>Totals</t>
  </si>
  <si>
    <r>
      <t>plants/m</t>
    </r>
    <r>
      <rPr>
        <vertAlign val="superscript"/>
        <sz val="11"/>
        <color theme="1"/>
        <rFont val="Times New Roman"/>
        <family val="1"/>
      </rPr>
      <t>2</t>
    </r>
  </si>
  <si>
    <r>
      <t>kg/m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-harvest</t>
    </r>
  </si>
  <si>
    <r>
      <t>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/plant</t>
    </r>
  </si>
  <si>
    <t>Equation</t>
  </si>
  <si>
    <r>
      <t>kg H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O/m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-hour</t>
    </r>
  </si>
  <si>
    <r>
      <t>per m</t>
    </r>
    <r>
      <rPr>
        <vertAlign val="superscript"/>
        <sz val="11"/>
        <color theme="1"/>
        <rFont val="Times New Roman"/>
        <family val="1"/>
      </rPr>
      <t>3</t>
    </r>
  </si>
  <si>
    <r>
      <t>m</t>
    </r>
    <r>
      <rPr>
        <vertAlign val="superscript"/>
        <sz val="11"/>
        <color theme="1"/>
        <rFont val="Times New Roman"/>
        <family val="1"/>
      </rPr>
      <t>3</t>
    </r>
  </si>
  <si>
    <t>Total output emission rates (lb CO2-eq/MWh)</t>
  </si>
  <si>
    <t>Total GHGs (grams CO2-eq/kWh)</t>
  </si>
  <si>
    <r>
      <t>Degraded landfill mass flow as CH</t>
    </r>
    <r>
      <rPr>
        <vertAlign val="subscript"/>
        <sz val="11"/>
        <color theme="1"/>
        <rFont val="Times New Roman"/>
        <family val="1"/>
      </rPr>
      <t>4</t>
    </r>
  </si>
  <si>
    <r>
      <t>tonnes CH</t>
    </r>
    <r>
      <rPr>
        <vertAlign val="subscript"/>
        <sz val="11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/yr</t>
    </r>
  </si>
  <si>
    <r>
      <t>Degraded landfill mass flow as CO</t>
    </r>
    <r>
      <rPr>
        <vertAlign val="subscript"/>
        <sz val="11"/>
        <color theme="1"/>
        <rFont val="Times New Roman"/>
        <family val="1"/>
      </rPr>
      <t>2</t>
    </r>
  </si>
  <si>
    <r>
      <t>tonnes 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/yr</t>
    </r>
  </si>
  <si>
    <r>
      <t>Annual Landfill sequestered CO</t>
    </r>
    <r>
      <rPr>
        <vertAlign val="subscript"/>
        <sz val="11"/>
        <color theme="1"/>
        <rFont val="Times New Roman"/>
        <family val="1"/>
      </rPr>
      <t>2</t>
    </r>
  </si>
  <si>
    <r>
      <t>Annual Product sequestered CO</t>
    </r>
    <r>
      <rPr>
        <vertAlign val="subscript"/>
        <sz val="11"/>
        <color theme="1"/>
        <rFont val="Times New Roman"/>
        <family val="1"/>
      </rPr>
      <t>2</t>
    </r>
  </si>
  <si>
    <t xml:space="preserve">Consumable </t>
  </si>
  <si>
    <t>VALUES IN THE MANUSCRIPT</t>
  </si>
  <si>
    <t>energy star</t>
  </si>
  <si>
    <t>oakridge lab</t>
  </si>
  <si>
    <t>GHG Validation</t>
  </si>
  <si>
    <t>Orchids</t>
  </si>
  <si>
    <t>Roses</t>
  </si>
  <si>
    <t>carbon footprint (kg co2e/FU)</t>
  </si>
  <si>
    <t>2 orchids at POS</t>
  </si>
  <si>
    <t>10 roses at POS</t>
  </si>
  <si>
    <t>Vertical Farming (lettuce)</t>
  </si>
  <si>
    <t>kg co2/ton lettuce</t>
  </si>
  <si>
    <t>kg CO2e/tonne lettuce</t>
  </si>
  <si>
    <t>kg CO2e/kg lettuce</t>
  </si>
  <si>
    <t>tons lettuce per ha VF</t>
  </si>
  <si>
    <t>kg CO2e/ha</t>
  </si>
  <si>
    <t>area</t>
  </si>
  <si>
    <t xml:space="preserve">1 hectare = </t>
  </si>
  <si>
    <t>kg CO2e/m2 VF lettuce</t>
  </si>
  <si>
    <t>ton lettuce</t>
  </si>
  <si>
    <t>tons lettuce</t>
  </si>
  <si>
    <t>ha</t>
  </si>
  <si>
    <t>kg co2e/kg-bud</t>
  </si>
  <si>
    <t>kg Co2e/yr</t>
  </si>
  <si>
    <t>kg co2e</t>
  </si>
  <si>
    <t>kg bud</t>
  </si>
  <si>
    <t>kg CO2e/m2</t>
  </si>
  <si>
    <t>Re-do for Paper</t>
  </si>
  <si>
    <t>CO2 that leaves the facility as gas</t>
  </si>
  <si>
    <t>Annual Waste from Plant</t>
  </si>
  <si>
    <t>Annual C in plant waste</t>
  </si>
  <si>
    <t>Amount of CO2e in plant waste</t>
  </si>
  <si>
    <t>Total CO2 used in grow facility per year</t>
  </si>
  <si>
    <t>sequestered in plant vs released in atmosphere</t>
  </si>
  <si>
    <t>harvest year</t>
  </si>
  <si>
    <t>grams/m2</t>
  </si>
  <si>
    <t>grams/ft^2</t>
  </si>
  <si>
    <t>% assumed GHG reductions if moved outside</t>
  </si>
  <si>
    <t>SI Table 10</t>
  </si>
  <si>
    <t>SI TABLE 8</t>
  </si>
  <si>
    <t>SI Table 11</t>
  </si>
  <si>
    <t>TMY3 Filename</t>
  </si>
  <si>
    <t>Latitude</t>
  </si>
  <si>
    <t>Longitude</t>
  </si>
  <si>
    <t>Site Name</t>
  </si>
  <si>
    <t>Site State</t>
  </si>
  <si>
    <t>690150TYA.CSV</t>
  </si>
  <si>
    <t>TWENTYNINE PALMS</t>
  </si>
  <si>
    <t>690190TYA.CSV</t>
  </si>
  <si>
    <t>ABILENE DYESS AFB</t>
  </si>
  <si>
    <t>690230TYA.CSV</t>
  </si>
  <si>
    <t>WHIDBEY ISLAND NAS</t>
  </si>
  <si>
    <t>699604TYA.CSV</t>
  </si>
  <si>
    <t>YUMA MCAS</t>
  </si>
  <si>
    <t>700197TYA.CSV</t>
  </si>
  <si>
    <t>SELAWIK</t>
  </si>
  <si>
    <t>700260TYA.CSV</t>
  </si>
  <si>
    <t>BARROW W POST-W ROGERS ARPT [NSA - ARM]</t>
  </si>
  <si>
    <t>700637TYA.CSV</t>
  </si>
  <si>
    <t>DEADHORSE</t>
  </si>
  <si>
    <t>701043TYA.CSV</t>
  </si>
  <si>
    <t>POINT HOPE (AWOS)</t>
  </si>
  <si>
    <t>701195TYA.CSV</t>
  </si>
  <si>
    <t>SHISHMAREF (AWOS)</t>
  </si>
  <si>
    <t>701330TYA.CSV</t>
  </si>
  <si>
    <t>KOTZEBUE RALPH WEIN MEMORIAL</t>
  </si>
  <si>
    <t>701625TYA.CSV</t>
  </si>
  <si>
    <t>ANAKTUVUK PASS</t>
  </si>
  <si>
    <t>701718TYA.CSV</t>
  </si>
  <si>
    <t>AMBLER</t>
  </si>
  <si>
    <t>701740TYA.CSV</t>
  </si>
  <si>
    <t>BETTLES FIELD</t>
  </si>
  <si>
    <t>701780TYA.CSV</t>
  </si>
  <si>
    <t>TANANA RALPH M CALHOUN MEM AP</t>
  </si>
  <si>
    <t>701940TYA.CSV</t>
  </si>
  <si>
    <t>FORT YUKON</t>
  </si>
  <si>
    <t>702000TYA.CSV</t>
  </si>
  <si>
    <t>NOME MUNICIPAL ARPT</t>
  </si>
  <si>
    <t>702005TYA.CSV</t>
  </si>
  <si>
    <t>SAINT MARY`S (AWOS)</t>
  </si>
  <si>
    <t>702035TYA.CSV</t>
  </si>
  <si>
    <t>SAVOONGA</t>
  </si>
  <si>
    <t>702040TYA.CSV</t>
  </si>
  <si>
    <t>GAMBELL</t>
  </si>
  <si>
    <t>702070TYA.CSV</t>
  </si>
  <si>
    <t>UNALAKLEET FIELD</t>
  </si>
  <si>
    <t>702075TYA.CSV</t>
  </si>
  <si>
    <t>ANVIK</t>
  </si>
  <si>
    <t>702084TYA.CSV</t>
  </si>
  <si>
    <t>EMMONAK</t>
  </si>
  <si>
    <t>702185TYA.CSV</t>
  </si>
  <si>
    <t>MEKORYUK</t>
  </si>
  <si>
    <t>702186TYA.CSV</t>
  </si>
  <si>
    <t>HOOPER BAY</t>
  </si>
  <si>
    <t>702190TYA.CSV</t>
  </si>
  <si>
    <t>BETHEL AIRPORT</t>
  </si>
  <si>
    <t>702225TYA.CSV</t>
  </si>
  <si>
    <t>HUSLIA</t>
  </si>
  <si>
    <t>702310TYA.CSV</t>
  </si>
  <si>
    <t>MCGRATH ARPT</t>
  </si>
  <si>
    <t>702320TYA.CSV</t>
  </si>
  <si>
    <t>ANIAK AIRPORT</t>
  </si>
  <si>
    <t>702460TYA.CSV</t>
  </si>
  <si>
    <t>MINCHUMINA</t>
  </si>
  <si>
    <t>702495TYA.CSV</t>
  </si>
  <si>
    <t>HAYES RIVER</t>
  </si>
  <si>
    <t>702510TYA.CSV</t>
  </si>
  <si>
    <t>TALKEETNA STATE ARPT</t>
  </si>
  <si>
    <t>702590TYA.CSV</t>
  </si>
  <si>
    <t>KENAI MUNICIPAL AP</t>
  </si>
  <si>
    <t>702595TYA.CSV</t>
  </si>
  <si>
    <t>SOLDOTNA</t>
  </si>
  <si>
    <t>702600TYA.CSV</t>
  </si>
  <si>
    <t>NENANA MUNICIPAL AP</t>
  </si>
  <si>
    <t>702606TYA.CSV</t>
  </si>
  <si>
    <t>CHULITNA</t>
  </si>
  <si>
    <t>702607TYA.CSV</t>
  </si>
  <si>
    <t>HOONAH</t>
  </si>
  <si>
    <t>702610TYA.CSV</t>
  </si>
  <si>
    <t>FAIRBANKS INTL ARPT</t>
  </si>
  <si>
    <t>702647TYA.CSV</t>
  </si>
  <si>
    <t>HEALY RIVER AIRPORT</t>
  </si>
  <si>
    <t>702650TYA.CSV</t>
  </si>
  <si>
    <t>FAIRBANKS/EIELSON A</t>
  </si>
  <si>
    <t>702670TYA.CSV</t>
  </si>
  <si>
    <t>BIG DELTA ALLEN AAF</t>
  </si>
  <si>
    <t>702710TYA.CSV</t>
  </si>
  <si>
    <t>GULKANA INTERMEDIATE FIELD</t>
  </si>
  <si>
    <t>702720TYA.CSV</t>
  </si>
  <si>
    <t>ANCHORAGE/ELMENDORF</t>
  </si>
  <si>
    <t>702725TYA.CSV</t>
  </si>
  <si>
    <t>LAKE HOOD SEAPLANE</t>
  </si>
  <si>
    <t>702730TYA.CSV</t>
  </si>
  <si>
    <t>ANCHORAGE INTL AP</t>
  </si>
  <si>
    <t>702735TYA.CSV</t>
  </si>
  <si>
    <t>ANCHORAGE MERRILL FIELD</t>
  </si>
  <si>
    <t>702740TYA.CSV</t>
  </si>
  <si>
    <t>PALMER MUNICIPAL</t>
  </si>
  <si>
    <t>702746TYA.CSV</t>
  </si>
  <si>
    <t>BIRCHWOOD</t>
  </si>
  <si>
    <t>702750TYA.CSV</t>
  </si>
  <si>
    <t>VALDEZ WSO</t>
  </si>
  <si>
    <t>702756TYA.CSV</t>
  </si>
  <si>
    <t>VALDEZ PIONEER FIEL</t>
  </si>
  <si>
    <t>702757TYA.CSV</t>
  </si>
  <si>
    <t>WHITTIER</t>
  </si>
  <si>
    <t>702770TYA.CSV</t>
  </si>
  <si>
    <t>SEWARD</t>
  </si>
  <si>
    <t>702910TYA.CSV</t>
  </si>
  <si>
    <t>NORTHWAY AIRPORT</t>
  </si>
  <si>
    <t>702960TYA.CSV</t>
  </si>
  <si>
    <t>CORDOVA</t>
  </si>
  <si>
    <t>702986TYA.CSV</t>
  </si>
  <si>
    <t>BIG RIVER LAKE</t>
  </si>
  <si>
    <t>703080TYA.CSV</t>
  </si>
  <si>
    <t>ST PAUL ISLAND ARPT</t>
  </si>
  <si>
    <t>703160TYA.CSV</t>
  </si>
  <si>
    <t>COLD BAY ARPT</t>
  </si>
  <si>
    <t>703165TYA.CSV</t>
  </si>
  <si>
    <t>SAND POINT</t>
  </si>
  <si>
    <t>703210TYA.CSV</t>
  </si>
  <si>
    <t>DILLINGHAM (AMOS)</t>
  </si>
  <si>
    <t>703260TYA.CSV</t>
  </si>
  <si>
    <t>KING SALMON ARPT</t>
  </si>
  <si>
    <t>703330TYA.CSV</t>
  </si>
  <si>
    <t>PORT HEIDEN</t>
  </si>
  <si>
    <t>703400TYA.CSV</t>
  </si>
  <si>
    <t>ILIAMNA ARPT</t>
  </si>
  <si>
    <t>703407TYA.CSV</t>
  </si>
  <si>
    <t>SLEETMUTE</t>
  </si>
  <si>
    <t>703410TYA.CSV</t>
  </si>
  <si>
    <t>HOMER ARPT</t>
  </si>
  <si>
    <t>703430TYA.CSV</t>
  </si>
  <si>
    <t>MIDDLETON ISLAND AUT</t>
  </si>
  <si>
    <t>703500TYA.CSV</t>
  </si>
  <si>
    <t>KODIAK AIRPORT</t>
  </si>
  <si>
    <t>703606TYA.CSV</t>
  </si>
  <si>
    <t>TOGIAC VILLAGE AWOS</t>
  </si>
  <si>
    <t>703610TYA.CSV</t>
  </si>
  <si>
    <t>YAKUTAT STATE ARPT</t>
  </si>
  <si>
    <t>703620TYA.CSV</t>
  </si>
  <si>
    <t>SKAGWAY AIRPORT</t>
  </si>
  <si>
    <t>703670TYA.CSV</t>
  </si>
  <si>
    <t>GUSTAVUS</t>
  </si>
  <si>
    <t>703710TYA.CSV</t>
  </si>
  <si>
    <t>SITKA JAPONSKI AP</t>
  </si>
  <si>
    <t>703810TYA.CSV</t>
  </si>
  <si>
    <t>JUNEAU INT'L ARPT</t>
  </si>
  <si>
    <t>703855TYA.CSV</t>
  </si>
  <si>
    <t>KAKE SEAPLANE BASE</t>
  </si>
  <si>
    <t>703860TYA.CSV</t>
  </si>
  <si>
    <t>PETERSBURG</t>
  </si>
  <si>
    <t>703870TYA.CSV</t>
  </si>
  <si>
    <t>WRANGELL</t>
  </si>
  <si>
    <t>703884TYA.CSV</t>
  </si>
  <si>
    <t>HYDABURG SEAPLANE</t>
  </si>
  <si>
    <t>703950TYA.CSV</t>
  </si>
  <si>
    <t>KETCHIKAN INTL AP</t>
  </si>
  <si>
    <t>703980TYA.CSV</t>
  </si>
  <si>
    <t>ANNETTE ISLAND AP</t>
  </si>
  <si>
    <t>704140TYA.CSV</t>
  </si>
  <si>
    <t>SHEMYA AFB</t>
  </si>
  <si>
    <t>704540TYA.CSV</t>
  </si>
  <si>
    <t>ADAK NAS</t>
  </si>
  <si>
    <t>704890TYA.CSV</t>
  </si>
  <si>
    <t>DUTCH HARBOR</t>
  </si>
  <si>
    <t>722010TYA.CSV</t>
  </si>
  <si>
    <t>KEY WEST INTL ARPT</t>
  </si>
  <si>
    <t>722015TYA.CSV</t>
  </si>
  <si>
    <t>KEY WEST NAS</t>
  </si>
  <si>
    <t>722016TYA.CSV</t>
  </si>
  <si>
    <t>MARATHON AIRPORT</t>
  </si>
  <si>
    <t>722020TYA.CSV</t>
  </si>
  <si>
    <t>MIAMI INTL AP</t>
  </si>
  <si>
    <t>722024TYA.CSV</t>
  </si>
  <si>
    <t>MIAMI/OPA LOCKA</t>
  </si>
  <si>
    <t>722025TYA.CSV</t>
  </si>
  <si>
    <t>FORT LAUDERDALE HOLLYWOOD INT</t>
  </si>
  <si>
    <t>722026TYA.CSV</t>
  </si>
  <si>
    <t>HOMESTEAD AFB</t>
  </si>
  <si>
    <t>722029TYA.CSV</t>
  </si>
  <si>
    <t>MIAMI/KENDALL-TAMIA</t>
  </si>
  <si>
    <t>722030TYA.CSV</t>
  </si>
  <si>
    <t>WEST PALM BEACH INTL ARPT</t>
  </si>
  <si>
    <t>722038TYA.CSV</t>
  </si>
  <si>
    <t>NAPLES MUNICIPAL</t>
  </si>
  <si>
    <t>722039TYA.CSV</t>
  </si>
  <si>
    <t>FORT LAUDERDALE</t>
  </si>
  <si>
    <t>722040TYA.CSV</t>
  </si>
  <si>
    <t>MELBOURNE REGIONAL AP</t>
  </si>
  <si>
    <t>722045TYA.CSV</t>
  </si>
  <si>
    <t>VERO BEACH MUNICIPAL ARPT</t>
  </si>
  <si>
    <t>722050TYA.CSV</t>
  </si>
  <si>
    <t>ORLANDO INTL ARPT</t>
  </si>
  <si>
    <t>722053TYA.CSV</t>
  </si>
  <si>
    <t>ORLANDO EXECUTIVE AP</t>
  </si>
  <si>
    <t>722055TYA.CSV</t>
  </si>
  <si>
    <t>OCALA MUNI (AWOS)</t>
  </si>
  <si>
    <t>722056TYA.CSV</t>
  </si>
  <si>
    <t>DAYTONA BEACH INTL AP</t>
  </si>
  <si>
    <t>722057TYA.CSV</t>
  </si>
  <si>
    <t>ORLANDO SANFORD AIRPORT</t>
  </si>
  <si>
    <t>722060TYA.CSV</t>
  </si>
  <si>
    <t>JACKSONVILLE INTL ARPT</t>
  </si>
  <si>
    <t>722065TYA.CSV</t>
  </si>
  <si>
    <t>JACKSONVILLE NAS</t>
  </si>
  <si>
    <t>722066TYA.CSV</t>
  </si>
  <si>
    <t>MAYPORT NS</t>
  </si>
  <si>
    <t>722068TYA.CSV</t>
  </si>
  <si>
    <t>JACKSONVILLE/CRAIG</t>
  </si>
  <si>
    <t>722070TYA.CSV</t>
  </si>
  <si>
    <t>SAVANNAH INTL AP</t>
  </si>
  <si>
    <t>722080TYA.CSV</t>
  </si>
  <si>
    <t>CHARLESTON INTL ARPT</t>
  </si>
  <si>
    <t>722085TYA.CSV</t>
  </si>
  <si>
    <t>BEAUFORT MCAS</t>
  </si>
  <si>
    <t>722103TYA.CSV</t>
  </si>
  <si>
    <t>ST LUCIE CO INTL</t>
  </si>
  <si>
    <t>722104TYA.CSV</t>
  </si>
  <si>
    <t>ST PETERSBURG ALBERT WHITTED</t>
  </si>
  <si>
    <t>722106TYA.CSV</t>
  </si>
  <si>
    <t>FORT MYERS PAGE FIELD</t>
  </si>
  <si>
    <t>722108TYA.CSV</t>
  </si>
  <si>
    <t>SOUTHWEST FLORIDA I</t>
  </si>
  <si>
    <t>722110TYA.CSV</t>
  </si>
  <si>
    <t>TAMPA INTERNATIONAL AP</t>
  </si>
  <si>
    <t>722115TYA.CSV</t>
  </si>
  <si>
    <t>SARASOTA BRADENTON</t>
  </si>
  <si>
    <t>722116TYA.CSV</t>
  </si>
  <si>
    <t>ST PETERSBURG CLEAR</t>
  </si>
  <si>
    <t>722119TYA.CSV</t>
  </si>
  <si>
    <t>LAKELAND LINDER RGN</t>
  </si>
  <si>
    <t>722135TYA.CSV</t>
  </si>
  <si>
    <t>ALMA BACON COUNTY AP</t>
  </si>
  <si>
    <t>722136TYA.CSV</t>
  </si>
  <si>
    <t>BRUNSWICK GOLDEN IS</t>
  </si>
  <si>
    <t>722137TYA.CSV</t>
  </si>
  <si>
    <t>BRUNSWICK MALCOLM MCKINNON AP</t>
  </si>
  <si>
    <t>722140TYA.CSV</t>
  </si>
  <si>
    <t>TALLAHASSEE REGIONAL AP [ISIS]</t>
  </si>
  <si>
    <t>722146TYA.CSV</t>
  </si>
  <si>
    <t>GAINESVILLE REGIONAL AP</t>
  </si>
  <si>
    <t>722160TYA.CSV</t>
  </si>
  <si>
    <t>ALBANY DOUGHERTY COUNTY AP</t>
  </si>
  <si>
    <t>722166TYA.CSV</t>
  </si>
  <si>
    <t>VALDOSTA WB AIRPORT</t>
  </si>
  <si>
    <t>722170TYA.CSV</t>
  </si>
  <si>
    <t>MACON MIDDLE GA REGIONAL AP</t>
  </si>
  <si>
    <t>722175TYA.CSV</t>
  </si>
  <si>
    <t>WARNER ROBINS AFB</t>
  </si>
  <si>
    <t>722180TYA.CSV</t>
  </si>
  <si>
    <t>AUGUSTA BUSH FIELD</t>
  </si>
  <si>
    <t>722190TYA.CSV</t>
  </si>
  <si>
    <t>ATLANTA HARTSFIELD INTL AP</t>
  </si>
  <si>
    <t>722195TYA.CSV</t>
  </si>
  <si>
    <t>FULTON CO ARPT BROW</t>
  </si>
  <si>
    <t>722196TYA.CSV</t>
  </si>
  <si>
    <t>DEKALB PEACHTREE</t>
  </si>
  <si>
    <t>722210TYA.CSV</t>
  </si>
  <si>
    <t>VALPARAISO ELGIN AFB</t>
  </si>
  <si>
    <t>722215TYA.CSV</t>
  </si>
  <si>
    <t>CRESTVIEW BOB SIKES AP</t>
  </si>
  <si>
    <t>722223TYA.CSV</t>
  </si>
  <si>
    <t>PENSACOLA REGIONAL AP</t>
  </si>
  <si>
    <t>722225TYA.CSV</t>
  </si>
  <si>
    <t>PENSACOLA FOREST SHERMAN NAS</t>
  </si>
  <si>
    <t>722226TYA.CSV</t>
  </si>
  <si>
    <t>WHITING FIELD NAAS</t>
  </si>
  <si>
    <t>722230TYA.CSV</t>
  </si>
  <si>
    <t>MOBILE REGIONAL AP</t>
  </si>
  <si>
    <t>722235TYA.CSV</t>
  </si>
  <si>
    <t>MOBILE DOWNTOWN AP</t>
  </si>
  <si>
    <t>722245TYA.CSV</t>
  </si>
  <si>
    <t>PANAMA CITY BAY CO</t>
  </si>
  <si>
    <t>722250TYA.CSV</t>
  </si>
  <si>
    <t>FORT BENNING LAWSON</t>
  </si>
  <si>
    <t>722255TYA.CSV</t>
  </si>
  <si>
    <t>COLUMBUS METROPOLITAN ARPT</t>
  </si>
  <si>
    <t>722260TYA.CSV</t>
  </si>
  <si>
    <t>MONTGOMERY DANNELLY FIELD</t>
  </si>
  <si>
    <t>722265TYA.CSV</t>
  </si>
  <si>
    <t>MAXWELL AFB</t>
  </si>
  <si>
    <t>722267TYA.CSV</t>
  </si>
  <si>
    <t>TROY AF</t>
  </si>
  <si>
    <t>722268TYA.CSV</t>
  </si>
  <si>
    <t>DOTHAN MUNICIPAL AP</t>
  </si>
  <si>
    <t>722269TYA.CSV</t>
  </si>
  <si>
    <t>CAIRNS FIELD FORT RUCKER</t>
  </si>
  <si>
    <t>722270TYA.CSV</t>
  </si>
  <si>
    <t>MARIETTA DOBBINS AFB</t>
  </si>
  <si>
    <t>722280TYA.CSV</t>
  </si>
  <si>
    <t>BIRMINGHAM MUNICIPAL AP</t>
  </si>
  <si>
    <t>722284TYA.CSV</t>
  </si>
  <si>
    <t>AUBURN-OPELIKA APT</t>
  </si>
  <si>
    <t>722285TYA.CSV</t>
  </si>
  <si>
    <t>GADSEN MUNI (AWOS)</t>
  </si>
  <si>
    <t>722286TYA.CSV</t>
  </si>
  <si>
    <t>TUSCALOOSA MUNICIPAL AP</t>
  </si>
  <si>
    <t>722287TYA.CSV</t>
  </si>
  <si>
    <t>ANNISTON METROPOLITAN AP</t>
  </si>
  <si>
    <t>722310TYA.CSV</t>
  </si>
  <si>
    <t>NEW ORLEANS INTL ARPT</t>
  </si>
  <si>
    <t>722314TYA.CSV</t>
  </si>
  <si>
    <t>NEW IBERIA NAAS</t>
  </si>
  <si>
    <t>722315TYA.CSV</t>
  </si>
  <si>
    <t>NEW ORLEANS LAKEFRONT AP</t>
  </si>
  <si>
    <t>722316TYA.CSV</t>
  </si>
  <si>
    <t>NEW ORLEANS ALVIN CALLENDER F</t>
  </si>
  <si>
    <t>722317TYA.CSV</t>
  </si>
  <si>
    <t>BATON ROUGE RYAN ARPT</t>
  </si>
  <si>
    <t>722329TYA.CSV</t>
  </si>
  <si>
    <t>PATTERSON MEMORIAL</t>
  </si>
  <si>
    <t>722340TYA.CSV</t>
  </si>
  <si>
    <t>MERIDIAN KEY FIELD</t>
  </si>
  <si>
    <t>722345TYA.CSV</t>
  </si>
  <si>
    <t>MERIDIAN NAAS</t>
  </si>
  <si>
    <t>722348TYA.CSV</t>
  </si>
  <si>
    <t>HATTIESBURG LAUREL</t>
  </si>
  <si>
    <t>722350TYA.CSV</t>
  </si>
  <si>
    <t>JACKSON INTERNATIONAL AP</t>
  </si>
  <si>
    <t>722356TYA.CSV</t>
  </si>
  <si>
    <t>GREENVILLE MUNICIPAL</t>
  </si>
  <si>
    <t>722357TYA.CSV</t>
  </si>
  <si>
    <t>NATCHEZ/HARDY(AWOS)</t>
  </si>
  <si>
    <t>722358TYA.CSV</t>
  </si>
  <si>
    <t>MCCOMB PIKE COUNTY AP</t>
  </si>
  <si>
    <t>722359TYA.CSV</t>
  </si>
  <si>
    <t>GREENWOOD LEFLORE ARPT</t>
  </si>
  <si>
    <t>722390TYA.CSV</t>
  </si>
  <si>
    <t>FORT POLK AAF</t>
  </si>
  <si>
    <t>722400TYA.CSV</t>
  </si>
  <si>
    <t>LAKE CHARLES REGIONAL ARPT</t>
  </si>
  <si>
    <t>722404TYA.CSV</t>
  </si>
  <si>
    <t>LAKE CHARLES WB AIRP</t>
  </si>
  <si>
    <t>722405TYA.CSV</t>
  </si>
  <si>
    <t>LAFAYETTE REGIONAL AP</t>
  </si>
  <si>
    <t>722406TYA.CSV</t>
  </si>
  <si>
    <t>HOUMA-TERREBONNE</t>
  </si>
  <si>
    <t>722410TYA.CSV</t>
  </si>
  <si>
    <t>PORT ARTHUR JEFFERSON COUNTY</t>
  </si>
  <si>
    <t>722420TYA.CSV</t>
  </si>
  <si>
    <t>GALVESTON/SCHOLES</t>
  </si>
  <si>
    <t>722429TYA.CSV</t>
  </si>
  <si>
    <t>HOUSTON/D.W. HOOKS</t>
  </si>
  <si>
    <t>722430TYA.CSV</t>
  </si>
  <si>
    <t>HOUSTON BUSH INTERCONTINENTAL</t>
  </si>
  <si>
    <t>722435TYA.CSV</t>
  </si>
  <si>
    <t>HOUSTON WILLIAM P HOBBY AP</t>
  </si>
  <si>
    <t>722436TYA.CSV</t>
  </si>
  <si>
    <t>HOUSTON ELLINGTON AFB [CLEAR LAKE - UT]</t>
  </si>
  <si>
    <t>722445TYA.CSV</t>
  </si>
  <si>
    <t>COLLEGE STATION EASTERWOOD FL</t>
  </si>
  <si>
    <t>722446TYA.CSV</t>
  </si>
  <si>
    <t>LUFKIN ANGELINA CO</t>
  </si>
  <si>
    <t>722448TYA.CSV</t>
  </si>
  <si>
    <t>TYLER/POUNDS FLD</t>
  </si>
  <si>
    <t>722470TYA.CSV</t>
  </si>
  <si>
    <t>LONGVIEW GREGG COUNTY AP [OVERTON - UT]</t>
  </si>
  <si>
    <t>722480TYA.CSV</t>
  </si>
  <si>
    <t>SHREVEPORT REGIONAL ARPT</t>
  </si>
  <si>
    <t>722484TYA.CSV</t>
  </si>
  <si>
    <t>SHREVEPORT DOWNTOWN</t>
  </si>
  <si>
    <t>722485TYA.CSV</t>
  </si>
  <si>
    <t>BARKSDALE AFB</t>
  </si>
  <si>
    <t>722486TYA.CSV</t>
  </si>
  <si>
    <t>MONROE REGIONAL AP</t>
  </si>
  <si>
    <t>722487TYA.CSV</t>
  </si>
  <si>
    <t>ALEXANDRIA ESLER REGIONAL AP</t>
  </si>
  <si>
    <t>722499TYA.CSV</t>
  </si>
  <si>
    <t>NACOGDOCHES (AWOS)</t>
  </si>
  <si>
    <t>722500TYA.CSV</t>
  </si>
  <si>
    <t>BROWNSVILLE S PADRE ISL INTL</t>
  </si>
  <si>
    <t>722505TYA.CSV</t>
  </si>
  <si>
    <t>HARLINGEN RIO GRANDE VALLEY I</t>
  </si>
  <si>
    <t>722506TYA.CSV</t>
  </si>
  <si>
    <t>MCALLEN MILLER INTL AP [EDINBURG - UT]</t>
  </si>
  <si>
    <t>722510TYA.CSV</t>
  </si>
  <si>
    <t>CORPUS CHRISTI INTL ARPT [UT]</t>
  </si>
  <si>
    <t>722515TYA.CSV</t>
  </si>
  <si>
    <t>CORPUS CHRISTI NAS</t>
  </si>
  <si>
    <t>722516TYA.CSV</t>
  </si>
  <si>
    <t>KINGSVILLE</t>
  </si>
  <si>
    <t>722517TYA.CSV</t>
  </si>
  <si>
    <t>ALICE INTL AP</t>
  </si>
  <si>
    <t>722520TYA.CSV</t>
  </si>
  <si>
    <t>LAREDO INTL AP [UT]</t>
  </si>
  <si>
    <t>722523TYA.CSV</t>
  </si>
  <si>
    <t>SAN ANTONIO/STINSON</t>
  </si>
  <si>
    <t>722524TYA.CSV</t>
  </si>
  <si>
    <t>ROCKPORT/ARANSAS CO</t>
  </si>
  <si>
    <t>722526TYA.CSV</t>
  </si>
  <si>
    <t>COTULLA FAA AP</t>
  </si>
  <si>
    <t>722530TYA.CSV</t>
  </si>
  <si>
    <t>SAN ANTONIO INTL AP</t>
  </si>
  <si>
    <t>722533TYA.CSV</t>
  </si>
  <si>
    <t>HONDO MUNICIPAL AP</t>
  </si>
  <si>
    <t>722535TYA.CSV</t>
  </si>
  <si>
    <t>SAN ANTONIO KELLY FIELD AFB</t>
  </si>
  <si>
    <t>722536TYA.CSV</t>
  </si>
  <si>
    <t>RANDOLPH AFB</t>
  </si>
  <si>
    <t>722540TYA.CSV</t>
  </si>
  <si>
    <t>AUSTIN MUELLER MUNICIPAL AP [UT]</t>
  </si>
  <si>
    <t>722544TYA.CSV</t>
  </si>
  <si>
    <t>CAMP MABRY</t>
  </si>
  <si>
    <t>722547TYA.CSV</t>
  </si>
  <si>
    <t>GEORGETOWN (AWOS)</t>
  </si>
  <si>
    <t>722550TYA.CSV</t>
  </si>
  <si>
    <t>VICTORIA REGIONAL AP</t>
  </si>
  <si>
    <t>722555TYA.CSV</t>
  </si>
  <si>
    <t>PALACIOS MUNICIPAL AP</t>
  </si>
  <si>
    <t>722560TYA.CSV</t>
  </si>
  <si>
    <t>WACO REGIONAL AP</t>
  </si>
  <si>
    <t>722563TYA.CSV</t>
  </si>
  <si>
    <t>MC GREGOR (AWOS)</t>
  </si>
  <si>
    <t>722570TYA.CSV</t>
  </si>
  <si>
    <t>FORT HOOD</t>
  </si>
  <si>
    <t>722575TYA.CSV</t>
  </si>
  <si>
    <t>KILLEEN MUNI (AWOS)</t>
  </si>
  <si>
    <t>722576TYA.CSV</t>
  </si>
  <si>
    <t>ROBERT GRAY AAF</t>
  </si>
  <si>
    <t>722577TYA.CSV</t>
  </si>
  <si>
    <t>DRAUGHON MILLER CEN</t>
  </si>
  <si>
    <t>722583TYA.CSV</t>
  </si>
  <si>
    <t>DALLAS LOVE FIELD</t>
  </si>
  <si>
    <t>722587TYA.CSV</t>
  </si>
  <si>
    <t>COX FLD</t>
  </si>
  <si>
    <t>722588TYA.CSV</t>
  </si>
  <si>
    <t>GREENVILLE/MAJORS</t>
  </si>
  <si>
    <t>722590TYA.CSV</t>
  </si>
  <si>
    <t>DALLAS-FORT WORTH INTL AP</t>
  </si>
  <si>
    <t>722594TYA.CSV</t>
  </si>
  <si>
    <t>FORT WORTH ALLIANCE</t>
  </si>
  <si>
    <t>722595TYA.CSV</t>
  </si>
  <si>
    <t>FORT WORTH NAS</t>
  </si>
  <si>
    <t>722596TYA.CSV</t>
  </si>
  <si>
    <t>FORT WORTH MEACHAM</t>
  </si>
  <si>
    <t>722597TYA.CSV</t>
  </si>
  <si>
    <t>MINERAL WELLS MUNICIPAL AP</t>
  </si>
  <si>
    <t>722598TYA.CSV</t>
  </si>
  <si>
    <t>DALLAS/ADDISON ARPT</t>
  </si>
  <si>
    <t>722599TYA.CSV</t>
  </si>
  <si>
    <t>DALLAS/REDBIRD ARPT</t>
  </si>
  <si>
    <t>722610TYA.CSV</t>
  </si>
  <si>
    <t>DEL RIO [UT]</t>
  </si>
  <si>
    <t>722615TYA.CSV</t>
  </si>
  <si>
    <t>DEL RIO LAUGHLIN AFB</t>
  </si>
  <si>
    <t>722630TYA.CSV</t>
  </si>
  <si>
    <t>SAN ANGELO MATHIS FIELD</t>
  </si>
  <si>
    <t>722636TYA.CSV</t>
  </si>
  <si>
    <t>DALHART MUNICIPAL AP</t>
  </si>
  <si>
    <t>722640TYA.CSV</t>
  </si>
  <si>
    <t>MARFA AP</t>
  </si>
  <si>
    <t>722650TYA.CSV</t>
  </si>
  <si>
    <t>MIDLAND INTERNATIONAL AP</t>
  </si>
  <si>
    <t>722656TYA.CSV</t>
  </si>
  <si>
    <t>WINK WINKLER COUNTY AP</t>
  </si>
  <si>
    <t>722660TYA.CSV</t>
  </si>
  <si>
    <t>ABILENE REGIONAL AP [UT]</t>
  </si>
  <si>
    <t>722670TYA.CSV</t>
  </si>
  <si>
    <t>LUBBOCK INTERNATIONAL AP</t>
  </si>
  <si>
    <t>722680TYA.CSV</t>
  </si>
  <si>
    <t>ROSWELL INDUSTRIAL AIR PARK</t>
  </si>
  <si>
    <t>722683TYA.CSV</t>
  </si>
  <si>
    <t>SIERRA BLANCA RGNL</t>
  </si>
  <si>
    <t>722686TYA.CSV</t>
  </si>
  <si>
    <t>CLOVIS CANNON AFB</t>
  </si>
  <si>
    <t>722687TYA.CSV</t>
  </si>
  <si>
    <t>CARLSBAD CAVERN CITY AIR TERM</t>
  </si>
  <si>
    <t>722689TYA.CSV</t>
  </si>
  <si>
    <t>CLOVIS MUNI  (AWOS)</t>
  </si>
  <si>
    <t>722695TYA.CSV</t>
  </si>
  <si>
    <t>LAS CRUCES INTL</t>
  </si>
  <si>
    <t>722700TYA.CSV</t>
  </si>
  <si>
    <t>EL PASO INTERNATIONAL AP [UT]</t>
  </si>
  <si>
    <t>722710TYA.CSV</t>
  </si>
  <si>
    <t>TRUTH OR CONSEQUENCES MUNI AP</t>
  </si>
  <si>
    <t>722725TYA.CSV</t>
  </si>
  <si>
    <t>DEMING MUNI</t>
  </si>
  <si>
    <t>722735TYA.CSV</t>
  </si>
  <si>
    <t>DOUGLAS BISBEE-DOUGLAS INTL A</t>
  </si>
  <si>
    <t>722740TYA.CSV</t>
  </si>
  <si>
    <t>TUCSON INTERNATIONAL AP</t>
  </si>
  <si>
    <t>722745TYA.CSV</t>
  </si>
  <si>
    <t>DAVIS MONTHAN AFB</t>
  </si>
  <si>
    <t>722747TYA.CSV</t>
  </si>
  <si>
    <t>SAFFORD (AMOS)</t>
  </si>
  <si>
    <t>722748TYA.CSV</t>
  </si>
  <si>
    <t>CASA GRANDA (AWOS)</t>
  </si>
  <si>
    <t>722780TYA.CSV</t>
  </si>
  <si>
    <t>PHOENIX SKY HARBOR INTL AP</t>
  </si>
  <si>
    <t>722784TYA.CSV</t>
  </si>
  <si>
    <t>DEER VALLEY/PHOENIX</t>
  </si>
  <si>
    <t>722785TYA.CSV</t>
  </si>
  <si>
    <t>LUKE AFB</t>
  </si>
  <si>
    <t>722789TYA.CSV</t>
  </si>
  <si>
    <t>SCOTTSDALE MUNI</t>
  </si>
  <si>
    <t>722800TYA.CSV</t>
  </si>
  <si>
    <t>YUMA INTL ARPT</t>
  </si>
  <si>
    <t>722860TYA.CSV</t>
  </si>
  <si>
    <t>MARCH AFB</t>
  </si>
  <si>
    <t>722868TYA.CSV</t>
  </si>
  <si>
    <t>PALM SPRINGS INTL</t>
  </si>
  <si>
    <t>722869TYA.CSV</t>
  </si>
  <si>
    <t>RIVERSIDE MUNI</t>
  </si>
  <si>
    <t>722880TYA.CSV</t>
  </si>
  <si>
    <t>BURBANK-GLENDALE-PASSADENA AP</t>
  </si>
  <si>
    <t>722885TYA.CSV</t>
  </si>
  <si>
    <t>SANTA MONICA MUNI</t>
  </si>
  <si>
    <t>722886TYA.CSV</t>
  </si>
  <si>
    <t>VAN NUYS AIRPORT</t>
  </si>
  <si>
    <t>722895TYA.CSV</t>
  </si>
  <si>
    <t>LOMPOC (AWOS)</t>
  </si>
  <si>
    <t>722897TYA.CSV</t>
  </si>
  <si>
    <t>SAN LUIS CO RGNL</t>
  </si>
  <si>
    <t>722899TYA.CSV</t>
  </si>
  <si>
    <t>CHINO AIRPORT</t>
  </si>
  <si>
    <t>722900TYA.CSV</t>
  </si>
  <si>
    <t>SAN DIEGO LINDBERGH FIELD</t>
  </si>
  <si>
    <t>722903TYA.CSV</t>
  </si>
  <si>
    <t>SAN DIEGO/MONTGOMER</t>
  </si>
  <si>
    <t>722904TYA.CSV</t>
  </si>
  <si>
    <t>CHULA VISTA BROWN FIELD NAAS</t>
  </si>
  <si>
    <t>722906TYA.CSV</t>
  </si>
  <si>
    <t>SAN DIEGO NORTH ISLAND NAS</t>
  </si>
  <si>
    <t>722926TYA.CSV</t>
  </si>
  <si>
    <t>CAMP PENDLETON MCAS</t>
  </si>
  <si>
    <t>722927TYA.CSV</t>
  </si>
  <si>
    <t>CARLSBAD/PALOMAR</t>
  </si>
  <si>
    <t>722930TYA.CSV</t>
  </si>
  <si>
    <t>SAN DIEGO MIRAMAR NAS</t>
  </si>
  <si>
    <t>722950TYA.CSV</t>
  </si>
  <si>
    <t>LOS ANGELES INTL ARPT</t>
  </si>
  <si>
    <t>722956TYA.CSV</t>
  </si>
  <si>
    <t>JACK NORTHROP FLD H</t>
  </si>
  <si>
    <t>722970TYA.CSV</t>
  </si>
  <si>
    <t>LONG BEACH DAUGHERTY FLD</t>
  </si>
  <si>
    <t>722976TYA.CSV</t>
  </si>
  <si>
    <t>FULLERTON MUNICIPAL</t>
  </si>
  <si>
    <t>722977TYA.CSV</t>
  </si>
  <si>
    <t>SANTA ANA JOHN WAYNE AP</t>
  </si>
  <si>
    <t>723013TYA.CSV</t>
  </si>
  <si>
    <t>WILMINGTON INTERNATIONAL ARPT</t>
  </si>
  <si>
    <t>723030TYA.CSV</t>
  </si>
  <si>
    <t>FAYETTEVILLE POPE AFB</t>
  </si>
  <si>
    <t>723035TYA.CSV</t>
  </si>
  <si>
    <t>FAYETTEVILLE RGNL G</t>
  </si>
  <si>
    <t>723040TYA.CSV</t>
  </si>
  <si>
    <t>CAPE HATTERAS NWS BLDG</t>
  </si>
  <si>
    <t>723046TYA.CSV</t>
  </si>
  <si>
    <t>DARE CO RGNL</t>
  </si>
  <si>
    <t>723060TYA.CSV</t>
  </si>
  <si>
    <t>RALEIGH DURHAM INTERNATIONAL</t>
  </si>
  <si>
    <t>723065TYA.CSV</t>
  </si>
  <si>
    <t>PITT GREENVILLE ARP</t>
  </si>
  <si>
    <t>723066TYA.CSV</t>
  </si>
  <si>
    <t>GOLDSBORO SEYMOUR JOHNSON AFB</t>
  </si>
  <si>
    <t>723067TYA.CSV</t>
  </si>
  <si>
    <t>KINSTON STALLINGS AFB</t>
  </si>
  <si>
    <t>723068TYA.CSV</t>
  </si>
  <si>
    <t>ROCKY MOUNT WILSON</t>
  </si>
  <si>
    <t>723069TYA.CSV</t>
  </si>
  <si>
    <t>JACKSONVILLE (AWOS)</t>
  </si>
  <si>
    <t>723075TYA.CSV</t>
  </si>
  <si>
    <t>OCEANA NAS</t>
  </si>
  <si>
    <t>723080TYA.CSV</t>
  </si>
  <si>
    <t>NORFOLK INTERNATIONAL AP</t>
  </si>
  <si>
    <t>723083TYA.CSV</t>
  </si>
  <si>
    <t>FRANKLIN NAAS</t>
  </si>
  <si>
    <t>723085TYA.CSV</t>
  </si>
  <si>
    <t>NORFOLK NAS</t>
  </si>
  <si>
    <t>723086TYA.CSV</t>
  </si>
  <si>
    <t>NEWPORT NEWS</t>
  </si>
  <si>
    <t>723090TYA.CSV</t>
  </si>
  <si>
    <t>CHERRY POINT MCAS</t>
  </si>
  <si>
    <t>723095TYA.CSV</t>
  </si>
  <si>
    <t>NEW BERN CRAVEN CO REGL AP</t>
  </si>
  <si>
    <t>723096TYA.CSV</t>
  </si>
  <si>
    <t>NEW RIVER MCAF</t>
  </si>
  <si>
    <t>723100TYA.CSV</t>
  </si>
  <si>
    <t>COLUMBIA METRO ARPT</t>
  </si>
  <si>
    <t>723106TYA.CSV</t>
  </si>
  <si>
    <t>FLORENCE REGIONAL AP</t>
  </si>
  <si>
    <t>723110TYA.CSV</t>
  </si>
  <si>
    <t>ATHENS BEN EPPS AP</t>
  </si>
  <si>
    <t>723119TYA.CSV</t>
  </si>
  <si>
    <t>GREENVILLE DOWNTOWN AP</t>
  </si>
  <si>
    <t>723120TYA.CSV</t>
  </si>
  <si>
    <t>GREER GREENV'L-SPARTANBRG AP</t>
  </si>
  <si>
    <t>723125TYA.CSV</t>
  </si>
  <si>
    <t>ANDERSON COUNTY AP</t>
  </si>
  <si>
    <t>723140TYA.CSV</t>
  </si>
  <si>
    <t>CHARLOTTE DOUGLAS INTL ARPT</t>
  </si>
  <si>
    <t>723143TYA.CSV</t>
  </si>
  <si>
    <t>SOUTHERN PINES AWOS</t>
  </si>
  <si>
    <t>723145TYA.CSV</t>
  </si>
  <si>
    <t>HICKORY REGIONAL AP</t>
  </si>
  <si>
    <t>723150TYA.CSV</t>
  </si>
  <si>
    <t>ASHEVILLE REGIONAL ARPT</t>
  </si>
  <si>
    <t>723170TYA.CSV</t>
  </si>
  <si>
    <t>GREENSBORO PIEDMONT TRIAD INT</t>
  </si>
  <si>
    <t>723183TYA.CSV</t>
  </si>
  <si>
    <t>BRISTOL TRI CITY AIRPORT</t>
  </si>
  <si>
    <t>723193TYA.CSV</t>
  </si>
  <si>
    <t>WINSTON-SALEM REYNOLDS AP</t>
  </si>
  <si>
    <t>723200TYA.CSV</t>
  </si>
  <si>
    <t>ROME R B RUSSELL AP</t>
  </si>
  <si>
    <t>723230TYA.CSV</t>
  </si>
  <si>
    <t>HUNTSVILLE INTL/JONES FIELD</t>
  </si>
  <si>
    <t>723235TYA.CSV</t>
  </si>
  <si>
    <t>MUSCLE SHOALS REGIONAL AP</t>
  </si>
  <si>
    <t>723240TYA.CSV</t>
  </si>
  <si>
    <t>CHATTANOOGA LOVELL FIELD AP</t>
  </si>
  <si>
    <t>723260TYA.CSV</t>
  </si>
  <si>
    <t>KNOXVILLE MCGHEE TYSON AP</t>
  </si>
  <si>
    <t>723265TYA.CSV</t>
  </si>
  <si>
    <t>CROSSVILLE MEMORIAL AP</t>
  </si>
  <si>
    <t>723270TYA.CSV</t>
  </si>
  <si>
    <t>NASHVILLE INTERNATIONAL AP</t>
  </si>
  <si>
    <t>723300TYA.CSV</t>
  </si>
  <si>
    <t>POPLAR BLUFF(AMOS)</t>
  </si>
  <si>
    <t>723306TYA.CSV</t>
  </si>
  <si>
    <t>COLUMBUS AFB</t>
  </si>
  <si>
    <t>723307TYA.CSV</t>
  </si>
  <si>
    <t>GOLDEN TRI(AWOS)</t>
  </si>
  <si>
    <t>723320TYA.CSV</t>
  </si>
  <si>
    <t>TUPELO C D LEMONS ARPT</t>
  </si>
  <si>
    <t>723340TYA.CSV</t>
  </si>
  <si>
    <t>MEMPHIS INTERNATIONAL AP</t>
  </si>
  <si>
    <t>723346TYA.CSV</t>
  </si>
  <si>
    <t>JACKSON MCKELLAR-SIPES REGL A</t>
  </si>
  <si>
    <t>723347TYA.CSV</t>
  </si>
  <si>
    <t>DYERSBURG MUNICIPAL AP</t>
  </si>
  <si>
    <t>723403TYA.CSV</t>
  </si>
  <si>
    <t>LITTLE ROCK ADAMS FIELD</t>
  </si>
  <si>
    <t>723405TYA.CSV</t>
  </si>
  <si>
    <t>LITTLE ROCK AFB</t>
  </si>
  <si>
    <t>723406TYA.CSV</t>
  </si>
  <si>
    <t>WALNUT RIDGE (AWOS)</t>
  </si>
  <si>
    <t>723407TYA.CSV</t>
  </si>
  <si>
    <t>JONESBORO MUNI</t>
  </si>
  <si>
    <t>723415TYA.CSV</t>
  </si>
  <si>
    <t>MEMORIAL FLD</t>
  </si>
  <si>
    <t>723416TYA.CSV</t>
  </si>
  <si>
    <t>STUTTGART (AWOS)</t>
  </si>
  <si>
    <t>723417TYA.CSV</t>
  </si>
  <si>
    <t>PINE BLUFF FAA AP</t>
  </si>
  <si>
    <t>723418TYA.CSV</t>
  </si>
  <si>
    <t>TEXARKANA WEBB FIELD</t>
  </si>
  <si>
    <t>723419TYA.CSV</t>
  </si>
  <si>
    <t>EL DORADO GOODWIN FIELD</t>
  </si>
  <si>
    <t>723434TYA.CSV</t>
  </si>
  <si>
    <t>SPRINGDALE MUNI</t>
  </si>
  <si>
    <t>723440TYA.CSV</t>
  </si>
  <si>
    <t>FORT SMITH REGIONAL AP</t>
  </si>
  <si>
    <t>723443TYA.CSV</t>
  </si>
  <si>
    <t>SILOAM SPRING(AWOS)</t>
  </si>
  <si>
    <t>723444TYA.CSV</t>
  </si>
  <si>
    <t>BENTONVILLE (AWOS)</t>
  </si>
  <si>
    <t>723445TYA.CSV</t>
  </si>
  <si>
    <t>FAYETTEVILLE DRAKE FIELD</t>
  </si>
  <si>
    <t>723446TYA.CSV</t>
  </si>
  <si>
    <t>HARRISON FAA AP</t>
  </si>
  <si>
    <t>723447TYA.CSV</t>
  </si>
  <si>
    <t>FLIPPIN (AWOS)</t>
  </si>
  <si>
    <t>723448TYA.CSV</t>
  </si>
  <si>
    <t>BATESVILLE (AWOS)</t>
  </si>
  <si>
    <t>723449TYA.CSV</t>
  </si>
  <si>
    <t>ROGERS (AWOS)</t>
  </si>
  <si>
    <t>723489TYA.CSV</t>
  </si>
  <si>
    <t>CAPE GIRARDEAU MUNICIPAL AP</t>
  </si>
  <si>
    <t>723495TYA.CSV</t>
  </si>
  <si>
    <t>JOPLIN MUNICIPAL AP</t>
  </si>
  <si>
    <t>723510TYA.CSV</t>
  </si>
  <si>
    <t>WICHITA FALLS MUNICIPAL ARPT</t>
  </si>
  <si>
    <t>723520TYA.CSV</t>
  </si>
  <si>
    <t>ALTUS AFB</t>
  </si>
  <si>
    <t>723525TYA.CSV</t>
  </si>
  <si>
    <t>HOBART MUNICIPAL AP</t>
  </si>
  <si>
    <t>723526TYA.CSV</t>
  </si>
  <si>
    <t>CLINTON-SHERMAN</t>
  </si>
  <si>
    <t>723527TYA.CSV</t>
  </si>
  <si>
    <t>GAGE AIRPORT</t>
  </si>
  <si>
    <t>723530TYA.CSV</t>
  </si>
  <si>
    <t>OKLAHOMA CITY WILL ROGERS WOR</t>
  </si>
  <si>
    <t>723535TYA.CSV</t>
  </si>
  <si>
    <t>VANCE AFB</t>
  </si>
  <si>
    <t>723540TYA.CSV</t>
  </si>
  <si>
    <t>OKLAHOMA CITY TINKER AFB</t>
  </si>
  <si>
    <t>723544TYA.CSV</t>
  </si>
  <si>
    <t>OKLAHOMA CITY/WILEY</t>
  </si>
  <si>
    <t>723545TYA.CSV</t>
  </si>
  <si>
    <t>STILLWATER RGNL</t>
  </si>
  <si>
    <t>723546TYA.CSV</t>
  </si>
  <si>
    <t>PONCA CITY MUNICIPAL AP [SGP - ARM]</t>
  </si>
  <si>
    <t>723550TYA.CSV</t>
  </si>
  <si>
    <t>FORT SILL POST FIELD AF</t>
  </si>
  <si>
    <t>723560TYA.CSV</t>
  </si>
  <si>
    <t>TULSA INTERNATIONAL AIRPORT</t>
  </si>
  <si>
    <t>723565TYA.CSV</t>
  </si>
  <si>
    <t>BARTLESVILLE/PHILLI</t>
  </si>
  <si>
    <t>723566TYA.CSV</t>
  </si>
  <si>
    <t>MCALESTER MUNICIPAL AP</t>
  </si>
  <si>
    <t>723575TYA.CSV</t>
  </si>
  <si>
    <t>LAWTON MUNICIPAL</t>
  </si>
  <si>
    <t>723600TYA.CSV</t>
  </si>
  <si>
    <t>CLAYTON MUNICIPAL AIRPARK</t>
  </si>
  <si>
    <t>723604TYA.CSV</t>
  </si>
  <si>
    <t>CHILDRESS MUNICIPAL AP</t>
  </si>
  <si>
    <t>723627TYA.CSV</t>
  </si>
  <si>
    <t>GALLUP SEN CLARKE FLD</t>
  </si>
  <si>
    <t>723630TYA.CSV</t>
  </si>
  <si>
    <t>AMARILLO INTERNATIONAL AP [CANYON - UT]</t>
  </si>
  <si>
    <t>723650TYA.CSV</t>
  </si>
  <si>
    <t>ALBUQUERQUE INTL ARPT [ISIS]</t>
  </si>
  <si>
    <t>723656TYA.CSV</t>
  </si>
  <si>
    <t>SATA FE COUNTY MUNICIPAL AP</t>
  </si>
  <si>
    <t>723658TYA.CSV</t>
  </si>
  <si>
    <t>FARMINGTON FOUR CORNERS REGL</t>
  </si>
  <si>
    <t>723663TYA.CSV</t>
  </si>
  <si>
    <t>TAOS MUNI APT(AWOS)</t>
  </si>
  <si>
    <t>723676TYA.CSV</t>
  </si>
  <si>
    <t>TUCUMCARI FAA AP</t>
  </si>
  <si>
    <t>723677TYA.CSV</t>
  </si>
  <si>
    <t>LAS VEGAS MUNICIPAL ARPT</t>
  </si>
  <si>
    <t>723700TYA.CSV</t>
  </si>
  <si>
    <t>KINGMAN (AMOS)</t>
  </si>
  <si>
    <t>723710TYA.CSV</t>
  </si>
  <si>
    <t>PAGE MUNI (AMOS)</t>
  </si>
  <si>
    <t>723723TYA.CSV</t>
  </si>
  <si>
    <t>PRESCOTT LOVE FIELD</t>
  </si>
  <si>
    <t>723740TYA.CSV</t>
  </si>
  <si>
    <t>WINSLOW MUNICIPAL AP</t>
  </si>
  <si>
    <t>723747TYA.CSV</t>
  </si>
  <si>
    <t>SHOW LOW MUNICIPAL</t>
  </si>
  <si>
    <t>723755TYA.CSV</t>
  </si>
  <si>
    <t>FLAGSTAFF PULLIAM ARPT</t>
  </si>
  <si>
    <t>723783TYA.CSV</t>
  </si>
  <si>
    <t>GRAND CANYON NATL P</t>
  </si>
  <si>
    <t>723805TYA.CSV</t>
  </si>
  <si>
    <t>NEEDLES AIRPORT</t>
  </si>
  <si>
    <t>723810TYA.CSV</t>
  </si>
  <si>
    <t>EDWARDS AFB</t>
  </si>
  <si>
    <t>723815TYA.CSV</t>
  </si>
  <si>
    <t>DAGGETT BARSTOW-DAGGETT AP</t>
  </si>
  <si>
    <t>723816TYA.CSV</t>
  </si>
  <si>
    <t>LANCASTER GEN WM FOX FIELD</t>
  </si>
  <si>
    <t>723820TYA.CSV</t>
  </si>
  <si>
    <t>PALMDALE AIRPORT</t>
  </si>
  <si>
    <t>723830TYA.CSV</t>
  </si>
  <si>
    <t>SANDBERG</t>
  </si>
  <si>
    <t>723840TYA.CSV</t>
  </si>
  <si>
    <t>BAKERSFIELD MEADOWS FIELD</t>
  </si>
  <si>
    <t>723860TYA.CSV</t>
  </si>
  <si>
    <t>LAS VEGAS MCCARRAN INTL AP</t>
  </si>
  <si>
    <t>723865TYA.CSV</t>
  </si>
  <si>
    <t>NELLIS AFB</t>
  </si>
  <si>
    <t>723870TYA.CSV</t>
  </si>
  <si>
    <t>MERCURY DESERT ROCK AP [SURFRAD]</t>
  </si>
  <si>
    <t>723890TYA.CSV</t>
  </si>
  <si>
    <t>FRESNO YOSEMITE INTL AP</t>
  </si>
  <si>
    <t>723895TYA.CSV</t>
  </si>
  <si>
    <t>PORTERVILLE (AWOS)</t>
  </si>
  <si>
    <t>723896TYA.CSV</t>
  </si>
  <si>
    <t>VISALIA MUNI (AWOS)</t>
  </si>
  <si>
    <t>723910TYA.CSV</t>
  </si>
  <si>
    <t>POINT MUGU NF</t>
  </si>
  <si>
    <t>723925TYA.CSV</t>
  </si>
  <si>
    <t>SANTA BARBARA MUNICIPAL AP</t>
  </si>
  <si>
    <t>723926TYA.CSV</t>
  </si>
  <si>
    <t>CAMARILLO (AWOS)</t>
  </si>
  <si>
    <t>723927TYA.CSV</t>
  </si>
  <si>
    <t>OXNARD AIRPORT</t>
  </si>
  <si>
    <t>723940TYA.CSV</t>
  </si>
  <si>
    <t>SANTA MARIA PUBLIC ARPT</t>
  </si>
  <si>
    <t>723965TYA.CSV</t>
  </si>
  <si>
    <t>PASO ROBLES MUNICIPAL ARPT</t>
  </si>
  <si>
    <t>724010TYA.CSV</t>
  </si>
  <si>
    <t>RICHMOND INTERNATIONAL AP</t>
  </si>
  <si>
    <t>724014TYA.CSV</t>
  </si>
  <si>
    <t>DINWIDDIE CO</t>
  </si>
  <si>
    <t>724016TYA.CSV</t>
  </si>
  <si>
    <t>CHARLOTTESVILLE FAA</t>
  </si>
  <si>
    <t>724017TYA.CSV</t>
  </si>
  <si>
    <t>FARMVILLE</t>
  </si>
  <si>
    <t>724026TYA.CSV</t>
  </si>
  <si>
    <t>MELFA/ACCOMACK ARPT</t>
  </si>
  <si>
    <t>724030TYA.CSV</t>
  </si>
  <si>
    <t>WASHINGTON DC DULLES INT'L AR [STERLING - ISIS]</t>
  </si>
  <si>
    <t>724033TYA.CSV</t>
  </si>
  <si>
    <t>SHANNON ARPT</t>
  </si>
  <si>
    <t>724035TYA.CSV</t>
  </si>
  <si>
    <t>QUANTICO MCAS</t>
  </si>
  <si>
    <t>724036TYA.CSV</t>
  </si>
  <si>
    <t>MANASSAS MUNI(AWOS)</t>
  </si>
  <si>
    <t>724037TYA.CSV</t>
  </si>
  <si>
    <t>DAVISON AAF</t>
  </si>
  <si>
    <t>724040TYA.CSV</t>
  </si>
  <si>
    <t>PATUXENT RIVER NAS</t>
  </si>
  <si>
    <t>724045TYA.CSV</t>
  </si>
  <si>
    <t>SALISBURY WICOMICO CO AP</t>
  </si>
  <si>
    <t>724050TYA.CSV</t>
  </si>
  <si>
    <t>WASHINGTON DC REAGAN AP</t>
  </si>
  <si>
    <t>724053TYA.CSV</t>
  </si>
  <si>
    <t>WINCHESTER RGNL</t>
  </si>
  <si>
    <t>724055TYA.CSV</t>
  </si>
  <si>
    <t>LEESBURG/GODFREY</t>
  </si>
  <si>
    <t>724056TYA.CSV</t>
  </si>
  <si>
    <t>MARION / WYTHEVILLE</t>
  </si>
  <si>
    <t>724058TYA.CSV</t>
  </si>
  <si>
    <t>ABINGTON</t>
  </si>
  <si>
    <t>724060TYA.CSV</t>
  </si>
  <si>
    <t>BALTIMORE BLT-WASHNGTN INT'L</t>
  </si>
  <si>
    <t>724066TYA.CSV</t>
  </si>
  <si>
    <t>HAGERSTOWN RGNL RIC</t>
  </si>
  <si>
    <t>724070TYA.CSV</t>
  </si>
  <si>
    <t>ATLANTIC CITY INTL AP</t>
  </si>
  <si>
    <t>724075TYA.CSV</t>
  </si>
  <si>
    <t>MILLVILLE MUNICIPAL AP</t>
  </si>
  <si>
    <t>724080TYA.CSV</t>
  </si>
  <si>
    <t>PHILADELPHIA INTERNATIONAL AP</t>
  </si>
  <si>
    <t>724084TYA.CSV</t>
  </si>
  <si>
    <t>BELMAR ASC</t>
  </si>
  <si>
    <t>724085TYA.CSV</t>
  </si>
  <si>
    <t>PHILADELPHIA NE PHILADELPHIA</t>
  </si>
  <si>
    <t>724086TYA.CSV</t>
  </si>
  <si>
    <t>WILLOW GROVE NAS</t>
  </si>
  <si>
    <t>724088TYA.CSV</t>
  </si>
  <si>
    <t>DOVER AFB</t>
  </si>
  <si>
    <t>724089TYA.CSV</t>
  </si>
  <si>
    <t>WILMINGTON NEW CASTLE CNTY AP</t>
  </si>
  <si>
    <t>724094TYA.CSV</t>
  </si>
  <si>
    <t>CALDWELL/ESSEX CO.</t>
  </si>
  <si>
    <t>724095TYA.CSV</t>
  </si>
  <si>
    <t>TRENTON MERCER COUNTY AP</t>
  </si>
  <si>
    <t>724096TYA.CSV</t>
  </si>
  <si>
    <t>MCGUIRE AFB</t>
  </si>
  <si>
    <t>724100TYA.CSV</t>
  </si>
  <si>
    <t>LYNCHBURG REGIONAL ARPT</t>
  </si>
  <si>
    <t>724105TYA.CSV</t>
  </si>
  <si>
    <t>STAUNTON/SHENANDOAH</t>
  </si>
  <si>
    <t>724106TYA.CSV</t>
  </si>
  <si>
    <t>DANVILLE FAA AP</t>
  </si>
  <si>
    <t>724107TYA.CSV</t>
  </si>
  <si>
    <t>HILLSVILLE</t>
  </si>
  <si>
    <t>724110TYA.CSV</t>
  </si>
  <si>
    <t>ROANOKE REGIONAL AP</t>
  </si>
  <si>
    <t>724113TYA.CSV</t>
  </si>
  <si>
    <t>VIRGINIA TECH ARPT</t>
  </si>
  <si>
    <t>724115TYA.CSV</t>
  </si>
  <si>
    <t>HOT SPRINGS/INGALLS</t>
  </si>
  <si>
    <t>724116TYA.CSV</t>
  </si>
  <si>
    <t>PULASKI</t>
  </si>
  <si>
    <t>724117TYA.CSV</t>
  </si>
  <si>
    <t>WISE/LONESOME PINE</t>
  </si>
  <si>
    <t>724120TYA.CSV</t>
  </si>
  <si>
    <t>BECKLEY RALEIGH CO MEM AP</t>
  </si>
  <si>
    <t>724125TYA.CSV</t>
  </si>
  <si>
    <t>BLUEFIELD/MERCER CO [NREL]</t>
  </si>
  <si>
    <t>724127TYA.CSV</t>
  </si>
  <si>
    <t>LEWISBURG/GREENBRIE</t>
  </si>
  <si>
    <t>724140TYA.CSV</t>
  </si>
  <si>
    <t>CHARLESTON YEAGER ARPT</t>
  </si>
  <si>
    <t>724170TYA.CSV</t>
  </si>
  <si>
    <t>ELKINS ELKINS-RANDOLPH CO ARP</t>
  </si>
  <si>
    <t>724175TYA.CSV</t>
  </si>
  <si>
    <t>HARRISON MARION RGN</t>
  </si>
  <si>
    <t>724176TYA.CSV</t>
  </si>
  <si>
    <t>MORGANTOWN HART FIELD</t>
  </si>
  <si>
    <t>724177TYA.CSV</t>
  </si>
  <si>
    <t>MARTINSBURG EASTERN WV REG AP</t>
  </si>
  <si>
    <t>724210TYA.CSV</t>
  </si>
  <si>
    <t>CINCINNATI NORTHERN KY AP</t>
  </si>
  <si>
    <t>724220TYA.CSV</t>
  </si>
  <si>
    <t>LEXINGTON BLUEGRASS AP</t>
  </si>
  <si>
    <t>724230TYA.CSV</t>
  </si>
  <si>
    <t>LOUISVILLE STANDIFORD FIELD</t>
  </si>
  <si>
    <t>724235TYA.CSV</t>
  </si>
  <si>
    <t>LOUISVILLE BOWMAN FIELD</t>
  </si>
  <si>
    <t>724236TYA.CSV</t>
  </si>
  <si>
    <t>JACKSON JULIAN CARROLL AP</t>
  </si>
  <si>
    <t>724238TYA.CSV</t>
  </si>
  <si>
    <t>HENDERSON CITY</t>
  </si>
  <si>
    <t>724240TYA.CSV</t>
  </si>
  <si>
    <t>FORT KNOX GODMAN AAF</t>
  </si>
  <si>
    <t>724243TYA.CSV</t>
  </si>
  <si>
    <t>LONDON-CORBIN AP</t>
  </si>
  <si>
    <t>724250TYA.CSV</t>
  </si>
  <si>
    <t>HUNTINGTON TRI-STATE ARPT</t>
  </si>
  <si>
    <t>724273TYA.CSV</t>
  </si>
  <si>
    <t>PARKERSBURG WOOD COUNTY AP</t>
  </si>
  <si>
    <t>724275TYA.CSV</t>
  </si>
  <si>
    <t>WHEELING OHIO COUNTY AP</t>
  </si>
  <si>
    <t>724280TYA.CSV</t>
  </si>
  <si>
    <t>COLUMBUS PORT COLUMBUS INTL A</t>
  </si>
  <si>
    <t>724286TYA.CSV</t>
  </si>
  <si>
    <t>ZANESVILLE MUNICIPAL AP</t>
  </si>
  <si>
    <t>724288TYA.CSV</t>
  </si>
  <si>
    <t>OHIO STATE UNIVERSI</t>
  </si>
  <si>
    <t>724290TYA.CSV</t>
  </si>
  <si>
    <t>DAYTON INTERNATIONAL AIRPORT</t>
  </si>
  <si>
    <t>724297TYA.CSV</t>
  </si>
  <si>
    <t>CINCINNATI MUNICIPAL AP LUNKI</t>
  </si>
  <si>
    <t>724320TYA.CSV</t>
  </si>
  <si>
    <t>EVANSVILLE REGIONAL AP</t>
  </si>
  <si>
    <t>724335TYA.CSV</t>
  </si>
  <si>
    <t>MOUNT VERNON (AWOS)</t>
  </si>
  <si>
    <t>724336TYA.CSV</t>
  </si>
  <si>
    <t>SOUTHERN ILLINOIS</t>
  </si>
  <si>
    <t>724338TYA.CSV</t>
  </si>
  <si>
    <t>BELLEVILLE SCOTT AFB</t>
  </si>
  <si>
    <t>724339TYA.CSV</t>
  </si>
  <si>
    <t>MARION REGIONAL</t>
  </si>
  <si>
    <t>724340TYA.CSV</t>
  </si>
  <si>
    <t>ST LOUIS LAMBERT INT'L ARPT</t>
  </si>
  <si>
    <t>724345TYA.CSV</t>
  </si>
  <si>
    <t>ST LOUIS SPIRIT OF ST LOUIS A</t>
  </si>
  <si>
    <t>724350TYA.CSV</t>
  </si>
  <si>
    <t>PADUCAH BARKLEY REGIONAL AP</t>
  </si>
  <si>
    <t>724354TYA.CSV</t>
  </si>
  <si>
    <t>SOMERSET(AWOS)</t>
  </si>
  <si>
    <t>724365TYA.CSV</t>
  </si>
  <si>
    <t>HUNTINGBURG</t>
  </si>
  <si>
    <t>724373TYA.CSV</t>
  </si>
  <si>
    <t>TERRE HAUTE HULMAN REGIONAL A</t>
  </si>
  <si>
    <t>724375TYA.CSV</t>
  </si>
  <si>
    <t>MONROE CO</t>
  </si>
  <si>
    <t>724380TYA.CSV</t>
  </si>
  <si>
    <t>INDIANAPOLIS INTL AP</t>
  </si>
  <si>
    <t>724386TYA.CSV</t>
  </si>
  <si>
    <t>LAFAYETTE PURDUE UNIV AP</t>
  </si>
  <si>
    <t>724390TYA.CSV</t>
  </si>
  <si>
    <t>SPRINGFIELD CAPITAL AP</t>
  </si>
  <si>
    <t>724396TYA.CSV</t>
  </si>
  <si>
    <t>QUINCY MUNI BALDWIN FLD</t>
  </si>
  <si>
    <t>724397TYA.CSV</t>
  </si>
  <si>
    <t>CENTRAL ILLINOIS RG</t>
  </si>
  <si>
    <t>724400TYA.CSV</t>
  </si>
  <si>
    <t>SPRINGFIELD REGIONAL ARPT</t>
  </si>
  <si>
    <t>724450TYA.CSV</t>
  </si>
  <si>
    <t>COLUMBIA REGIONAL AIRPORT</t>
  </si>
  <si>
    <t>724454TYA.CSV</t>
  </si>
  <si>
    <t>FARMINGTON</t>
  </si>
  <si>
    <t>724455TYA.CSV</t>
  </si>
  <si>
    <t>KIRKSVILLE REGIONAL AP</t>
  </si>
  <si>
    <t>724456TYA.CSV</t>
  </si>
  <si>
    <t>VICHY ROLLA NATL ARPT</t>
  </si>
  <si>
    <t>724457TYA.CSV</t>
  </si>
  <si>
    <t>FT LNRD WD AAF</t>
  </si>
  <si>
    <t>724458TYA.CSV</t>
  </si>
  <si>
    <t>JEFFERSON CITY MEM</t>
  </si>
  <si>
    <t>724459TYA.CSV</t>
  </si>
  <si>
    <t>KAISER MEM (AWOS)</t>
  </si>
  <si>
    <t>724460TYA.CSV</t>
  </si>
  <si>
    <t>KANSAS CITY INT'L ARPT</t>
  </si>
  <si>
    <t>724463TYA.CSV</t>
  </si>
  <si>
    <t>KANSAS CITY DOWNTOWN AP</t>
  </si>
  <si>
    <t>724467TYA.CSV</t>
  </si>
  <si>
    <t>WHITEMAN AFB</t>
  </si>
  <si>
    <t>724468TYA.CSV</t>
  </si>
  <si>
    <t>OLATHE/JOHNSON CO.</t>
  </si>
  <si>
    <t>724475TYA.CSV</t>
  </si>
  <si>
    <t>OLATHE JOHNSON CO INDUSTRIAL</t>
  </si>
  <si>
    <t>724490TYA.CSV</t>
  </si>
  <si>
    <t>ST JOSEPH ROSECRANS MEMORIAL</t>
  </si>
  <si>
    <t>724500TYA.CSV</t>
  </si>
  <si>
    <t>WICHITA MID-CONTINENT AP</t>
  </si>
  <si>
    <t>724504TYA.CSV</t>
  </si>
  <si>
    <t>WICHITA/COL. JABARA</t>
  </si>
  <si>
    <t>724505TYA.CSV</t>
  </si>
  <si>
    <t>MCCONNELL AFB</t>
  </si>
  <si>
    <t>724506TYA.CSV</t>
  </si>
  <si>
    <t>HUTCHINSON MUNICIPAL AP</t>
  </si>
  <si>
    <t>724507TYA.CSV</t>
  </si>
  <si>
    <t>CHANUTE MARTIN JOHNSON AP</t>
  </si>
  <si>
    <t>724509TYA.CSV</t>
  </si>
  <si>
    <t>NEWTON (AWOS)</t>
  </si>
  <si>
    <t>724510TYA.CSV</t>
  </si>
  <si>
    <t>DODGE CITY REGIONAL AP</t>
  </si>
  <si>
    <t>724515TYA.CSV</t>
  </si>
  <si>
    <t>GARDEN CITY MUNICIPAL AP</t>
  </si>
  <si>
    <t>724516TYA.CSV</t>
  </si>
  <si>
    <t>LIBERAL MUNI</t>
  </si>
  <si>
    <t>724517TYA.CSV</t>
  </si>
  <si>
    <t>GREAT BEND (AWOS)</t>
  </si>
  <si>
    <t>724518TYA.CSV</t>
  </si>
  <si>
    <t>HAYS MUNI (AWOS)</t>
  </si>
  <si>
    <t>724550TYA.CSV</t>
  </si>
  <si>
    <t>FORT RILEY MARSHALL AAF</t>
  </si>
  <si>
    <t>724555TYA.CSV</t>
  </si>
  <si>
    <t>MANHATTAN RGNL</t>
  </si>
  <si>
    <t>724556TYA.CSV</t>
  </si>
  <si>
    <t>EMPORIA MUNICIPAL AP</t>
  </si>
  <si>
    <t>724560TYA.CSV</t>
  </si>
  <si>
    <t>TOPEKA MUNICIPAL AP</t>
  </si>
  <si>
    <t>724565TYA.CSV</t>
  </si>
  <si>
    <t>TOPEKA FORBES FIELD</t>
  </si>
  <si>
    <t>724580TYA.CSV</t>
  </si>
  <si>
    <t>CONCORDIA BLOSSER MUNI AP</t>
  </si>
  <si>
    <t>724585TYA.CSV</t>
  </si>
  <si>
    <t>RUSSELL MUNICIPAL AP</t>
  </si>
  <si>
    <t>724586TYA.CSV</t>
  </si>
  <si>
    <t>SALINA MUNICIPAL AP</t>
  </si>
  <si>
    <t>724620TYA.CSV</t>
  </si>
  <si>
    <t>ALAMOSA SAN LUIS VALLEY RGNL</t>
  </si>
  <si>
    <t>724625TYA.CSV</t>
  </si>
  <si>
    <t>DURANGO/LA PLATA CO</t>
  </si>
  <si>
    <t>724635TYA.CSV</t>
  </si>
  <si>
    <t>LA JUNTA MUNICIPAL AP</t>
  </si>
  <si>
    <t>724636TYA.CSV</t>
  </si>
  <si>
    <t>LAMAR MUNICIPAL</t>
  </si>
  <si>
    <t>724640TYA.CSV</t>
  </si>
  <si>
    <t>PUEBLO MEMORIAL AP</t>
  </si>
  <si>
    <t>724645TYA.CSV</t>
  </si>
  <si>
    <t>TRINIDAD LAS ANIMAS COUNTY AP</t>
  </si>
  <si>
    <t>724650TYA.CSV</t>
  </si>
  <si>
    <t>GOODLAND RENNER FIELD</t>
  </si>
  <si>
    <t>724655TYA.CSV</t>
  </si>
  <si>
    <t>HILL CITY MUNICIPAL AP</t>
  </si>
  <si>
    <t>724660TYA.CSV</t>
  </si>
  <si>
    <t>COLORADO SPRINGS MUNI AP</t>
  </si>
  <si>
    <t>724665TYA.CSV</t>
  </si>
  <si>
    <t>LIMON</t>
  </si>
  <si>
    <t>724666TYA.CSV</t>
  </si>
  <si>
    <t>DENVER/CENTENNIAL [GOLDEN - NREL]</t>
  </si>
  <si>
    <t>724673TYA.CSV</t>
  </si>
  <si>
    <t>LEADVILLE/LAKE CO.</t>
  </si>
  <si>
    <t>724675TYA.CSV</t>
  </si>
  <si>
    <t>EAGLE COUNTY AP</t>
  </si>
  <si>
    <t>724676TYA.CSV</t>
  </si>
  <si>
    <t>ASPEN PITKIN CO SAR</t>
  </si>
  <si>
    <t>724677TYA.CSV</t>
  </si>
  <si>
    <t>GUNNISON CO. (AWOS)</t>
  </si>
  <si>
    <t>724695TYA.CSV</t>
  </si>
  <si>
    <t>AURORA BUCKLEY FIELD ANGB</t>
  </si>
  <si>
    <t>724698TYA.CSV</t>
  </si>
  <si>
    <t>AKRON WASHINGTON CO AP</t>
  </si>
  <si>
    <t>724699TYA.CSV</t>
  </si>
  <si>
    <t>BROOMFIELD/JEFFCO [BOULDER - SURFRAD]</t>
  </si>
  <si>
    <t>724723TYA.CSV</t>
  </si>
  <si>
    <t>BLANDING</t>
  </si>
  <si>
    <t>724735TYA.CSV</t>
  </si>
  <si>
    <t>HANKSVILLE</t>
  </si>
  <si>
    <t>724754TYA.CSV</t>
  </si>
  <si>
    <t>SAINT GEORGE (AWOS)</t>
  </si>
  <si>
    <t>724755TYA.CSV</t>
  </si>
  <si>
    <t>CEDAR CITY MUNICIPAL AP</t>
  </si>
  <si>
    <t>724756TYA.CSV</t>
  </si>
  <si>
    <t>BRYCE CNYN FAA AP</t>
  </si>
  <si>
    <t>724760TYA.CSV</t>
  </si>
  <si>
    <t>GRAND JUNCTION WALKER FIELD</t>
  </si>
  <si>
    <t>724765TYA.CSV</t>
  </si>
  <si>
    <t>MONTROSE CO. ARPT</t>
  </si>
  <si>
    <t>724767TYA.CSV</t>
  </si>
  <si>
    <t>CORTEZ/MONTEZUMA CO</t>
  </si>
  <si>
    <t>724768TYA.CSV</t>
  </si>
  <si>
    <t>GREELEY/WELD (AWOS)</t>
  </si>
  <si>
    <t>724769TYA.CSV</t>
  </si>
  <si>
    <t>FORT COLLINS (AWOS)</t>
  </si>
  <si>
    <t>724776TYA.CSV</t>
  </si>
  <si>
    <t>MOAB/CANYONLANDS [UO]</t>
  </si>
  <si>
    <t>724795TYA.CSV</t>
  </si>
  <si>
    <t>DELTA</t>
  </si>
  <si>
    <t>724800TYA.CSV</t>
  </si>
  <si>
    <t>BISHOP AIRPORT</t>
  </si>
  <si>
    <t>724815TYA.CSV</t>
  </si>
  <si>
    <t>MERCED/MACREADY FLD</t>
  </si>
  <si>
    <t>724830TYA.CSV</t>
  </si>
  <si>
    <t>SACRAMENTO EXECUTIVE ARPT</t>
  </si>
  <si>
    <t>724837TYA.CSV</t>
  </si>
  <si>
    <t>BEALE AFB</t>
  </si>
  <si>
    <t>724838TYA.CSV</t>
  </si>
  <si>
    <t>YUBA CO</t>
  </si>
  <si>
    <t>724839TYA.CSV</t>
  </si>
  <si>
    <t>SACRAMENTO METROPOLITAN AP</t>
  </si>
  <si>
    <t>724855TYA.CSV</t>
  </si>
  <si>
    <t>TONOPAH AIRPORT</t>
  </si>
  <si>
    <t>724860TYA.CSV</t>
  </si>
  <si>
    <t>ELY YELLAND FIELD</t>
  </si>
  <si>
    <t>724880TYA.CSV</t>
  </si>
  <si>
    <t>RENO TAHOE INTERNATIONAL AP</t>
  </si>
  <si>
    <t>724885TYA.CSV</t>
  </si>
  <si>
    <t>FALLON NAAS</t>
  </si>
  <si>
    <t>724915TYA.CSV</t>
  </si>
  <si>
    <t>MONTEREY NAF</t>
  </si>
  <si>
    <t>724917TYA.CSV</t>
  </si>
  <si>
    <t>SALINAS MUNICIPAL AP</t>
  </si>
  <si>
    <t>724920TYA.CSV</t>
  </si>
  <si>
    <t>STOCKTON METROPOLITAN ARPT</t>
  </si>
  <si>
    <t>724926TYA.CSV</t>
  </si>
  <si>
    <t>MODESTO CITY-COUNTY AP</t>
  </si>
  <si>
    <t>724927TYA.CSV</t>
  </si>
  <si>
    <t>LIVERMORE MUNICIPAL</t>
  </si>
  <si>
    <t>724930TYA.CSV</t>
  </si>
  <si>
    <t>OAKLAND METROPOLITAN ARPT</t>
  </si>
  <si>
    <t>724935TYA.CSV</t>
  </si>
  <si>
    <t>HAYWARD AIR TERM</t>
  </si>
  <si>
    <t>724936TYA.CSV</t>
  </si>
  <si>
    <t>CONCORD CONCORD-BUCHANAN FIEL</t>
  </si>
  <si>
    <t>724940TYA.CSV</t>
  </si>
  <si>
    <t>SAN FRANCISCO INTL AP</t>
  </si>
  <si>
    <t>724945TYA.CSV</t>
  </si>
  <si>
    <t>SAN JOSE INTL AP</t>
  </si>
  <si>
    <t>724955TYA.CSV</t>
  </si>
  <si>
    <t>NAPA CO. AIRPORT</t>
  </si>
  <si>
    <t>724957TYA.CSV</t>
  </si>
  <si>
    <t>SANTA ROSA (AWOS)</t>
  </si>
  <si>
    <t>725020TYA.CSV</t>
  </si>
  <si>
    <t>NEWARK INTERNATIONAL ARPT</t>
  </si>
  <si>
    <t>725025TYA.CSV</t>
  </si>
  <si>
    <t>TETERBORO AIRPORT</t>
  </si>
  <si>
    <t>725029TYA.CSV</t>
  </si>
  <si>
    <t>OXFORD (AWOS)</t>
  </si>
  <si>
    <t>725030TYA.CSV</t>
  </si>
  <si>
    <t>NEW YORK LAGUARDIA ARPT</t>
  </si>
  <si>
    <t>725033TYA.CSV</t>
  </si>
  <si>
    <t>NEW YORK CENTRAL PRK OBS BELV</t>
  </si>
  <si>
    <t>725035TYA.CSV</t>
  </si>
  <si>
    <t>ISLIP LONG ISL MACARTHUR AP</t>
  </si>
  <si>
    <t>725036TYA.CSV</t>
  </si>
  <si>
    <t>POUGHKEEPSIE DUTCHESS CO AP</t>
  </si>
  <si>
    <t>725037TYA.CSV</t>
  </si>
  <si>
    <t>WHITE PLAINS WESTCHESTER CO A</t>
  </si>
  <si>
    <t>725038TYA.CSV</t>
  </si>
  <si>
    <t>STEWART FIELD</t>
  </si>
  <si>
    <t>725040TYA.CSV</t>
  </si>
  <si>
    <t>BRIDGEPORT SIKORSKY MEMORIAL</t>
  </si>
  <si>
    <t>725045TYA.CSV</t>
  </si>
  <si>
    <t>NEW HAVEN TWEED AIRPORT</t>
  </si>
  <si>
    <t>725046TYA.CSV</t>
  </si>
  <si>
    <t>GROTON NEW LONDON AP</t>
  </si>
  <si>
    <t>725054TYA.CSV</t>
  </si>
  <si>
    <t>PAWTUCKET (AWOS)</t>
  </si>
  <si>
    <t>725058TYA.CSV</t>
  </si>
  <si>
    <t>BLOCK ISLAND STATE ARPT</t>
  </si>
  <si>
    <t>725060TYA.CSV</t>
  </si>
  <si>
    <t>OTIS ANGB</t>
  </si>
  <si>
    <t>725063TYA.CSV</t>
  </si>
  <si>
    <t>NANTUCKET MEMORIAL AP</t>
  </si>
  <si>
    <t>725064TYA.CSV</t>
  </si>
  <si>
    <t>PLYMOUTH MUNICIPAL</t>
  </si>
  <si>
    <t>725065TYA.CSV</t>
  </si>
  <si>
    <t>NEW BEDFORD RGNL</t>
  </si>
  <si>
    <t>725066TYA.CSV</t>
  </si>
  <si>
    <t>MARTHAS VINEYARD</t>
  </si>
  <si>
    <t>725067TYA.CSV</t>
  </si>
  <si>
    <t>BARNSTABLE MUNI BOA</t>
  </si>
  <si>
    <t>725070TYA.CSV</t>
  </si>
  <si>
    <t>PROVIDENCE T F GREEN STATE AR</t>
  </si>
  <si>
    <t>725073TYA.CSV</t>
  </si>
  <si>
    <t>PROVINCETOWN (AWOS)</t>
  </si>
  <si>
    <t>725075TYA.CSV</t>
  </si>
  <si>
    <t>NORTH ADAMS</t>
  </si>
  <si>
    <t>725080TYA.CSV</t>
  </si>
  <si>
    <t>HARTFORD BRADLEY INTL AP</t>
  </si>
  <si>
    <t>725086TYA.CSV</t>
  </si>
  <si>
    <t>DANBURY MUNICIPAL</t>
  </si>
  <si>
    <t>725087TYA.CSV</t>
  </si>
  <si>
    <t>HARTFORD BRAINARD FD</t>
  </si>
  <si>
    <t>725088TYA.CSV</t>
  </si>
  <si>
    <t>BEVERLY MUNI</t>
  </si>
  <si>
    <t>725090TYA.CSV</t>
  </si>
  <si>
    <t>BOSTON LOGAN INT'L ARPT</t>
  </si>
  <si>
    <t>725095TYA.CSV</t>
  </si>
  <si>
    <t>WORCHESTER REGIONAL ARPT</t>
  </si>
  <si>
    <t>725098TYA.CSV</t>
  </si>
  <si>
    <t>NORWOOD MEMORIAL</t>
  </si>
  <si>
    <t>725103TYA.CSV</t>
  </si>
  <si>
    <t>READING SPAATZ FIELD</t>
  </si>
  <si>
    <t>725115TYA.CSV</t>
  </si>
  <si>
    <t>MIDDLETOWN HARRISBURG INTL AP</t>
  </si>
  <si>
    <t>725116TYA.CSV</t>
  </si>
  <si>
    <t>LANCASTER</t>
  </si>
  <si>
    <t>725117TYA.CSV</t>
  </si>
  <si>
    <t>WASHINGTON (AWOS)</t>
  </si>
  <si>
    <t>725118TYA.CSV</t>
  </si>
  <si>
    <t>HARRISBURG CAPITAL CITY ARPT</t>
  </si>
  <si>
    <t>725124TYA.CSV</t>
  </si>
  <si>
    <t>BUTLER CO. (AWOS)</t>
  </si>
  <si>
    <t>725125TYA.CSV</t>
  </si>
  <si>
    <t>DUBOIS FAA AP</t>
  </si>
  <si>
    <t>725126TYA.CSV</t>
  </si>
  <si>
    <t>ALTOONA BLAIR CO ARPT</t>
  </si>
  <si>
    <t>725127TYA.CSV</t>
  </si>
  <si>
    <t>JOHNSTOWN CAMBRIA COUNTY AP</t>
  </si>
  <si>
    <t>725128TYA.CSV</t>
  </si>
  <si>
    <t>STATE COLLEGE [PENN STATE - SURFRAD]</t>
  </si>
  <si>
    <t>725130TYA.CSV</t>
  </si>
  <si>
    <t>WILKES-BARRE SCRANTON INTL AP</t>
  </si>
  <si>
    <t>725140TYA.CSV</t>
  </si>
  <si>
    <t>WILLIAMSPORT REGIONAL AP</t>
  </si>
  <si>
    <t>725145TYA.CSV</t>
  </si>
  <si>
    <t>MONTICELLO(AWOS)</t>
  </si>
  <si>
    <t>725150TYA.CSV</t>
  </si>
  <si>
    <t>BINGHAMTON EDWIN A LINK FIELD</t>
  </si>
  <si>
    <t>725156TYA.CSV</t>
  </si>
  <si>
    <t>ELMIRA CORNING REGIONAL AP</t>
  </si>
  <si>
    <t>725165TYA.CSV</t>
  </si>
  <si>
    <t>RUTLAND STATE</t>
  </si>
  <si>
    <t>725170TYA.CSV</t>
  </si>
  <si>
    <t>ALLENTOWN LEHIGH VALLEY INTL</t>
  </si>
  <si>
    <t>725180TYA.CSV</t>
  </si>
  <si>
    <t>ALBANY COUNTY AP</t>
  </si>
  <si>
    <t>725185TYA.CSV</t>
  </si>
  <si>
    <t>GLENS FALLS AP</t>
  </si>
  <si>
    <t>725190TYA.CSV</t>
  </si>
  <si>
    <t>SYRACUSE HANCOCK INT'L ARPT</t>
  </si>
  <si>
    <t>725197TYA.CSV</t>
  </si>
  <si>
    <t>UTICA ONEIDA COUNTY AP</t>
  </si>
  <si>
    <t>725200TYA.CSV</t>
  </si>
  <si>
    <t>PITTSBURGH INTERNATIONAL AP</t>
  </si>
  <si>
    <t>725205TYA.CSV</t>
  </si>
  <si>
    <t>PITTSBURGH ALLEGHENY CO AP</t>
  </si>
  <si>
    <t>725210TYA.CSV</t>
  </si>
  <si>
    <t>AKRON AKRON-CANTON REG AP</t>
  </si>
  <si>
    <t>725235TYA.CSV</t>
  </si>
  <si>
    <t>JAMESTOWN (AWOS)</t>
  </si>
  <si>
    <t>725240TYA.CSV</t>
  </si>
  <si>
    <t>CLEVELAND HOPKINS INTL AP</t>
  </si>
  <si>
    <t>725245TYA.CSV</t>
  </si>
  <si>
    <t>BURKE LAKEFRONT</t>
  </si>
  <si>
    <t>725246TYA.CSV</t>
  </si>
  <si>
    <t>MANSFIELD LAHM MUNICIPAL ARPT</t>
  </si>
  <si>
    <t>725250TYA.CSV</t>
  </si>
  <si>
    <t>YOUNGSTOWN REGIONAL AIRPORT</t>
  </si>
  <si>
    <t>725260TYA.CSV</t>
  </si>
  <si>
    <t>ERIE INTERNATIONAL AP</t>
  </si>
  <si>
    <t>725266TYA.CSV</t>
  </si>
  <si>
    <t>BRADFORD REGIONAL AP</t>
  </si>
  <si>
    <t>725267TYA.CSV</t>
  </si>
  <si>
    <t>FRANKLIN</t>
  </si>
  <si>
    <t>725280TYA.CSV</t>
  </si>
  <si>
    <t>BUFFALO NIAGARA INTL AP</t>
  </si>
  <si>
    <t>725287TYA.CSV</t>
  </si>
  <si>
    <t>NIAGARA FALLS AF</t>
  </si>
  <si>
    <t>725290TYA.CSV</t>
  </si>
  <si>
    <t>ROCHESTER GREATER ROCHESTER I</t>
  </si>
  <si>
    <t>725300TYA.CSV</t>
  </si>
  <si>
    <t>CHICAGO OHARE INTL AP</t>
  </si>
  <si>
    <t>725305TYA.CSV</t>
  </si>
  <si>
    <t>W. CHICAGO/DU PAGE</t>
  </si>
  <si>
    <t>725314TYA.CSV</t>
  </si>
  <si>
    <t>CAHOKIA/ST. LOUIS</t>
  </si>
  <si>
    <t>725315TYA.CSV</t>
  </si>
  <si>
    <t>UNIV OF ILLINOIS WI [BONDVILLE - SURFRAD]</t>
  </si>
  <si>
    <t>725316TYA.CSV</t>
  </si>
  <si>
    <t>DECATUR</t>
  </si>
  <si>
    <t>725320TYA.CSV</t>
  </si>
  <si>
    <t>PEORIA GREATER PEORIA AP</t>
  </si>
  <si>
    <t>725326TYA.CSV</t>
  </si>
  <si>
    <t>STERLING ROCKFALLS</t>
  </si>
  <si>
    <t>725330TYA.CSV</t>
  </si>
  <si>
    <t>FORT WAYNE INTL AP</t>
  </si>
  <si>
    <t>725335TYA.CSV</t>
  </si>
  <si>
    <t>GRISSOM ARB</t>
  </si>
  <si>
    <t>725336TYA.CSV</t>
  </si>
  <si>
    <t>DELAWARE CO JOHNSON</t>
  </si>
  <si>
    <t>725340TYA.CSV</t>
  </si>
  <si>
    <t>CHICAGO MIDWAY AP</t>
  </si>
  <si>
    <t>725347TYA.CSV</t>
  </si>
  <si>
    <t>CHICAGO/WAUKEGAN</t>
  </si>
  <si>
    <t>725350TYA.CSV</t>
  </si>
  <si>
    <t>SOUTH BEND MICHIANA RGNL AP</t>
  </si>
  <si>
    <t>725360TYA.CSV</t>
  </si>
  <si>
    <t>TOLEDO EXPRESS AIRPORT</t>
  </si>
  <si>
    <t>725366TYA.CSV</t>
  </si>
  <si>
    <t>FINDLAY AIRPORT</t>
  </si>
  <si>
    <t>725370TYA.CSV</t>
  </si>
  <si>
    <t>DETROIT METROPOLITAN ARPT</t>
  </si>
  <si>
    <t>725374TYA.CSV</t>
  </si>
  <si>
    <t>ANN ARBOR MUNICIPAL</t>
  </si>
  <si>
    <t>725375TYA.CSV</t>
  </si>
  <si>
    <t>DETROIT CITY AIRPORT</t>
  </si>
  <si>
    <t>725376TYA.CSV</t>
  </si>
  <si>
    <t>DETROIT WILLOW RUN AP</t>
  </si>
  <si>
    <t>725377TYA.CSV</t>
  </si>
  <si>
    <t>MOUNT CLEMENS SELFRIDGE FLD</t>
  </si>
  <si>
    <t>725378TYA.CSV</t>
  </si>
  <si>
    <t>HOWELL</t>
  </si>
  <si>
    <t>725384TYA.CSV</t>
  </si>
  <si>
    <t>ST.CLAIR COUNTY INT</t>
  </si>
  <si>
    <t>725390TYA.CSV</t>
  </si>
  <si>
    <t>LANSING CAPITAL CITY ARPT</t>
  </si>
  <si>
    <t>725395TYA.CSV</t>
  </si>
  <si>
    <t>JACKSON REYNOLDS FIELD</t>
  </si>
  <si>
    <t>725396TYA.CSV</t>
  </si>
  <si>
    <t>BATTLE CREEK KELLOGG AP</t>
  </si>
  <si>
    <t>725430TYA.CSV</t>
  </si>
  <si>
    <t>ROCKFORD GREATER ROCKFORD AP</t>
  </si>
  <si>
    <t>725440TYA.CSV</t>
  </si>
  <si>
    <t>MOLINE QUAD CITY INTL AP</t>
  </si>
  <si>
    <t>725450TYA.CSV</t>
  </si>
  <si>
    <t>CEDAR RAPIDS MUNICIPAL AP</t>
  </si>
  <si>
    <t>725453TYA.CSV</t>
  </si>
  <si>
    <t>ATLANTIC</t>
  </si>
  <si>
    <t>725454TYA.CSV</t>
  </si>
  <si>
    <t>WASHINGTON</t>
  </si>
  <si>
    <t>725455TYA.CSV</t>
  </si>
  <si>
    <t>BURLINGTON MUNICIPAL AP</t>
  </si>
  <si>
    <t>725456TYA.CSV</t>
  </si>
  <si>
    <t>KEOKUK MUNI</t>
  </si>
  <si>
    <t>725457TYA.CSV</t>
  </si>
  <si>
    <t>ALGONA</t>
  </si>
  <si>
    <t>725460TYA.CSV</t>
  </si>
  <si>
    <t>DES MOINES INTL AP</t>
  </si>
  <si>
    <t>725463TYA.CSV</t>
  </si>
  <si>
    <t>CHARLES CITY</t>
  </si>
  <si>
    <t>725464TYA.CSV</t>
  </si>
  <si>
    <t>NEWTON MUNI</t>
  </si>
  <si>
    <t>725465TYA.CSV</t>
  </si>
  <si>
    <t>OTTUMWA INDUSTRIAL AP</t>
  </si>
  <si>
    <t>725467TYA.CSV</t>
  </si>
  <si>
    <t>SHENANDOAH MUNI</t>
  </si>
  <si>
    <t>725468TYA.CSV</t>
  </si>
  <si>
    <t>CARROLL</t>
  </si>
  <si>
    <t>725469TYA.CSV</t>
  </si>
  <si>
    <t>CHARITON</t>
  </si>
  <si>
    <t>725470TYA.CSV</t>
  </si>
  <si>
    <t>DUBUQUE REGIONAL AP</t>
  </si>
  <si>
    <t>725473TYA.CSV</t>
  </si>
  <si>
    <t>CLINTON MUNI (AWOS)</t>
  </si>
  <si>
    <t>725474TYA.CSV</t>
  </si>
  <si>
    <t>CRESTON</t>
  </si>
  <si>
    <t>725475TYA.CSV</t>
  </si>
  <si>
    <t>MONTICELLO MUNI</t>
  </si>
  <si>
    <t>725476TYA.CSV</t>
  </si>
  <si>
    <t>DECORAH</t>
  </si>
  <si>
    <t>725477TYA.CSV</t>
  </si>
  <si>
    <t>DENISON</t>
  </si>
  <si>
    <t>725478TYA.CSV</t>
  </si>
  <si>
    <t>WEBSTER CITY</t>
  </si>
  <si>
    <t>725479TYA.CSV</t>
  </si>
  <si>
    <t>CLARINDA</t>
  </si>
  <si>
    <t>725480TYA.CSV</t>
  </si>
  <si>
    <t>WATERLOO MUNICIPAL AP</t>
  </si>
  <si>
    <t>725483TYA.CSV</t>
  </si>
  <si>
    <t>FORT MADISON</t>
  </si>
  <si>
    <t>725484TYA.CSV</t>
  </si>
  <si>
    <t>LE MARS</t>
  </si>
  <si>
    <t>725485TYA.CSV</t>
  </si>
  <si>
    <t>MASON CITY MUNICIPAL ARPT</t>
  </si>
  <si>
    <t>725486TYA.CSV</t>
  </si>
  <si>
    <t>BOONE MUNI</t>
  </si>
  <si>
    <t>725487TYA.CSV</t>
  </si>
  <si>
    <t>MUSCATINE</t>
  </si>
  <si>
    <t>725488TYA.CSV</t>
  </si>
  <si>
    <t>OELWEN</t>
  </si>
  <si>
    <t>725489TYA.CSV</t>
  </si>
  <si>
    <t>ORANGE CITY</t>
  </si>
  <si>
    <t>725490TYA.CSV</t>
  </si>
  <si>
    <t>FORT DODGE (AWOS)</t>
  </si>
  <si>
    <t>725493TYA.CSV</t>
  </si>
  <si>
    <t>KNOXVILLE</t>
  </si>
  <si>
    <t>725494TYA.CSV</t>
  </si>
  <si>
    <t>RED OAK</t>
  </si>
  <si>
    <t>725495TYA.CSV</t>
  </si>
  <si>
    <t>SHELDON</t>
  </si>
  <si>
    <t>725496TYA.CSV</t>
  </si>
  <si>
    <t>STORM LAKE</t>
  </si>
  <si>
    <t>725497TYA.CSV</t>
  </si>
  <si>
    <t>COUNCIL BLUFFS</t>
  </si>
  <si>
    <t>725500TYA.CSV</t>
  </si>
  <si>
    <t>OMAHA EPPLEY AIRFIELD</t>
  </si>
  <si>
    <t>725510TYA.CSV</t>
  </si>
  <si>
    <t>LINCOLN MUNICIPAL ARPT</t>
  </si>
  <si>
    <t>725515TYA.CSV</t>
  </si>
  <si>
    <t>BEATRICE MUNICIPAL</t>
  </si>
  <si>
    <t>725520TYA.CSV</t>
  </si>
  <si>
    <t>GRAND ISLAND CENTRAL NE REGIO</t>
  </si>
  <si>
    <t>725524TYA.CSV</t>
  </si>
  <si>
    <t>ORD/SHARP FIELD</t>
  </si>
  <si>
    <t>725525TYA.CSV</t>
  </si>
  <si>
    <t>HASTINGS MUNICIPAL</t>
  </si>
  <si>
    <t>725526TYA.CSV</t>
  </si>
  <si>
    <t>KEARNEY MUNI (AWOS)</t>
  </si>
  <si>
    <t>725527TYA.CSV</t>
  </si>
  <si>
    <t>TEKAMAH (ASOS)</t>
  </si>
  <si>
    <t>725530TYA.CSV</t>
  </si>
  <si>
    <t>OMAHA WSFO</t>
  </si>
  <si>
    <t>725533TYA.CSV</t>
  </si>
  <si>
    <t>FALLS CITY/BRENNER</t>
  </si>
  <si>
    <t>725540TYA.CSV</t>
  </si>
  <si>
    <t>BELLEVUE OFFUTT AFB</t>
  </si>
  <si>
    <t>725555TYA.CSV</t>
  </si>
  <si>
    <t>BROKEN BOW MUNI</t>
  </si>
  <si>
    <t>725556TYA.CSV</t>
  </si>
  <si>
    <t>AINSWORTH MUNICIPAL</t>
  </si>
  <si>
    <t>725560TYA.CSV</t>
  </si>
  <si>
    <t>NORFOLK KARL STEFAN MEM ARPT</t>
  </si>
  <si>
    <t>725564TYA.CSV</t>
  </si>
  <si>
    <t>FREMONT MUNI ARPT</t>
  </si>
  <si>
    <t>725565TYA.CSV</t>
  </si>
  <si>
    <t>COLUMBUS MUNI</t>
  </si>
  <si>
    <t>725566TYA.CSV</t>
  </si>
  <si>
    <t>O`NEILL/BAKER FIELD</t>
  </si>
  <si>
    <t>725570TYA.CSV</t>
  </si>
  <si>
    <t>SIOUX CITY SIOUX GATEWAY AP</t>
  </si>
  <si>
    <t>725610TYA.CSV</t>
  </si>
  <si>
    <t>SIDNEY MUNICIPAL AP</t>
  </si>
  <si>
    <t>725620TYA.CSV</t>
  </si>
  <si>
    <t>NORTH PLATTE REGIONAL AP</t>
  </si>
  <si>
    <t>725625TYA.CSV</t>
  </si>
  <si>
    <t>MCCOOK MUNICIPAL</t>
  </si>
  <si>
    <t>725626TYA.CSV</t>
  </si>
  <si>
    <t>IMPERIAL FAA AP</t>
  </si>
  <si>
    <t>725628TYA.CSV</t>
  </si>
  <si>
    <t>BREWSTER FIELD ARPT</t>
  </si>
  <si>
    <t>725635TYA.CSV</t>
  </si>
  <si>
    <t>ALLIANCE MUNICIPAL</t>
  </si>
  <si>
    <t>725636TYA.CSV</t>
  </si>
  <si>
    <t>CHADRON MUNICIPAL AP</t>
  </si>
  <si>
    <t>725640TYA.CSV</t>
  </si>
  <si>
    <t>CHEYENNE MUNICIPAL ARPT</t>
  </si>
  <si>
    <t>725645TYA.CSV</t>
  </si>
  <si>
    <t>LARAMIE GENERAL BREES FIELD</t>
  </si>
  <si>
    <t>725650TYA.CSV</t>
  </si>
  <si>
    <t>DENVER INTL AP</t>
  </si>
  <si>
    <t>725660TYA.CSV</t>
  </si>
  <si>
    <t>SCOTTSBLUFF W B HEILIG FIELD</t>
  </si>
  <si>
    <t>725670TYA.CSV</t>
  </si>
  <si>
    <t>VALENTINE MILLER FIELD</t>
  </si>
  <si>
    <t>725690TYA.CSV</t>
  </si>
  <si>
    <t>CASPER NATRONA CO INTL AP</t>
  </si>
  <si>
    <t>725700TYA.CSV</t>
  </si>
  <si>
    <t>CRAIG-MOFFAT</t>
  </si>
  <si>
    <t>725705TYA.CSV</t>
  </si>
  <si>
    <t>VERNAL</t>
  </si>
  <si>
    <t>725715TYA.CSV</t>
  </si>
  <si>
    <t>HAYDEN/YAMPA (AWOS)</t>
  </si>
  <si>
    <t>725717TYA.CSV</t>
  </si>
  <si>
    <t>RIFLE/GARFIELD RGNL</t>
  </si>
  <si>
    <t>725720TYA.CSV</t>
  </si>
  <si>
    <t>SALT LAKE CITY INT'L ARPT [ISIS]</t>
  </si>
  <si>
    <t>725724TYA.CSV</t>
  </si>
  <si>
    <t>PROVO MUNI (AWOS)</t>
  </si>
  <si>
    <t>725744TYA.CSV</t>
  </si>
  <si>
    <t>ROCK SPRINGS ARPT [GREEN RIVER - UO]</t>
  </si>
  <si>
    <t>725745TYA.CSV</t>
  </si>
  <si>
    <t>RAWLINS MUNICIPAL AP</t>
  </si>
  <si>
    <t>725750TYA.CSV</t>
  </si>
  <si>
    <t>OGDEN HINKLEY AIRPORT</t>
  </si>
  <si>
    <t>725755TYA.CSV</t>
  </si>
  <si>
    <t>OGDEN HILL AFB</t>
  </si>
  <si>
    <t>725760TYA.CSV</t>
  </si>
  <si>
    <t>LANDER HUNT FIELD</t>
  </si>
  <si>
    <t>725765TYA.CSV</t>
  </si>
  <si>
    <t>RIVERTON MUNICIPL AP</t>
  </si>
  <si>
    <t>725775TYA.CSV</t>
  </si>
  <si>
    <t>EVANSTON/BURNS FLD</t>
  </si>
  <si>
    <t>725776TYA.CSV</t>
  </si>
  <si>
    <t>JACKSON HOLE</t>
  </si>
  <si>
    <t>725780TYA.CSV</t>
  </si>
  <si>
    <t>POCATELLO REGIONAL AP</t>
  </si>
  <si>
    <t>725785TYA.CSV</t>
  </si>
  <si>
    <t>IDAHO FALLS FANNING FIELD</t>
  </si>
  <si>
    <t>725786TYA.CSV</t>
  </si>
  <si>
    <t>MALAD CITY</t>
  </si>
  <si>
    <t>725805TYA.CSV</t>
  </si>
  <si>
    <t>LOVELOCK DERBY FIELD</t>
  </si>
  <si>
    <t>725810TYA.CSV</t>
  </si>
  <si>
    <t>WENDOVER USAF AUXILIARY FIELD</t>
  </si>
  <si>
    <t>725825TYA.CSV</t>
  </si>
  <si>
    <t>ELKO MUNICIPAL ARPT</t>
  </si>
  <si>
    <t>725830TYA.CSV</t>
  </si>
  <si>
    <t>WINNEMUCCA MUNICIPAL ARPT</t>
  </si>
  <si>
    <t>725845TYA.CSV</t>
  </si>
  <si>
    <t>BLUE CANYON AP</t>
  </si>
  <si>
    <t>725846TYA.CSV</t>
  </si>
  <si>
    <t>TRUCKEE-TAHOE</t>
  </si>
  <si>
    <t>725847TYA.CSV</t>
  </si>
  <si>
    <t>SOUTH LAKE TAHOE</t>
  </si>
  <si>
    <t>725865TYA.CSV</t>
  </si>
  <si>
    <t>HAILEY/FRIEDMAN MEM</t>
  </si>
  <si>
    <t>725866TYA.CSV</t>
  </si>
  <si>
    <t>JOSLIN FLD MAGIC VA [TWIN FALLS - UO]</t>
  </si>
  <si>
    <t>725867TYA.CSV</t>
  </si>
  <si>
    <t>BURLEY MUNICIPAL ARPT</t>
  </si>
  <si>
    <t>725868TYA.CSV</t>
  </si>
  <si>
    <t>SODA SPRINGS/TIGERT</t>
  </si>
  <si>
    <t>725895TYA.CSV</t>
  </si>
  <si>
    <t>KLAMATH FALLS INTL AP [UO]</t>
  </si>
  <si>
    <t>725905TYA.CSV</t>
  </si>
  <si>
    <t>UKIAH MUNICIPAL AP</t>
  </si>
  <si>
    <t>725910TYA.CSV</t>
  </si>
  <si>
    <t>RED BLUFF MUNICIPAL ARPT</t>
  </si>
  <si>
    <t>725920TYA.CSV</t>
  </si>
  <si>
    <t>REDDING MUNICIPAL ARPT</t>
  </si>
  <si>
    <t>725945TYA.CSV</t>
  </si>
  <si>
    <t>ARCATA AIRPORT</t>
  </si>
  <si>
    <t>725946TYA.CSV</t>
  </si>
  <si>
    <t>CRESCENT CITY FAA AI</t>
  </si>
  <si>
    <t>725955TYA.CSV</t>
  </si>
  <si>
    <t>MONTAGUE SISKIYOU COUNTY AP</t>
  </si>
  <si>
    <t>725958TYA.CSV</t>
  </si>
  <si>
    <t>ALTURAS</t>
  </si>
  <si>
    <t>725970TYA.CSV</t>
  </si>
  <si>
    <t>MEDFORD ROGUE VALLEY INTL AP [ASHLAND - UO]</t>
  </si>
  <si>
    <t>725975TYA.CSV</t>
  </si>
  <si>
    <t>SEXTON SUMMIT</t>
  </si>
  <si>
    <t>725976TYA.CSV</t>
  </si>
  <si>
    <t>LAKEVIEW (AWOS)</t>
  </si>
  <si>
    <t>726050TYA.CSV</t>
  </si>
  <si>
    <t>CONCORD MUNICIPAL ARPT</t>
  </si>
  <si>
    <t>726055TYA.CSV</t>
  </si>
  <si>
    <t>PEASE INTL TRADEPOR</t>
  </si>
  <si>
    <t>726060TYA.CSV</t>
  </si>
  <si>
    <t>PORTLAND INTL JETPORT</t>
  </si>
  <si>
    <t>726064TYA.CSV</t>
  </si>
  <si>
    <t>SANFORD MUNI (AWOS)</t>
  </si>
  <si>
    <t>726073TYA.CSV</t>
  </si>
  <si>
    <t>WATERVILLE (AWOS)</t>
  </si>
  <si>
    <t>726077TYA.CSV</t>
  </si>
  <si>
    <t>BAR HARBOR (AWOS)</t>
  </si>
  <si>
    <t>726079TYA.CSV</t>
  </si>
  <si>
    <t>ROCKLAND/KNOX(AWOS)</t>
  </si>
  <si>
    <t>726083TYA.CSV</t>
  </si>
  <si>
    <t>NORTHERN AROOSTOOK</t>
  </si>
  <si>
    <t>726088TYA.CSV</t>
  </si>
  <si>
    <t>BANGOR INTERNATIONAL AP</t>
  </si>
  <si>
    <t>726115TYA.CSV</t>
  </si>
  <si>
    <t>SPRINGFIELD/HARTNES</t>
  </si>
  <si>
    <t>726116TYA.CSV</t>
  </si>
  <si>
    <t>LEBANON MUNICIPAL</t>
  </si>
  <si>
    <t>726130TYA.CSV</t>
  </si>
  <si>
    <t>MOUNT WASHINGTON</t>
  </si>
  <si>
    <t>726145TYA.CSV</t>
  </si>
  <si>
    <t>MONTPELIER AP</t>
  </si>
  <si>
    <t>726155TYA.CSV</t>
  </si>
  <si>
    <t>LACONIA MUNI (AWOS)</t>
  </si>
  <si>
    <t>726160TYA.CSV</t>
  </si>
  <si>
    <t>BERLIN MUNICIPAL</t>
  </si>
  <si>
    <t>726165TYA.CSV</t>
  </si>
  <si>
    <t>DILLANT HOPKINS</t>
  </si>
  <si>
    <t>726170TYA.CSV</t>
  </si>
  <si>
    <t>BURLINGTON INTERNATIONAL AP</t>
  </si>
  <si>
    <t>726184TYA.CSV</t>
  </si>
  <si>
    <t>AUBURN-LEWISTON</t>
  </si>
  <si>
    <t>726185TYA.CSV</t>
  </si>
  <si>
    <t>AUGUSTA AIRPORT</t>
  </si>
  <si>
    <t>726196TYA.CSV</t>
  </si>
  <si>
    <t>MILLINOCKET MUNICIPAL AP</t>
  </si>
  <si>
    <t>726223TYA.CSV</t>
  </si>
  <si>
    <t>MASSENA AP</t>
  </si>
  <si>
    <t>726227TYA.CSV</t>
  </si>
  <si>
    <t>WATERTOWN AP</t>
  </si>
  <si>
    <t>726228TYA.CSV</t>
  </si>
  <si>
    <t>ADIRONDACK RGNL</t>
  </si>
  <si>
    <t>726350TYA.CSV</t>
  </si>
  <si>
    <t>GRAND RAPIDS KENT COUNTY INT'</t>
  </si>
  <si>
    <t>726355TYA.CSV</t>
  </si>
  <si>
    <t>BENTON HARBOR/ROSS</t>
  </si>
  <si>
    <t>726357TYA.CSV</t>
  </si>
  <si>
    <t>KALAMAZOO BATTLE CR</t>
  </si>
  <si>
    <t>726360TYA.CSV</t>
  </si>
  <si>
    <t>MUSKEGON COUNTY ARPT</t>
  </si>
  <si>
    <t>726370TYA.CSV</t>
  </si>
  <si>
    <t>FLINT BISHOP INTL ARPT</t>
  </si>
  <si>
    <t>726375TYA.CSV</t>
  </si>
  <si>
    <t>OAKLAND CO INTL</t>
  </si>
  <si>
    <t>726379TYA.CSV</t>
  </si>
  <si>
    <t>SAGINAW TRI CITY INTL AP</t>
  </si>
  <si>
    <t>726380TYA.CSV</t>
  </si>
  <si>
    <t>HOUGHTON LAKE ROSCOMMON CO AR</t>
  </si>
  <si>
    <t>726384TYA.CSV</t>
  </si>
  <si>
    <t>CADILLAC WEXFORD CO AP</t>
  </si>
  <si>
    <t>726385TYA.CSV</t>
  </si>
  <si>
    <t>MANISTEE (AWOS)</t>
  </si>
  <si>
    <t>726387TYA.CSV</t>
  </si>
  <si>
    <t>TRAVERSE CITY CHERRY CAPITAL</t>
  </si>
  <si>
    <t>726390TYA.CSV</t>
  </si>
  <si>
    <t>ALPENA COUNTY REGIONAL AP</t>
  </si>
  <si>
    <t>726395TYA.CSV</t>
  </si>
  <si>
    <t>OSCODA WURTSMITH AFB</t>
  </si>
  <si>
    <t>726400TYA.CSV</t>
  </si>
  <si>
    <t>MILWAUKEE MITCHELL INTL AP</t>
  </si>
  <si>
    <t>726404TYA.CSV</t>
  </si>
  <si>
    <t>MINOCQUA/WOODRUFF</t>
  </si>
  <si>
    <t>726410TYA.CSV</t>
  </si>
  <si>
    <t>MADISON DANE CO REGIONAL ARPT [ISIS]</t>
  </si>
  <si>
    <t>726415TYA.CSV</t>
  </si>
  <si>
    <t>JANESVILLE/ROCK CO.</t>
  </si>
  <si>
    <t>726416TYA.CSV</t>
  </si>
  <si>
    <t>LONE ROCK FAA AP</t>
  </si>
  <si>
    <t>726430TYA.CSV</t>
  </si>
  <si>
    <t>LA CROSSE MUNICIPAL ARPT</t>
  </si>
  <si>
    <t>726435TYA.CSV</t>
  </si>
  <si>
    <t>EAU CLAIRE COUNTY AP</t>
  </si>
  <si>
    <t>726440TYA.CSV</t>
  </si>
  <si>
    <t>ROCHESTER INTERNATIONAL ARPT</t>
  </si>
  <si>
    <t>726450TYA.CSV</t>
  </si>
  <si>
    <t>GREEN BAY AUSTIN STRAUBEL INT</t>
  </si>
  <si>
    <t>726455TYA.CSV</t>
  </si>
  <si>
    <t>MANITOWAC MUNI AWOS</t>
  </si>
  <si>
    <t>726456TYA.CSV</t>
  </si>
  <si>
    <t>WITTMAN RGNL</t>
  </si>
  <si>
    <t>726457TYA.CSV</t>
  </si>
  <si>
    <t>APPLETON/OUTAGAMIE</t>
  </si>
  <si>
    <t>726458TYA.CSV</t>
  </si>
  <si>
    <t>STURGEON BAY</t>
  </si>
  <si>
    <t>726463TYA.CSV</t>
  </si>
  <si>
    <t>WAUSAU MUNICIPAL ARPT</t>
  </si>
  <si>
    <t>726464TYA.CSV</t>
  </si>
  <si>
    <t>WATERTOWN</t>
  </si>
  <si>
    <t>726465TYA.CSV</t>
  </si>
  <si>
    <t>MOSINEE/CENTRAL WI</t>
  </si>
  <si>
    <t>726467TYA.CSV</t>
  </si>
  <si>
    <t>RICE LAKE MUNICIPAL</t>
  </si>
  <si>
    <t>726468TYA.CSV</t>
  </si>
  <si>
    <t>PHILLIPS/PRICE CO.</t>
  </si>
  <si>
    <t>726480TYA.CSV</t>
  </si>
  <si>
    <t>ESCANABA (AWOS)</t>
  </si>
  <si>
    <t>726487TYA.CSV</t>
  </si>
  <si>
    <t>MENOMINEE (AWOS)</t>
  </si>
  <si>
    <t>726498TYA.CSV</t>
  </si>
  <si>
    <t>FAIR FIELD</t>
  </si>
  <si>
    <t>726499TYA.CSV</t>
  </si>
  <si>
    <t>ESTHERVILLE MUNI</t>
  </si>
  <si>
    <t>726500TYA.CSV</t>
  </si>
  <si>
    <t>SPENCER</t>
  </si>
  <si>
    <t>726510TYA.CSV</t>
  </si>
  <si>
    <t>SIOUX FALLS FOSS FIELD</t>
  </si>
  <si>
    <t>726515TYA.CSV</t>
  </si>
  <si>
    <t>BROOKINGS (AWOS)</t>
  </si>
  <si>
    <t>726525TYA.CSV</t>
  </si>
  <si>
    <t>CHAN GURNEY MUNI</t>
  </si>
  <si>
    <t>726540TYA.CSV</t>
  </si>
  <si>
    <t>HURON REGIONAL ARPT</t>
  </si>
  <si>
    <t>726544TYA.CSV</t>
  </si>
  <si>
    <t>ORR</t>
  </si>
  <si>
    <t>726545TYA.CSV</t>
  </si>
  <si>
    <t>MITCHELL (AWOS)</t>
  </si>
  <si>
    <t>726546TYA.CSV</t>
  </si>
  <si>
    <t>WATERTOWN MUNICIPAL AP</t>
  </si>
  <si>
    <t>726547TYA.CSV</t>
  </si>
  <si>
    <t>GLENWOOD (ASOS)</t>
  </si>
  <si>
    <t>726550TYA.CSV</t>
  </si>
  <si>
    <t>ST CLOUD REGIONAL ARPT</t>
  </si>
  <si>
    <t>726555TYA.CSV</t>
  </si>
  <si>
    <t>BRAINERD/WIELAND</t>
  </si>
  <si>
    <t>726556TYA.CSV</t>
  </si>
  <si>
    <t>REDWOOD FALLS MUNI</t>
  </si>
  <si>
    <t>726557TYA.CSV</t>
  </si>
  <si>
    <t>ALEXANDRIA MUNICIPAL AP</t>
  </si>
  <si>
    <t>726558TYA.CSV</t>
  </si>
  <si>
    <t>CLOQUET (AWOS)</t>
  </si>
  <si>
    <t>726559TYA.CSV</t>
  </si>
  <si>
    <t>MARSHALL/RYAN(AWOS)</t>
  </si>
  <si>
    <t>726560TYA.CSV</t>
  </si>
  <si>
    <t>FERGUS FALLS(AWOS)</t>
  </si>
  <si>
    <t>726563TYA.CSV</t>
  </si>
  <si>
    <t>FARIBAULT MUNI AWOS</t>
  </si>
  <si>
    <t>726564TYA.CSV</t>
  </si>
  <si>
    <t>RED WING</t>
  </si>
  <si>
    <t>726565TYA.CSV</t>
  </si>
  <si>
    <t>MORRIS MUNI (AWOS)</t>
  </si>
  <si>
    <t>726566TYA.CSV</t>
  </si>
  <si>
    <t>PIPESTONE (AWOS)</t>
  </si>
  <si>
    <t>726567TYA.CSV</t>
  </si>
  <si>
    <t>NEW ULM MUNI (AWOS)</t>
  </si>
  <si>
    <t>726568TYA.CSV</t>
  </si>
  <si>
    <t>OWATONNA (AWOS)</t>
  </si>
  <si>
    <t>726569TYA.CSV</t>
  </si>
  <si>
    <t>HUTCHINSON (AWOS)</t>
  </si>
  <si>
    <t>726574TYA.CSV</t>
  </si>
  <si>
    <t>MARSHFIELD MUNI</t>
  </si>
  <si>
    <t>726575TYA.CSV</t>
  </si>
  <si>
    <t>MINNEAPOLIS/CRYSTAL</t>
  </si>
  <si>
    <t>726576TYA.CSV</t>
  </si>
  <si>
    <t>WILLMAR</t>
  </si>
  <si>
    <t>726578TYA.CSV</t>
  </si>
  <si>
    <t>LITTLE FALLS (AWOS)</t>
  </si>
  <si>
    <t>726579TYA.CSV</t>
  </si>
  <si>
    <t>FLYING CLOUD</t>
  </si>
  <si>
    <t>726580TYA.CSV</t>
  </si>
  <si>
    <t>MINNEAPOLIS-ST PAUL INT'L ARP</t>
  </si>
  <si>
    <t>726583TYA.CSV</t>
  </si>
  <si>
    <t>LITCHFIELD MUNI</t>
  </si>
  <si>
    <t>726584TYA.CSV</t>
  </si>
  <si>
    <t>ST PAUL DOWNTOWN AP</t>
  </si>
  <si>
    <t>726585TYA.CSV</t>
  </si>
  <si>
    <t>MANKATO(AWOS)</t>
  </si>
  <si>
    <t>726586TYA.CSV</t>
  </si>
  <si>
    <t>FAIRMONT MUNI(AWOS)</t>
  </si>
  <si>
    <t>726587TYA.CSV</t>
  </si>
  <si>
    <t>WORTHINGTON (AWOS)</t>
  </si>
  <si>
    <t>726588TYA.CSV</t>
  </si>
  <si>
    <t>WINONA MUNI (AWOS)</t>
  </si>
  <si>
    <t>726589TYA.CSV</t>
  </si>
  <si>
    <t>ALBERT LEA (AWOS)</t>
  </si>
  <si>
    <t>726590TYA.CSV</t>
  </si>
  <si>
    <t>ABERDEEN REGIONAL ARPT</t>
  </si>
  <si>
    <t>726603TYA.CSV</t>
  </si>
  <si>
    <t>SOUTH ST PAUL MUNI</t>
  </si>
  <si>
    <t>726620TYA.CSV</t>
  </si>
  <si>
    <t>RAPID CITY REGIONAL ARPT</t>
  </si>
  <si>
    <t>726625TYA.CSV</t>
  </si>
  <si>
    <t>ELLSWORTH AFB</t>
  </si>
  <si>
    <t>726626TYA.CSV</t>
  </si>
  <si>
    <t>ANTIGO\LANG(AWOS)</t>
  </si>
  <si>
    <t>726650TYA.CSV</t>
  </si>
  <si>
    <t>GILLETTE/GILLETTE-C</t>
  </si>
  <si>
    <t>726660TYA.CSV</t>
  </si>
  <si>
    <t>SHERIDAN COUNTY ARPT</t>
  </si>
  <si>
    <t>726665TYA.CSV</t>
  </si>
  <si>
    <t>WORLAND MUNICIPAL</t>
  </si>
  <si>
    <t>726676TYA.CSV</t>
  </si>
  <si>
    <t>GLENDIVE(AWOS)</t>
  </si>
  <si>
    <t>726685TYA.CSV</t>
  </si>
  <si>
    <t>MOBRIDGE</t>
  </si>
  <si>
    <t>726686TYA.CSV</t>
  </si>
  <si>
    <t>PIERRE MUNICIPAL AP</t>
  </si>
  <si>
    <t>726700TYA.CSV</t>
  </si>
  <si>
    <t>CODY MUNI (AWOS)</t>
  </si>
  <si>
    <t>726770TYA.CSV</t>
  </si>
  <si>
    <t>BILLINGS LOGAN INT'L ARPT</t>
  </si>
  <si>
    <t>726776TYA.CSV</t>
  </si>
  <si>
    <t>LEWISTOWN MUNICIPAL ARPT</t>
  </si>
  <si>
    <t>726785TYA.CSV</t>
  </si>
  <si>
    <t>BUTTE BERT MOONEY ARPT</t>
  </si>
  <si>
    <t>726797TYA.CSV</t>
  </si>
  <si>
    <t>BOZEMAN GALLATIN FIELD</t>
  </si>
  <si>
    <t>726798TYA.CSV</t>
  </si>
  <si>
    <t>LIVINGSTON MISSION FIELD</t>
  </si>
  <si>
    <t>726810TYA.CSV</t>
  </si>
  <si>
    <t>BOISE AIR TERMINAL [UO]</t>
  </si>
  <si>
    <t>726813TYA.CSV</t>
  </si>
  <si>
    <t>CALDWELL (AWOS)</t>
  </si>
  <si>
    <t>726815TYA.CSV</t>
  </si>
  <si>
    <t>MOUNTAIN HOME AFB</t>
  </si>
  <si>
    <t>726830TYA.CSV</t>
  </si>
  <si>
    <t>BURNS MUNICIPAL ARPT [UO]</t>
  </si>
  <si>
    <t>726835TYA.CSV</t>
  </si>
  <si>
    <t>REDMOND ROBERTS FIELD</t>
  </si>
  <si>
    <t>726865TYA.CSV</t>
  </si>
  <si>
    <t>SALMON/LEMHI (AWOS)</t>
  </si>
  <si>
    <t>726880TYA.CSV</t>
  </si>
  <si>
    <t>PENDLETON E OR REGIONAL AP</t>
  </si>
  <si>
    <t>726884TYA.CSV</t>
  </si>
  <si>
    <t>LA GRANDE MUNI AP</t>
  </si>
  <si>
    <t>726886TYA.CSV</t>
  </si>
  <si>
    <t>BAKER MUNICIPAL AP</t>
  </si>
  <si>
    <t>726904TYA.CSV</t>
  </si>
  <si>
    <t>ROSEBURG REGIONAL AP</t>
  </si>
  <si>
    <t>726917TYA.CSV</t>
  </si>
  <si>
    <t>NORTH BEND MUNI AIRPORT</t>
  </si>
  <si>
    <t>726930TYA.CSV</t>
  </si>
  <si>
    <t>EUGENE MAHLON SWEET ARPT [UO]</t>
  </si>
  <si>
    <t>726940TYA.CSV</t>
  </si>
  <si>
    <t>SALEM MCNARY FIELD</t>
  </si>
  <si>
    <t>726945TYA.CSV</t>
  </si>
  <si>
    <t>CORVALLIS MUNI</t>
  </si>
  <si>
    <t>726959TYA.CSV</t>
  </si>
  <si>
    <t>AURORA STATE</t>
  </si>
  <si>
    <t>726980TYA.CSV</t>
  </si>
  <si>
    <t>PORTLAND INTERNATIONAL AP</t>
  </si>
  <si>
    <t>726985TYA.CSV</t>
  </si>
  <si>
    <t>PORTLAND/TROUTDALE</t>
  </si>
  <si>
    <t>726986TYA.CSV</t>
  </si>
  <si>
    <t>PORTLAND/HILLSBORO</t>
  </si>
  <si>
    <t>726988TYA.CSV</t>
  </si>
  <si>
    <t>THE DALLES MUNICIPAL ARPT</t>
  </si>
  <si>
    <t>727033TYA.CSV</t>
  </si>
  <si>
    <t>HOULTON INTL ARPT</t>
  </si>
  <si>
    <t>727120TYA.CSV</t>
  </si>
  <si>
    <t>CARIBOU MUNICIPAL ARPT</t>
  </si>
  <si>
    <t>727130TYA.CSV</t>
  </si>
  <si>
    <t>PRESQUE ISLE MUNICIP</t>
  </si>
  <si>
    <t>727135TYA.CSV</t>
  </si>
  <si>
    <t>WISCASSET</t>
  </si>
  <si>
    <t>727340TYA.CSV</t>
  </si>
  <si>
    <t>SAULT STE MARIE SANDERSON FIE</t>
  </si>
  <si>
    <t>727344TYA.CSV</t>
  </si>
  <si>
    <t>CHIPPEWA CO INTL</t>
  </si>
  <si>
    <t>727347TYA.CSV</t>
  </si>
  <si>
    <t>PELLSTON EMMET COUNTY AP</t>
  </si>
  <si>
    <t>727415TYA.CSV</t>
  </si>
  <si>
    <t>RHINELANDER ONEIDA</t>
  </si>
  <si>
    <t>727437TYA.CSV</t>
  </si>
  <si>
    <t>IRON MOUNTAIN/FORD</t>
  </si>
  <si>
    <t>727440TYA.CSV</t>
  </si>
  <si>
    <t>HANCOCK HOUGHTON CO AP</t>
  </si>
  <si>
    <t>727444TYA.CSV</t>
  </si>
  <si>
    <t>TWO HARBORS</t>
  </si>
  <si>
    <t>727445TYA.CSV</t>
  </si>
  <si>
    <t>IRONWOOD (AWOS)</t>
  </si>
  <si>
    <t>727450TYA.CSV</t>
  </si>
  <si>
    <t>DULUTH INTERNATIONAL ARPT</t>
  </si>
  <si>
    <t>727452TYA.CSV</t>
  </si>
  <si>
    <t>CROOKSTON MUNI FLD</t>
  </si>
  <si>
    <t>727453TYA.CSV</t>
  </si>
  <si>
    <t>PARK RAPIDS MUNICIPAL AP</t>
  </si>
  <si>
    <t>727455TYA.CSV</t>
  </si>
  <si>
    <t>HIBBING CHISHOLM-HIBBING AP</t>
  </si>
  <si>
    <t>727457TYA.CSV</t>
  </si>
  <si>
    <t>DETROIT LAKES(AWOS)</t>
  </si>
  <si>
    <t>727458TYA.CSV</t>
  </si>
  <si>
    <t>GRAND RAPIDS(AWOS)</t>
  </si>
  <si>
    <t>727459TYA.CSV</t>
  </si>
  <si>
    <t>ELY MUNI</t>
  </si>
  <si>
    <t>727470TYA.CSV</t>
  </si>
  <si>
    <t>INTERNATIONAL FALLS INTL AP</t>
  </si>
  <si>
    <t>727473TYA.CSV</t>
  </si>
  <si>
    <t>CRANE LAKE (AWOS)</t>
  </si>
  <si>
    <t>727474TYA.CSV</t>
  </si>
  <si>
    <t>EVELETH MUNI (AWOS)</t>
  </si>
  <si>
    <t>727475TYA.CSV</t>
  </si>
  <si>
    <t>MORA MUNI (AWOS)</t>
  </si>
  <si>
    <t>727476TYA.CSV</t>
  </si>
  <si>
    <t>BAUDETTE INTERNATIONAL AP</t>
  </si>
  <si>
    <t>727477TYA.CSV</t>
  </si>
  <si>
    <t>ROSEAU MUNI (AWOS)</t>
  </si>
  <si>
    <t>727478TYA.CSV</t>
  </si>
  <si>
    <t>HALLOCK</t>
  </si>
  <si>
    <t>727503TYA.CSV</t>
  </si>
  <si>
    <t>CAMBRIDGE MUNI</t>
  </si>
  <si>
    <t>727504TYA.CSV</t>
  </si>
  <si>
    <t>AITKIN NDB(AWOS)</t>
  </si>
  <si>
    <t>727505TYA.CSV</t>
  </si>
  <si>
    <t>FOSSTON(AWOS)</t>
  </si>
  <si>
    <t>727507TYA.CSV</t>
  </si>
  <si>
    <t>BENSON MUNI</t>
  </si>
  <si>
    <t>727530TYA.CSV</t>
  </si>
  <si>
    <t>FARGO HECTOR INTERNATIONAL AP</t>
  </si>
  <si>
    <t>727533TYA.CSV</t>
  </si>
  <si>
    <t>WHEATON NDB (AWOS)</t>
  </si>
  <si>
    <t>727535TYA.CSV</t>
  </si>
  <si>
    <t>JAMESTOWN MUNICIPAL ARPT</t>
  </si>
  <si>
    <t>727550TYA.CSV</t>
  </si>
  <si>
    <t>BEMIDJI MUNICIPAL</t>
  </si>
  <si>
    <t>727555TYA.CSV</t>
  </si>
  <si>
    <t>THIEF RIVER(AWOS)</t>
  </si>
  <si>
    <t>727556TYA.CSV</t>
  </si>
  <si>
    <t>SILVER BAY</t>
  </si>
  <si>
    <t>727566TYA.CSV</t>
  </si>
  <si>
    <t>AUSTIN MUNI</t>
  </si>
  <si>
    <t>727573TYA.CSV</t>
  </si>
  <si>
    <t>DEVILS LAKE(AWOS)</t>
  </si>
  <si>
    <t>727575TYA.CSV</t>
  </si>
  <si>
    <t>GRAND FORKS AF</t>
  </si>
  <si>
    <t>727576TYA.CSV</t>
  </si>
  <si>
    <t>GRAND FORKS INTERNATIONAL AP</t>
  </si>
  <si>
    <t>727640TYA.CSV</t>
  </si>
  <si>
    <t>BISMARCK MUNICIPAL ARPT [ISIS]</t>
  </si>
  <si>
    <t>727645TYA.CSV</t>
  </si>
  <si>
    <t>DICKINSON MUNICIPAL AP</t>
  </si>
  <si>
    <t>727670TYA.CSV</t>
  </si>
  <si>
    <t>WILLISTON SLOULIN INTL AP</t>
  </si>
  <si>
    <t>727675TYA.CSV</t>
  </si>
  <si>
    <t>MINOT AFB</t>
  </si>
  <si>
    <t>727676TYA.CSV</t>
  </si>
  <si>
    <t>MINOT FAA AP</t>
  </si>
  <si>
    <t>727680TYA.CSV</t>
  </si>
  <si>
    <t>GLASGOW INTL ARPT</t>
  </si>
  <si>
    <t>727686TYA.CSV</t>
  </si>
  <si>
    <t>WOLF POINT INTL [FORT PECK - SURFRAD]</t>
  </si>
  <si>
    <t>727687TYA.CSV</t>
  </si>
  <si>
    <t>SIDNEY-RICHLAND</t>
  </si>
  <si>
    <t>727720TYA.CSV</t>
  </si>
  <si>
    <t>HELENA REGIONAL AIRPORT</t>
  </si>
  <si>
    <t>727730TYA.CSV</t>
  </si>
  <si>
    <t>MISSOULA INTERNATIONAL AP</t>
  </si>
  <si>
    <t>727750TYA.CSV</t>
  </si>
  <si>
    <t>GREAT FALLS INTL ARPT</t>
  </si>
  <si>
    <t>727770TYA.CSV</t>
  </si>
  <si>
    <t>HAVRE CITY-COUNTY AP</t>
  </si>
  <si>
    <t>727790TYA.CSV</t>
  </si>
  <si>
    <t>KALISPELL GLACIER PK INT'L AR</t>
  </si>
  <si>
    <t>727796TYA.CSV</t>
  </si>
  <si>
    <t>CUT BANK MUNI AP</t>
  </si>
  <si>
    <t>727810TYA.CSV</t>
  </si>
  <si>
    <t>YAKIMA AIR TERMINAL</t>
  </si>
  <si>
    <t>727815TYA.CSV</t>
  </si>
  <si>
    <t>STAMPEDE PASS</t>
  </si>
  <si>
    <t>727825TYA.CSV</t>
  </si>
  <si>
    <t>WENATCHEE/PANGBORN</t>
  </si>
  <si>
    <t>727826TYA.CSV</t>
  </si>
  <si>
    <t>EPHRATA AP FCWOS</t>
  </si>
  <si>
    <t>727827TYA.CSV</t>
  </si>
  <si>
    <t>MOSES LAKE GRANT COUNTY AP</t>
  </si>
  <si>
    <t>727830TYA.CSV</t>
  </si>
  <si>
    <t>LEWISTON NEZ PERCE CNTY AP</t>
  </si>
  <si>
    <t>727834TYA.CSV</t>
  </si>
  <si>
    <t>COEUR D`ALENE(AWOS)</t>
  </si>
  <si>
    <t>727840TYA.CSV</t>
  </si>
  <si>
    <t>HANFORD</t>
  </si>
  <si>
    <t>727845TYA.CSV</t>
  </si>
  <si>
    <t>PASCO</t>
  </si>
  <si>
    <t>727846TYA.CSV</t>
  </si>
  <si>
    <t>WALLA WALLA CITY COUNTY AP</t>
  </si>
  <si>
    <t>727850TYA.CSV</t>
  </si>
  <si>
    <t>SPOKANE INTERNATIONAL AP [CHENEY - UO]</t>
  </si>
  <si>
    <t>727855TYA.CSV</t>
  </si>
  <si>
    <t>FAIRCHILD AFB</t>
  </si>
  <si>
    <t>727856TYA.CSV</t>
  </si>
  <si>
    <t>FELTS FLD</t>
  </si>
  <si>
    <t>727857TYA.CSV</t>
  </si>
  <si>
    <t>PULLMAN/MOSCOW RGNL</t>
  </si>
  <si>
    <t>727885TYA.CSV</t>
  </si>
  <si>
    <t>WILLIAM R FAIRCHILD</t>
  </si>
  <si>
    <t>727910TYA.CSV</t>
  </si>
  <si>
    <t>ASTORIA REGIONAL AIRPORT</t>
  </si>
  <si>
    <t>727920TYA.CSV</t>
  </si>
  <si>
    <t>OLYMPIA AIRPORT</t>
  </si>
  <si>
    <t>727923TYA.CSV</t>
  </si>
  <si>
    <t>HOQUIAM AP</t>
  </si>
  <si>
    <t>727924TYA.CSV</t>
  </si>
  <si>
    <t>KELSO WB AP</t>
  </si>
  <si>
    <t>727926TYA.CSV</t>
  </si>
  <si>
    <t>TOLEDO-WINLOCK MEM</t>
  </si>
  <si>
    <t>727928TYA.CSV</t>
  </si>
  <si>
    <t>BREMERTON NATIONAL</t>
  </si>
  <si>
    <t>727930TYA.CSV</t>
  </si>
  <si>
    <t>SEATTLE SEATTLE-TACOMA INTL A</t>
  </si>
  <si>
    <t>727934TYA.CSV</t>
  </si>
  <si>
    <t>RENTON MUNI</t>
  </si>
  <si>
    <t>727935TYA.CSV</t>
  </si>
  <si>
    <t>SEATTLE BOEING FIELD [ISIS]</t>
  </si>
  <si>
    <t>727937TYA.CSV</t>
  </si>
  <si>
    <t>SNOHOMISH CO</t>
  </si>
  <si>
    <t>727938TYA.CSV</t>
  </si>
  <si>
    <t>TACOMA NARROWS</t>
  </si>
  <si>
    <t>727970TYA.CSV</t>
  </si>
  <si>
    <t>QUILLAYUTE STATE AIRPORT</t>
  </si>
  <si>
    <t>727976TYA.CSV</t>
  </si>
  <si>
    <t>BELLINGHAM INTL AP</t>
  </si>
  <si>
    <t>742060TYA.CSV</t>
  </si>
  <si>
    <t>TACOMA MCCHORD AFB</t>
  </si>
  <si>
    <t>742070TYA.CSV</t>
  </si>
  <si>
    <t>GRAY AAF</t>
  </si>
  <si>
    <t>742300TYA.CSV</t>
  </si>
  <si>
    <t>MILES CITY MUNICIPAL ARPT</t>
  </si>
  <si>
    <t>743700TYA.CSV</t>
  </si>
  <si>
    <t>FORT DRUM/WHEELER-S</t>
  </si>
  <si>
    <t>743920TYA.CSV</t>
  </si>
  <si>
    <t>NAVAL AIR STATION</t>
  </si>
  <si>
    <t>743945TYA.CSV</t>
  </si>
  <si>
    <t>MANCHESTER AIRPORT</t>
  </si>
  <si>
    <t>744655TYA.CSV</t>
  </si>
  <si>
    <t>AURORA MUNICIPAL</t>
  </si>
  <si>
    <t>744860TYA.CSV</t>
  </si>
  <si>
    <t>NEW YORK J F KENNEDY INT'L AR</t>
  </si>
  <si>
    <t>744864TYA.CSV</t>
  </si>
  <si>
    <t>REPUBLIC</t>
  </si>
  <si>
    <t>744865TYA.CSV</t>
  </si>
  <si>
    <t>WESTHAMPTON GABRESKI AP</t>
  </si>
  <si>
    <t>744904TYA.CSV</t>
  </si>
  <si>
    <t>LAWRENCE MUNI</t>
  </si>
  <si>
    <t>744910TYA.CSV</t>
  </si>
  <si>
    <t>CHICOPEE FALLS WESTO</t>
  </si>
  <si>
    <t>744915TYA.CSV</t>
  </si>
  <si>
    <t>WESTFIELD BARNES MUNI AP</t>
  </si>
  <si>
    <t>745090TYA.CSV</t>
  </si>
  <si>
    <t>MOUNTAIN VIEW MOFFETT FLD NAS</t>
  </si>
  <si>
    <t>745160TYA.CSV</t>
  </si>
  <si>
    <t>TRAVIS FIELD AFB</t>
  </si>
  <si>
    <t>745700TYA.CSV</t>
  </si>
  <si>
    <t>DAYTON WRIGHT PATTERSON AFB</t>
  </si>
  <si>
    <t>745940TYA.CSV</t>
  </si>
  <si>
    <t>ANDREWS AFB</t>
  </si>
  <si>
    <t>745966TYA.CSV</t>
  </si>
  <si>
    <t>CAPE MAY CO</t>
  </si>
  <si>
    <t>745980TYA.CSV</t>
  </si>
  <si>
    <t>LANGLEY AFB</t>
  </si>
  <si>
    <t>745985TYA.CSV</t>
  </si>
  <si>
    <t>MARTINSVILLE</t>
  </si>
  <si>
    <t>746120TYA.CSV</t>
  </si>
  <si>
    <t>CHINA LAKE NAF</t>
  </si>
  <si>
    <t>746710TYA.CSV</t>
  </si>
  <si>
    <t>FORT CAMPBELL AAF</t>
  </si>
  <si>
    <t>746716TYA.CSV</t>
  </si>
  <si>
    <t>BOWLING GREEN WARREN CO AP</t>
  </si>
  <si>
    <t>746930TYA.CSV</t>
  </si>
  <si>
    <t>FORT BRAGG SIMMONS AAF</t>
  </si>
  <si>
    <t>746943TYA.CSV</t>
  </si>
  <si>
    <t>ELIZABETH CITY COAST GUARD AI [NREL]</t>
  </si>
  <si>
    <t>747020TYA.CSV</t>
  </si>
  <si>
    <t>LEMOORE REEVES NAS</t>
  </si>
  <si>
    <t>747185TYA.CSV</t>
  </si>
  <si>
    <t>IMPERIAL</t>
  </si>
  <si>
    <t>747187TYA.CSV</t>
  </si>
  <si>
    <t>PALM SPRINGS THERMAL AP</t>
  </si>
  <si>
    <t>747188TYA.CSV</t>
  </si>
  <si>
    <t>BLYTHE RIVERSIDE CO ARPT</t>
  </si>
  <si>
    <t>747320TYA.CSV</t>
  </si>
  <si>
    <t>HOLLOMAN AFB</t>
  </si>
  <si>
    <t>747540TYA.CSV</t>
  </si>
  <si>
    <t>ENGLAND AFB</t>
  </si>
  <si>
    <t>747685TYA.CSV</t>
  </si>
  <si>
    <t>GULFPORT BILOXI INT</t>
  </si>
  <si>
    <t>747686TYA.CSV</t>
  </si>
  <si>
    <t>KEESLER AFB</t>
  </si>
  <si>
    <t>747750TYA.CSV</t>
  </si>
  <si>
    <t>TYNDALL AFB</t>
  </si>
  <si>
    <t>747770TYA.CSV</t>
  </si>
  <si>
    <t>VALPARAISO HURLBURT</t>
  </si>
  <si>
    <t>747804TYA.CSV</t>
  </si>
  <si>
    <t>HUNTER AAF</t>
  </si>
  <si>
    <t>747810TYA.CSV</t>
  </si>
  <si>
    <t>MOODY AFB/VALDOSTA</t>
  </si>
  <si>
    <t>747880TYA.CSV</t>
  </si>
  <si>
    <t>MACDILL AFB</t>
  </si>
  <si>
    <t>747900TYA.CSV</t>
  </si>
  <si>
    <t>SUMTER SHAW AFB</t>
  </si>
  <si>
    <t>747910TYA.CSV</t>
  </si>
  <si>
    <t>MYRTLE BEACH AFB</t>
  </si>
  <si>
    <t>747915TYA.CSV</t>
  </si>
  <si>
    <t>NORTH MYRTLE BEACH GRAND STRA</t>
  </si>
  <si>
    <t>747946TYA.CSV</t>
  </si>
  <si>
    <t>NASA SHUTTLE FCLTY</t>
  </si>
  <si>
    <t>911650TYA.CSV</t>
  </si>
  <si>
    <t>LIHUE AIRPORT</t>
  </si>
  <si>
    <t>911760TYA.CSV</t>
  </si>
  <si>
    <t>KANEOHE BAY MCAS</t>
  </si>
  <si>
    <t>911780TYA.CSV</t>
  </si>
  <si>
    <t>BARBERS POINT NAS</t>
  </si>
  <si>
    <t>911820TYA.CSV</t>
  </si>
  <si>
    <t>HONOLULU INTL ARPT</t>
  </si>
  <si>
    <t>911860TYA.CSV</t>
  </si>
  <si>
    <t>MOLOKAI (AMOS)</t>
  </si>
  <si>
    <t>911900TYA.CSV</t>
  </si>
  <si>
    <t>KAHULUI AIRPORT</t>
  </si>
  <si>
    <t>911904TYA.CSV</t>
  </si>
  <si>
    <t>KAPALUA</t>
  </si>
  <si>
    <t>911905TYA.CSV</t>
  </si>
  <si>
    <t>LANAI</t>
  </si>
  <si>
    <t>911975TYA.CSV</t>
  </si>
  <si>
    <t>KONA INTL AT KEAHOL</t>
  </si>
  <si>
    <t>912850TYA.CSV</t>
  </si>
  <si>
    <t>HILO INTERNATIONAL AP</t>
  </si>
  <si>
    <r>
      <t>GHGs (kg CO</t>
    </r>
    <r>
      <rPr>
        <b/>
        <vertAlign val="sub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-eq per kg-dried flower)</t>
    </r>
  </si>
  <si>
    <r>
      <t>GHG electricity (grams CO</t>
    </r>
    <r>
      <rPr>
        <b/>
        <vertAlign val="subscript"/>
        <sz val="10"/>
        <rFont val="Times New Roman"/>
        <family val="1"/>
      </rPr>
      <t>2</t>
    </r>
    <r>
      <rPr>
        <b/>
        <sz val="10"/>
        <rFont val="Times New Roman"/>
        <family val="1"/>
      </rPr>
      <t>-eq per kWh)</t>
    </r>
  </si>
  <si>
    <t>Electricity Consumption (kWh per kg-dried flower)</t>
  </si>
  <si>
    <t>NJ Consumption (MJ per kg-dried flower)</t>
  </si>
  <si>
    <t>Filename</t>
  </si>
  <si>
    <t>Site</t>
  </si>
  <si>
    <t>carbon (kg CO2-eq/kg-bud)</t>
  </si>
  <si>
    <t>Electricity (kWh/kg-bud)</t>
  </si>
  <si>
    <t>GHG electricity (grams CO2e/kWh)</t>
  </si>
  <si>
    <t>NG (MJ/kg-bud)</t>
  </si>
  <si>
    <r>
      <t>Sequestered CO</t>
    </r>
    <r>
      <rPr>
        <vertAlign val="subscript"/>
        <sz val="11"/>
        <color theme="1"/>
        <rFont val="Calibri"/>
        <family val="2"/>
        <scheme val="minor"/>
      </rPr>
      <t>2</t>
    </r>
  </si>
  <si>
    <t>Suppl. Air Conditioner</t>
  </si>
  <si>
    <t>Inputs for Matlab File, if length of input variables change, code xlsx read will need to be extended.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</si>
</sst>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8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.00000"/>
    <numFmt numFmtId="166" formatCode="0.000"/>
    <numFmt numFmtId="167" formatCode="0.0000"/>
    <numFmt numFmtId="168" formatCode="0.0E+00"/>
    <numFmt numFmtId="169" formatCode="#,##0.0_);\(#,##0.0\)"/>
    <numFmt numFmtId="170" formatCode="0.0_)"/>
    <numFmt numFmtId="171" formatCode="#,##0.0"/>
    <numFmt numFmtId="172" formatCode="0.000000000"/>
    <numFmt numFmtId="173" formatCode="_(* #,##0_);_(* \(#,##0\);_(* &quot;-&quot;??_);_(@_)"/>
    <numFmt numFmtId="174" formatCode="0.0%"/>
    <numFmt numFmtId="175" formatCode="0.000000"/>
    <numFmt numFmtId="176" formatCode="#,##0.00;\-#,##0.00"/>
    <numFmt numFmtId="177" formatCode="0.0000000"/>
    <numFmt numFmtId="178" formatCode="0.00000000000000000%"/>
    <numFmt numFmtId="179" formatCode="0.000000000000"/>
    <numFmt numFmtId="180" formatCode="0.000000E+00"/>
    <numFmt numFmtId="181" formatCode="0.000%"/>
    <numFmt numFmtId="182" formatCode="0E+00"/>
    <numFmt numFmtId="183" formatCode="#,##0.000"/>
    <numFmt numFmtId="185" formatCode="\+0;\-0;0"/>
    <numFmt numFmtId="186" formatCode="0.00000000"/>
    <numFmt numFmtId="187" formatCode="0.0000%"/>
    <numFmt numFmtId="188" formatCode="#,##0.00%"/>
  </numFmts>
  <fonts count="7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vertAlign val="superscript"/>
      <sz val="9"/>
      <color theme="1"/>
      <name val="Times New Roman"/>
      <family val="1"/>
    </font>
    <font>
      <sz val="9"/>
      <name val="Times New Roman"/>
      <family val="1"/>
    </font>
    <font>
      <vertAlign val="superscript"/>
      <sz val="9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vertAlign val="superscript"/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  <font>
      <sz val="8"/>
      <color theme="1"/>
      <name val="Cambria"/>
      <family val="1"/>
    </font>
    <font>
      <sz val="11"/>
      <name val="Cambria"/>
      <family val="1"/>
    </font>
    <font>
      <b/>
      <sz val="16"/>
      <color theme="1"/>
      <name val="Cambria"/>
      <family val="1"/>
      <scheme val="major"/>
    </font>
    <font>
      <b/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6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name val="Helv"/>
    </font>
    <font>
      <b/>
      <sz val="12"/>
      <name val="Arial"/>
      <family val="2"/>
    </font>
    <font>
      <sz val="10"/>
      <name val="Arial"/>
      <family val="2"/>
    </font>
    <font>
      <sz val="8"/>
      <name val="Helv"/>
    </font>
    <font>
      <b/>
      <sz val="11"/>
      <name val="Arial Narrow"/>
      <family val="2"/>
    </font>
    <font>
      <sz val="11"/>
      <name val="Arial Narrow"/>
      <family val="2"/>
    </font>
    <font>
      <vertAlign val="superscript"/>
      <sz val="11"/>
      <name val="Arial Narrow"/>
      <family val="2"/>
    </font>
    <font>
      <b/>
      <vertAlign val="superscript"/>
      <sz val="11"/>
      <name val="Arial Narrow"/>
      <family val="2"/>
    </font>
    <font>
      <b/>
      <sz val="9"/>
      <name val="Arial"/>
      <family val="2"/>
    </font>
    <font>
      <sz val="9"/>
      <name val="Arial"/>
      <family val="2"/>
    </font>
    <font>
      <vertAlign val="superscript"/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8"/>
      <color rgb="FF323232"/>
      <name val="Arial"/>
      <family val="2"/>
    </font>
    <font>
      <sz val="8"/>
      <color rgb="FFFF0000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8.5"/>
      <color theme="1"/>
      <name val="Arial"/>
      <family val="2"/>
    </font>
    <font>
      <b/>
      <vertAlign val="subscript"/>
      <sz val="8.5"/>
      <color theme="1"/>
      <name val="Arial"/>
      <family val="2"/>
    </font>
    <font>
      <sz val="8.5"/>
      <color theme="1"/>
      <name val="Arial"/>
      <family val="2"/>
    </font>
    <font>
      <b/>
      <sz val="11"/>
      <color theme="1"/>
      <name val="Arial"/>
      <family val="2"/>
    </font>
    <font>
      <sz val="8"/>
      <color theme="1"/>
      <name val="Arial"/>
      <family val="2"/>
    </font>
    <font>
      <u/>
      <sz val="11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0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b/>
      <sz val="10"/>
      <name val="Times New Roman"/>
      <family val="1"/>
    </font>
    <font>
      <b/>
      <vertAlign val="subscript"/>
      <sz val="10"/>
      <color theme="1"/>
      <name val="Times New Roman"/>
      <family val="1"/>
    </font>
    <font>
      <b/>
      <vertAlign val="subscript"/>
      <sz val="10"/>
      <name val="Times New Roman"/>
      <family val="1"/>
    </font>
    <font>
      <b/>
      <sz val="8"/>
      <color theme="1"/>
      <name val="Times New Roman"/>
      <family val="1"/>
    </font>
    <font>
      <b/>
      <sz val="8"/>
      <name val="Times New Roman"/>
      <family val="1"/>
    </font>
    <font>
      <sz val="8"/>
      <color theme="1"/>
      <name val="Times New Roman"/>
      <family val="1"/>
    </font>
    <font>
      <b/>
      <sz val="14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C0804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ck">
        <color indexed="64"/>
      </top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1">
    <xf numFmtId="0" fontId="0" fillId="0" borderId="0"/>
    <xf numFmtId="9" fontId="1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32" fillId="0" borderId="0"/>
    <xf numFmtId="0" fontId="33" fillId="0" borderId="0">
      <alignment horizontal="left"/>
    </xf>
    <xf numFmtId="0" fontId="36" fillId="0" borderId="0">
      <alignment horizontal="left"/>
    </xf>
    <xf numFmtId="0" fontId="12" fillId="0" borderId="0"/>
    <xf numFmtId="43" fontId="12" fillId="0" borderId="0" applyFont="0" applyFill="0" applyBorder="0" applyAlignment="0" applyProtection="0"/>
    <xf numFmtId="0" fontId="30" fillId="0" borderId="0"/>
    <xf numFmtId="0" fontId="32" fillId="0" borderId="0"/>
  </cellStyleXfs>
  <cellXfs count="853">
    <xf numFmtId="0" fontId="0" fillId="0" borderId="0" xfId="0"/>
    <xf numFmtId="8" fontId="0" fillId="0" borderId="0" xfId="0" applyNumberFormat="1"/>
    <xf numFmtId="0" fontId="1" fillId="0" borderId="0" xfId="0" applyFont="1" applyFill="1" applyBorder="1"/>
    <xf numFmtId="8" fontId="0" fillId="0" borderId="0" xfId="0" applyNumberFormat="1" applyFill="1" applyBorder="1"/>
    <xf numFmtId="0" fontId="3" fillId="0" borderId="0" xfId="0" applyFont="1"/>
    <xf numFmtId="0" fontId="4" fillId="2" borderId="3" xfId="0" applyFont="1" applyFill="1" applyBorder="1" applyAlignment="1">
      <alignment horizontal="center" wrapText="1"/>
    </xf>
    <xf numFmtId="0" fontId="4" fillId="2" borderId="6" xfId="0" applyFont="1" applyFill="1" applyBorder="1" applyAlignment="1">
      <alignment horizontal="center"/>
    </xf>
    <xf numFmtId="0" fontId="5" fillId="0" borderId="0" xfId="0" applyFont="1"/>
    <xf numFmtId="0" fontId="5" fillId="0" borderId="0" xfId="0" quotePrefix="1" applyFont="1" applyBorder="1"/>
    <xf numFmtId="6" fontId="5" fillId="0" borderId="0" xfId="0" applyNumberFormat="1" applyFont="1" applyBorder="1"/>
    <xf numFmtId="9" fontId="0" fillId="0" borderId="0" xfId="1" applyFont="1"/>
    <xf numFmtId="0" fontId="0" fillId="0" borderId="0" xfId="0"/>
    <xf numFmtId="0" fontId="3" fillId="0" borderId="0" xfId="0" applyFont="1"/>
    <xf numFmtId="0" fontId="4" fillId="2" borderId="3" xfId="0" applyFont="1" applyFill="1" applyBorder="1" applyAlignment="1">
      <alignment horizontal="center" wrapText="1"/>
    </xf>
    <xf numFmtId="0" fontId="5" fillId="0" borderId="0" xfId="0" applyFont="1"/>
    <xf numFmtId="6" fontId="5" fillId="0" borderId="0" xfId="0" applyNumberFormat="1" applyFont="1" applyBorder="1"/>
    <xf numFmtId="49" fontId="5" fillId="0" borderId="4" xfId="0" quotePrefix="1" applyNumberFormat="1" applyFont="1" applyBorder="1"/>
    <xf numFmtId="16" fontId="5" fillId="0" borderId="4" xfId="0" quotePrefix="1" applyNumberFormat="1" applyFont="1" applyBorder="1"/>
    <xf numFmtId="0" fontId="5" fillId="0" borderId="4" xfId="0" quotePrefix="1" applyFont="1" applyBorder="1"/>
    <xf numFmtId="6" fontId="5" fillId="0" borderId="4" xfId="0" applyNumberFormat="1" applyFont="1" applyBorder="1"/>
    <xf numFmtId="6" fontId="5" fillId="0" borderId="2" xfId="0" applyNumberFormat="1" applyFont="1" applyBorder="1"/>
    <xf numFmtId="6" fontId="5" fillId="0" borderId="7" xfId="0" applyNumberFormat="1" applyFont="1" applyBorder="1"/>
    <xf numFmtId="6" fontId="5" fillId="0" borderId="5" xfId="0" applyNumberFormat="1" applyFont="1" applyBorder="1"/>
    <xf numFmtId="17" fontId="5" fillId="0" borderId="5" xfId="0" quotePrefix="1" applyNumberFormat="1" applyFont="1" applyBorder="1"/>
    <xf numFmtId="17" fontId="5" fillId="0" borderId="4" xfId="0" quotePrefix="1" applyNumberFormat="1" applyFont="1" applyBorder="1"/>
    <xf numFmtId="6" fontId="5" fillId="0" borderId="9" xfId="0" applyNumberFormat="1" applyFont="1" applyBorder="1"/>
    <xf numFmtId="0" fontId="5" fillId="0" borderId="5" xfId="0" quotePrefix="1" applyFont="1" applyBorder="1"/>
    <xf numFmtId="6" fontId="5" fillId="0" borderId="8" xfId="0" applyNumberFormat="1" applyFont="1" applyBorder="1"/>
    <xf numFmtId="6" fontId="5" fillId="0" borderId="10" xfId="0" applyNumberFormat="1" applyFont="1" applyBorder="1"/>
    <xf numFmtId="6" fontId="5" fillId="0" borderId="11" xfId="0" applyNumberFormat="1" applyFont="1" applyBorder="1"/>
    <xf numFmtId="0" fontId="4" fillId="2" borderId="1" xfId="0" applyFont="1" applyFill="1" applyBorder="1" applyAlignment="1">
      <alignment horizontal="center" wrapText="1"/>
    </xf>
    <xf numFmtId="0" fontId="0" fillId="0" borderId="0" xfId="0"/>
    <xf numFmtId="2" fontId="0" fillId="0" borderId="0" xfId="0" applyNumberFormat="1"/>
    <xf numFmtId="0" fontId="0" fillId="0" borderId="0" xfId="0" applyFont="1"/>
    <xf numFmtId="2" fontId="0" fillId="0" borderId="0" xfId="0" applyNumberFormat="1" applyFont="1"/>
    <xf numFmtId="2" fontId="0" fillId="0" borderId="0" xfId="0" applyNumberFormat="1" applyFont="1" applyFill="1" applyBorder="1"/>
    <xf numFmtId="9" fontId="0" fillId="0" borderId="0" xfId="1" applyFont="1" applyFill="1" applyBorder="1"/>
    <xf numFmtId="0" fontId="1" fillId="0" borderId="0" xfId="0" applyFont="1"/>
    <xf numFmtId="0" fontId="0" fillId="0" borderId="0" xfId="0" applyNumberFormat="1" applyFont="1"/>
    <xf numFmtId="0" fontId="0" fillId="0" borderId="0" xfId="0" applyNumberFormat="1" applyFont="1" applyFill="1" applyBorder="1"/>
    <xf numFmtId="164" fontId="0" fillId="0" borderId="0" xfId="0" applyNumberFormat="1" applyFont="1"/>
    <xf numFmtId="0" fontId="0" fillId="0" borderId="0" xfId="0" applyFont="1" applyBorder="1"/>
    <xf numFmtId="0" fontId="0" fillId="0" borderId="0" xfId="0" applyNumberFormat="1" applyFont="1" applyBorder="1"/>
    <xf numFmtId="0" fontId="0" fillId="0" borderId="12" xfId="0" applyFont="1" applyBorder="1"/>
    <xf numFmtId="0" fontId="0" fillId="0" borderId="12" xfId="0" applyNumberFormat="1" applyFont="1" applyBorder="1"/>
    <xf numFmtId="9" fontId="0" fillId="0" borderId="12" xfId="1" applyFont="1" applyFill="1" applyBorder="1"/>
    <xf numFmtId="2" fontId="0" fillId="0" borderId="12" xfId="0" applyNumberFormat="1" applyFont="1" applyBorder="1"/>
    <xf numFmtId="0" fontId="0" fillId="0" borderId="13" xfId="0" applyBorder="1"/>
    <xf numFmtId="0" fontId="1" fillId="0" borderId="13" xfId="0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0" fillId="0" borderId="19" xfId="0" applyBorder="1"/>
    <xf numFmtId="6" fontId="0" fillId="0" borderId="13" xfId="0" applyNumberFormat="1" applyBorder="1"/>
    <xf numFmtId="0" fontId="0" fillId="0" borderId="20" xfId="0" applyBorder="1"/>
    <xf numFmtId="0" fontId="0" fillId="3" borderId="3" xfId="0" applyFont="1" applyFill="1" applyBorder="1"/>
    <xf numFmtId="0" fontId="0" fillId="3" borderId="21" xfId="0" applyFont="1" applyFill="1" applyBorder="1"/>
    <xf numFmtId="0" fontId="0" fillId="3" borderId="0" xfId="0" applyFont="1" applyFill="1"/>
    <xf numFmtId="0" fontId="0" fillId="0" borderId="21" xfId="0" applyFont="1" applyBorder="1"/>
    <xf numFmtId="0" fontId="0" fillId="0" borderId="21" xfId="0" applyFont="1" applyFill="1" applyBorder="1"/>
    <xf numFmtId="1" fontId="0" fillId="0" borderId="21" xfId="0" applyNumberFormat="1" applyFont="1" applyBorder="1"/>
    <xf numFmtId="1" fontId="0" fillId="0" borderId="21" xfId="0" applyNumberFormat="1" applyFont="1" applyFill="1" applyBorder="1"/>
    <xf numFmtId="2" fontId="0" fillId="0" borderId="21" xfId="0" applyNumberFormat="1" applyFont="1" applyBorder="1"/>
    <xf numFmtId="0" fontId="0" fillId="0" borderId="5" xfId="0" applyFont="1" applyFill="1" applyBorder="1"/>
    <xf numFmtId="0" fontId="13" fillId="0" borderId="21" xfId="0" applyFont="1" applyFill="1" applyBorder="1"/>
    <xf numFmtId="2" fontId="13" fillId="0" borderId="21" xfId="0" applyNumberFormat="1" applyFont="1" applyFill="1" applyBorder="1"/>
    <xf numFmtId="0" fontId="0" fillId="0" borderId="21" xfId="0" applyBorder="1"/>
    <xf numFmtId="165" fontId="0" fillId="0" borderId="21" xfId="0" applyNumberFormat="1" applyFont="1" applyBorder="1"/>
    <xf numFmtId="165" fontId="0" fillId="0" borderId="21" xfId="0" applyNumberFormat="1" applyFont="1" applyFill="1" applyBorder="1"/>
    <xf numFmtId="0" fontId="14" fillId="0" borderId="0" xfId="2"/>
    <xf numFmtId="0" fontId="0" fillId="0" borderId="12" xfId="0" applyBorder="1"/>
    <xf numFmtId="3" fontId="0" fillId="0" borderId="0" xfId="0" applyNumberFormat="1"/>
    <xf numFmtId="0" fontId="0" fillId="4" borderId="0" xfId="0" applyFill="1"/>
    <xf numFmtId="0" fontId="15" fillId="4" borderId="0" xfId="0" applyFont="1" applyFill="1"/>
    <xf numFmtId="0" fontId="1" fillId="0" borderId="0" xfId="0" applyFont="1" applyBorder="1"/>
    <xf numFmtId="2" fontId="0" fillId="0" borderId="0" xfId="0" applyNumberFormat="1" applyFont="1" applyBorder="1"/>
    <xf numFmtId="2" fontId="0" fillId="0" borderId="0" xfId="0" applyNumberFormat="1" applyBorder="1"/>
    <xf numFmtId="8" fontId="0" fillId="0" borderId="0" xfId="0" applyNumberFormat="1" applyBorder="1"/>
    <xf numFmtId="164" fontId="0" fillId="0" borderId="0" xfId="0" applyNumberFormat="1" applyFont="1" applyBorder="1"/>
    <xf numFmtId="0" fontId="0" fillId="4" borderId="0" xfId="0" applyFill="1" applyBorder="1"/>
    <xf numFmtId="6" fontId="0" fillId="4" borderId="0" xfId="0" applyNumberFormat="1" applyFill="1" applyBorder="1"/>
    <xf numFmtId="0" fontId="1" fillId="3" borderId="0" xfId="0" applyFont="1" applyFill="1" applyProtection="1"/>
    <xf numFmtId="0" fontId="0" fillId="3" borderId="0" xfId="0" applyFill="1" applyProtection="1"/>
    <xf numFmtId="0" fontId="0" fillId="0" borderId="0" xfId="0" applyNumberFormat="1"/>
    <xf numFmtId="0" fontId="0" fillId="3" borderId="21" xfId="0" applyFont="1" applyFill="1" applyBorder="1" applyProtection="1"/>
    <xf numFmtId="2" fontId="0" fillId="0" borderId="21" xfId="0" applyNumberFormat="1" applyFont="1" applyFill="1" applyBorder="1" applyProtection="1"/>
    <xf numFmtId="0" fontId="0" fillId="0" borderId="21" xfId="0" applyFill="1" applyBorder="1"/>
    <xf numFmtId="2" fontId="0" fillId="0" borderId="0" xfId="0" applyNumberFormat="1" applyFill="1" applyBorder="1"/>
    <xf numFmtId="8" fontId="0" fillId="0" borderId="12" xfId="0" applyNumberFormat="1" applyFill="1" applyBorder="1"/>
    <xf numFmtId="0" fontId="0" fillId="0" borderId="0" xfId="0" applyFont="1" applyBorder="1" applyAlignment="1">
      <alignment vertical="top" wrapText="1"/>
    </xf>
    <xf numFmtId="44" fontId="0" fillId="0" borderId="0" xfId="3" applyFont="1" applyBorder="1"/>
    <xf numFmtId="0" fontId="0" fillId="5" borderId="21" xfId="0" applyFont="1" applyFill="1" applyBorder="1" applyProtection="1"/>
    <xf numFmtId="0" fontId="0" fillId="6" borderId="21" xfId="0" applyFont="1" applyFill="1" applyBorder="1" applyProtection="1"/>
    <xf numFmtId="0" fontId="0" fillId="7" borderId="21" xfId="0" applyFont="1" applyFill="1" applyBorder="1" applyProtection="1"/>
    <xf numFmtId="0" fontId="0" fillId="0" borderId="0" xfId="0" applyAlignment="1">
      <alignment horizontal="center"/>
    </xf>
    <xf numFmtId="11" fontId="0" fillId="0" borderId="21" xfId="0" applyNumberFormat="1" applyBorder="1"/>
    <xf numFmtId="2" fontId="0" fillId="0" borderId="21" xfId="0" applyNumberFormat="1" applyBorder="1"/>
    <xf numFmtId="0" fontId="0" fillId="6" borderId="21" xfId="0" applyFont="1" applyFill="1" applyBorder="1"/>
    <xf numFmtId="0" fontId="0" fillId="0" borderId="0" xfId="0" applyFont="1" applyFill="1" applyBorder="1"/>
    <xf numFmtId="0" fontId="16" fillId="8" borderId="22" xfId="0" applyFont="1" applyFill="1" applyBorder="1"/>
    <xf numFmtId="0" fontId="17" fillId="8" borderId="24" xfId="0" applyFont="1" applyFill="1" applyBorder="1"/>
    <xf numFmtId="0" fontId="17" fillId="8" borderId="23" xfId="0" applyFont="1" applyFill="1" applyBorder="1"/>
    <xf numFmtId="0" fontId="16" fillId="9" borderId="24" xfId="0" applyFont="1" applyFill="1" applyBorder="1"/>
    <xf numFmtId="0" fontId="17" fillId="9" borderId="24" xfId="0" applyFont="1" applyFill="1" applyBorder="1"/>
    <xf numFmtId="0" fontId="17" fillId="9" borderId="23" xfId="0" applyFont="1" applyFill="1" applyBorder="1"/>
    <xf numFmtId="0" fontId="17" fillId="0" borderId="17" xfId="0" applyFont="1" applyFill="1" applyBorder="1"/>
    <xf numFmtId="0" fontId="17" fillId="0" borderId="0" xfId="0" applyFont="1" applyFill="1" applyBorder="1"/>
    <xf numFmtId="0" fontId="17" fillId="0" borderId="18" xfId="0" applyFont="1" applyFill="1" applyBorder="1"/>
    <xf numFmtId="0" fontId="17" fillId="6" borderId="22" xfId="0" applyFont="1" applyFill="1" applyBorder="1"/>
    <xf numFmtId="0" fontId="17" fillId="6" borderId="24" xfId="0" applyFont="1" applyFill="1" applyBorder="1"/>
    <xf numFmtId="0" fontId="17" fillId="6" borderId="23" xfId="0" applyFont="1" applyFill="1" applyBorder="1"/>
    <xf numFmtId="0" fontId="17" fillId="0" borderId="17" xfId="0" applyFont="1" applyBorder="1"/>
    <xf numFmtId="165" fontId="17" fillId="0" borderId="0" xfId="0" applyNumberFormat="1" applyFont="1" applyBorder="1"/>
    <xf numFmtId="0" fontId="17" fillId="0" borderId="0" xfId="0" applyFont="1" applyBorder="1"/>
    <xf numFmtId="0" fontId="17" fillId="0" borderId="18" xfId="0" applyFont="1" applyBorder="1"/>
    <xf numFmtId="0" fontId="17" fillId="0" borderId="0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19" xfId="0" applyFont="1" applyBorder="1"/>
    <xf numFmtId="0" fontId="17" fillId="0" borderId="13" xfId="0" applyFont="1" applyBorder="1" applyAlignment="1">
      <alignment horizontal="center"/>
    </xf>
    <xf numFmtId="0" fontId="17" fillId="0" borderId="13" xfId="0" applyFont="1" applyBorder="1"/>
    <xf numFmtId="0" fontId="17" fillId="0" borderId="20" xfId="0" applyFont="1" applyBorder="1"/>
    <xf numFmtId="0" fontId="17" fillId="0" borderId="0" xfId="1" applyNumberFormat="1" applyFont="1" applyFill="1" applyBorder="1"/>
    <xf numFmtId="0" fontId="17" fillId="0" borderId="14" xfId="0" applyFont="1" applyFill="1" applyBorder="1"/>
    <xf numFmtId="0" fontId="17" fillId="0" borderId="15" xfId="0" applyFont="1" applyFill="1" applyBorder="1"/>
    <xf numFmtId="0" fontId="17" fillId="0" borderId="16" xfId="0" applyFont="1" applyFill="1" applyBorder="1"/>
    <xf numFmtId="2" fontId="17" fillId="0" borderId="0" xfId="0" applyNumberFormat="1" applyFont="1" applyBorder="1"/>
    <xf numFmtId="10" fontId="17" fillId="0" borderId="0" xfId="1" applyNumberFormat="1" applyFont="1" applyBorder="1"/>
    <xf numFmtId="0" fontId="17" fillId="6" borderId="15" xfId="0" applyFont="1" applyFill="1" applyBorder="1"/>
    <xf numFmtId="0" fontId="17" fillId="6" borderId="14" xfId="0" applyFont="1" applyFill="1" applyBorder="1"/>
    <xf numFmtId="0" fontId="17" fillId="6" borderId="16" xfId="0" applyFont="1" applyFill="1" applyBorder="1"/>
    <xf numFmtId="0" fontId="17" fillId="0" borderId="14" xfId="0" applyFont="1" applyBorder="1"/>
    <xf numFmtId="2" fontId="17" fillId="0" borderId="15" xfId="0" applyNumberFormat="1" applyFont="1" applyBorder="1"/>
    <xf numFmtId="0" fontId="17" fillId="0" borderId="15" xfId="0" applyFont="1" applyBorder="1"/>
    <xf numFmtId="0" fontId="17" fillId="0" borderId="16" xfId="0" applyFont="1" applyBorder="1"/>
    <xf numFmtId="0" fontId="18" fillId="0" borderId="0" xfId="0" applyFont="1" applyFill="1" applyBorder="1"/>
    <xf numFmtId="0" fontId="19" fillId="0" borderId="0" xfId="0" applyFont="1" applyFill="1" applyBorder="1"/>
    <xf numFmtId="9" fontId="19" fillId="0" borderId="0" xfId="1" applyFont="1" applyFill="1" applyBorder="1"/>
    <xf numFmtId="0" fontId="19" fillId="0" borderId="17" xfId="0" applyFont="1" applyFill="1" applyBorder="1"/>
    <xf numFmtId="0" fontId="16" fillId="9" borderId="22" xfId="0" applyFont="1" applyFill="1" applyBorder="1"/>
    <xf numFmtId="0" fontId="19" fillId="0" borderId="18" xfId="0" applyFont="1" applyFill="1" applyBorder="1"/>
    <xf numFmtId="0" fontId="0" fillId="0" borderId="0" xfId="0" applyAlignment="1">
      <alignment horizontal="center"/>
    </xf>
    <xf numFmtId="0" fontId="0" fillId="0" borderId="21" xfId="0" applyFont="1" applyFill="1" applyBorder="1" applyProtection="1"/>
    <xf numFmtId="0" fontId="1" fillId="0" borderId="0" xfId="0" applyFont="1" applyFill="1" applyProtection="1"/>
    <xf numFmtId="0" fontId="0" fillId="0" borderId="0" xfId="0" applyFill="1" applyProtection="1"/>
    <xf numFmtId="9" fontId="0" fillId="0" borderId="21" xfId="0" applyNumberFormat="1" applyFont="1" applyFill="1" applyBorder="1" applyProtection="1"/>
    <xf numFmtId="0" fontId="0" fillId="0" borderId="0" xfId="0" applyFill="1" applyBorder="1"/>
    <xf numFmtId="0" fontId="0" fillId="0" borderId="0" xfId="0" applyFill="1" applyBorder="1" applyAlignment="1">
      <alignment wrapText="1"/>
    </xf>
    <xf numFmtId="0" fontId="0" fillId="7" borderId="21" xfId="0" applyFill="1" applyBorder="1"/>
    <xf numFmtId="2" fontId="0" fillId="7" borderId="21" xfId="0" applyNumberFormat="1" applyFont="1" applyFill="1" applyBorder="1" applyProtection="1"/>
    <xf numFmtId="16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167" fontId="0" fillId="0" borderId="21" xfId="0" applyNumberFormat="1" applyFont="1" applyFill="1" applyBorder="1"/>
    <xf numFmtId="1" fontId="0" fillId="0" borderId="21" xfId="0" applyNumberFormat="1" applyFont="1" applyFill="1" applyBorder="1" applyProtection="1"/>
    <xf numFmtId="0" fontId="0" fillId="3" borderId="0" xfId="0" applyFill="1"/>
    <xf numFmtId="0" fontId="0" fillId="7" borderId="0" xfId="0" applyFill="1"/>
    <xf numFmtId="0" fontId="0" fillId="10" borderId="14" xfId="0" applyFill="1" applyBorder="1"/>
    <xf numFmtId="0" fontId="0" fillId="10" borderId="15" xfId="0" applyFill="1" applyBorder="1"/>
    <xf numFmtId="0" fontId="0" fillId="10" borderId="16" xfId="0" applyFill="1" applyBorder="1"/>
    <xf numFmtId="0" fontId="0" fillId="10" borderId="17" xfId="0" applyFill="1" applyBorder="1"/>
    <xf numFmtId="0" fontId="0" fillId="10" borderId="0" xfId="0" applyFill="1" applyBorder="1"/>
    <xf numFmtId="0" fontId="0" fillId="10" borderId="18" xfId="0" applyFill="1" applyBorder="1"/>
    <xf numFmtId="0" fontId="0" fillId="10" borderId="19" xfId="0" applyFill="1" applyBorder="1"/>
    <xf numFmtId="0" fontId="0" fillId="10" borderId="13" xfId="0" applyFill="1" applyBorder="1"/>
    <xf numFmtId="0" fontId="0" fillId="10" borderId="20" xfId="0" applyFill="1" applyBorder="1"/>
    <xf numFmtId="0" fontId="0" fillId="10" borderId="27" xfId="0" applyFill="1" applyBorder="1"/>
    <xf numFmtId="0" fontId="0" fillId="10" borderId="12" xfId="0" applyFill="1" applyBorder="1"/>
    <xf numFmtId="0" fontId="21" fillId="10" borderId="0" xfId="0" applyFont="1" applyFill="1" applyBorder="1"/>
    <xf numFmtId="0" fontId="0" fillId="0" borderId="0" xfId="0" applyFill="1"/>
    <xf numFmtId="0" fontId="0" fillId="0" borderId="0" xfId="0" applyFont="1" applyFill="1"/>
    <xf numFmtId="0" fontId="1" fillId="6" borderId="21" xfId="0" applyFont="1" applyFill="1" applyBorder="1"/>
    <xf numFmtId="0" fontId="0" fillId="0" borderId="21" xfId="0" quotePrefix="1" applyFont="1" applyFill="1" applyBorder="1"/>
    <xf numFmtId="0" fontId="0" fillId="0" borderId="21" xfId="0" applyFont="1" applyFill="1" applyBorder="1" applyAlignment="1">
      <alignment horizontal="left"/>
    </xf>
    <xf numFmtId="166" fontId="0" fillId="0" borderId="21" xfId="0" applyNumberFormat="1" applyFont="1" applyFill="1" applyBorder="1" applyAlignment="1">
      <alignment horizontal="left"/>
    </xf>
    <xf numFmtId="0" fontId="0" fillId="0" borderId="21" xfId="0" quotePrefix="1" applyFont="1" applyFill="1" applyBorder="1" applyAlignment="1">
      <alignment horizontal="left"/>
    </xf>
    <xf numFmtId="166" fontId="0" fillId="0" borderId="21" xfId="1" applyNumberFormat="1" applyFont="1" applyFill="1" applyBorder="1" applyAlignment="1">
      <alignment horizontal="left"/>
    </xf>
    <xf numFmtId="0" fontId="0" fillId="0" borderId="21" xfId="0" applyBorder="1" applyAlignment="1">
      <alignment wrapText="1"/>
    </xf>
    <xf numFmtId="0" fontId="22" fillId="0" borderId="21" xfId="0" applyFont="1" applyFill="1" applyBorder="1" applyAlignment="1">
      <alignment horizontal="center" vertical="center"/>
    </xf>
    <xf numFmtId="0" fontId="0" fillId="3" borderId="21" xfId="0" applyFill="1" applyBorder="1" applyAlignment="1">
      <alignment wrapText="1"/>
    </xf>
    <xf numFmtId="0" fontId="0" fillId="3" borderId="5" xfId="0" applyFill="1" applyBorder="1" applyAlignment="1">
      <alignment wrapText="1"/>
    </xf>
    <xf numFmtId="9" fontId="0" fillId="0" borderId="21" xfId="1" applyFont="1" applyFill="1" applyBorder="1" applyProtection="1"/>
    <xf numFmtId="9" fontId="0" fillId="0" borderId="21" xfId="1" applyFont="1" applyBorder="1"/>
    <xf numFmtId="0" fontId="1" fillId="0" borderId="12" xfId="0" applyFont="1" applyBorder="1"/>
    <xf numFmtId="0" fontId="24" fillId="0" borderId="0" xfId="0" applyFont="1" applyBorder="1"/>
    <xf numFmtId="0" fontId="24" fillId="0" borderId="18" xfId="0" applyFont="1" applyBorder="1"/>
    <xf numFmtId="0" fontId="1" fillId="0" borderId="14" xfId="0" applyFont="1" applyBorder="1"/>
    <xf numFmtId="0" fontId="0" fillId="0" borderId="0" xfId="0" applyAlignment="1">
      <alignment horizontal="left"/>
    </xf>
    <xf numFmtId="0" fontId="0" fillId="0" borderId="21" xfId="0" applyBorder="1" applyAlignment="1">
      <alignment horizontal="left"/>
    </xf>
    <xf numFmtId="0" fontId="0" fillId="0" borderId="21" xfId="0" applyBorder="1" applyAlignment="1">
      <alignment horizontal="center"/>
    </xf>
    <xf numFmtId="0" fontId="0" fillId="12" borderId="0" xfId="0" applyFill="1" applyBorder="1"/>
    <xf numFmtId="0" fontId="0" fillId="7" borderId="0" xfId="0" applyFill="1" applyBorder="1"/>
    <xf numFmtId="0" fontId="0" fillId="6" borderId="0" xfId="0" applyFill="1" applyBorder="1"/>
    <xf numFmtId="0" fontId="25" fillId="0" borderId="0" xfId="0" applyFont="1"/>
    <xf numFmtId="0" fontId="0" fillId="0" borderId="0" xfId="0" applyAlignment="1">
      <alignment horizontal="center"/>
    </xf>
    <xf numFmtId="2" fontId="24" fillId="0" borderId="0" xfId="0" applyNumberFormat="1" applyFont="1" applyBorder="1"/>
    <xf numFmtId="0" fontId="0" fillId="3" borderId="21" xfId="0" applyFill="1" applyBorder="1" applyProtection="1"/>
    <xf numFmtId="0" fontId="0" fillId="0" borderId="21" xfId="0" applyBorder="1" applyAlignment="1">
      <alignment horizontal="center" vertical="center"/>
    </xf>
    <xf numFmtId="0" fontId="0" fillId="0" borderId="21" xfId="0" applyFill="1" applyBorder="1" applyAlignment="1" applyProtection="1">
      <alignment horizontal="center" vertical="center"/>
    </xf>
    <xf numFmtId="0" fontId="0" fillId="3" borderId="21" xfId="0" applyFill="1" applyBorder="1" applyAlignment="1" applyProtection="1">
      <alignment horizontal="center"/>
    </xf>
    <xf numFmtId="0" fontId="0" fillId="0" borderId="21" xfId="0" applyFill="1" applyBorder="1" applyAlignment="1" applyProtection="1">
      <alignment horizontal="center"/>
    </xf>
    <xf numFmtId="0" fontId="0" fillId="3" borderId="21" xfId="0" applyFont="1" applyFill="1" applyBorder="1" applyAlignment="1">
      <alignment horizontal="center"/>
    </xf>
    <xf numFmtId="0" fontId="0" fillId="6" borderId="21" xfId="0" applyFill="1" applyBorder="1"/>
    <xf numFmtId="2" fontId="13" fillId="0" borderId="21" xfId="0" applyNumberFormat="1" applyFont="1" applyFill="1" applyBorder="1" applyProtection="1"/>
    <xf numFmtId="0" fontId="26" fillId="0" borderId="12" xfId="0" applyFont="1" applyBorder="1"/>
    <xf numFmtId="0" fontId="13" fillId="7" borderId="21" xfId="0" applyFont="1" applyFill="1" applyBorder="1"/>
    <xf numFmtId="0" fontId="0" fillId="14" borderId="21" xfId="0" applyFill="1" applyBorder="1"/>
    <xf numFmtId="2" fontId="0" fillId="14" borderId="21" xfId="0" applyNumberFormat="1" applyFont="1" applyFill="1" applyBorder="1" applyProtection="1"/>
    <xf numFmtId="0" fontId="0" fillId="14" borderId="0" xfId="0" applyFill="1"/>
    <xf numFmtId="0" fontId="0" fillId="13" borderId="0" xfId="0" applyFill="1"/>
    <xf numFmtId="0" fontId="13" fillId="15" borderId="0" xfId="0" applyFont="1" applyFill="1"/>
    <xf numFmtId="0" fontId="26" fillId="0" borderId="0" xfId="0" applyFont="1"/>
    <xf numFmtId="0" fontId="1" fillId="0" borderId="17" xfId="0" applyFont="1" applyBorder="1"/>
    <xf numFmtId="0" fontId="1" fillId="0" borderId="19" xfId="0" applyFont="1" applyBorder="1"/>
    <xf numFmtId="0" fontId="1" fillId="16" borderId="14" xfId="0" applyFont="1" applyFill="1" applyBorder="1"/>
    <xf numFmtId="0" fontId="0" fillId="16" borderId="16" xfId="0" applyFill="1" applyBorder="1"/>
    <xf numFmtId="0" fontId="1" fillId="16" borderId="17" xfId="0" applyFont="1" applyFill="1" applyBorder="1"/>
    <xf numFmtId="0" fontId="0" fillId="16" borderId="18" xfId="0" applyFill="1" applyBorder="1"/>
    <xf numFmtId="0" fontId="1" fillId="16" borderId="19" xfId="0" applyFont="1" applyFill="1" applyBorder="1"/>
    <xf numFmtId="0" fontId="0" fillId="16" borderId="20" xfId="0" applyFill="1" applyBorder="1"/>
    <xf numFmtId="0" fontId="0" fillId="16" borderId="0" xfId="0" applyFont="1" applyFill="1" applyBorder="1"/>
    <xf numFmtId="0" fontId="0" fillId="16" borderId="12" xfId="0" applyFill="1" applyBorder="1"/>
    <xf numFmtId="0" fontId="0" fillId="16" borderId="0" xfId="0" applyFill="1" applyBorder="1"/>
    <xf numFmtId="0" fontId="28" fillId="0" borderId="14" xfId="0" applyFont="1" applyBorder="1"/>
    <xf numFmtId="0" fontId="0" fillId="0" borderId="13" xfId="0" applyFill="1" applyBorder="1"/>
    <xf numFmtId="0" fontId="1" fillId="16" borderId="0" xfId="0" applyFont="1" applyFill="1" applyBorder="1"/>
    <xf numFmtId="0" fontId="0" fillId="16" borderId="13" xfId="0" applyFill="1" applyBorder="1"/>
    <xf numFmtId="0" fontId="28" fillId="0" borderId="17" xfId="0" applyFont="1" applyBorder="1"/>
    <xf numFmtId="0" fontId="1" fillId="0" borderId="29" xfId="0" applyFont="1" applyBorder="1"/>
    <xf numFmtId="0" fontId="1" fillId="0" borderId="30" xfId="0" applyFont="1" applyBorder="1"/>
    <xf numFmtId="0" fontId="0" fillId="0" borderId="27" xfId="0" applyBorder="1"/>
    <xf numFmtId="0" fontId="26" fillId="0" borderId="17" xfId="0" applyFont="1" applyBorder="1"/>
    <xf numFmtId="0" fontId="27" fillId="0" borderId="0" xfId="0" applyFont="1" applyBorder="1"/>
    <xf numFmtId="0" fontId="0" fillId="17" borderId="21" xfId="0" applyFill="1" applyBorder="1"/>
    <xf numFmtId="2" fontId="0" fillId="17" borderId="21" xfId="0" applyNumberFormat="1" applyFont="1" applyFill="1" applyBorder="1" applyProtection="1"/>
    <xf numFmtId="2" fontId="0" fillId="0" borderId="12" xfId="0" applyNumberFormat="1" applyBorder="1"/>
    <xf numFmtId="2" fontId="0" fillId="0" borderId="21" xfId="1" applyNumberFormat="1" applyFont="1" applyBorder="1"/>
    <xf numFmtId="2" fontId="0" fillId="0" borderId="21" xfId="1" applyNumberFormat="1" applyFont="1" applyFill="1" applyBorder="1" applyProtection="1"/>
    <xf numFmtId="11" fontId="0" fillId="0" borderId="0" xfId="0" applyNumberFormat="1"/>
    <xf numFmtId="2" fontId="0" fillId="0" borderId="0" xfId="1" applyNumberFormat="1" applyFont="1"/>
    <xf numFmtId="0" fontId="0" fillId="0" borderId="21" xfId="0" applyFill="1" applyBorder="1" applyAlignment="1">
      <alignment horizontal="center"/>
    </xf>
    <xf numFmtId="0" fontId="0" fillId="0" borderId="12" xfId="0" applyBorder="1" applyAlignment="1">
      <alignment wrapText="1"/>
    </xf>
    <xf numFmtId="0" fontId="0" fillId="0" borderId="12" xfId="0" applyFill="1" applyBorder="1" applyAlignment="1">
      <alignment wrapText="1"/>
    </xf>
    <xf numFmtId="9" fontId="0" fillId="0" borderId="12" xfId="1" applyFont="1" applyBorder="1"/>
    <xf numFmtId="1" fontId="0" fillId="0" borderId="0" xfId="0" applyNumberFormat="1"/>
    <xf numFmtId="0" fontId="13" fillId="0" borderId="0" xfId="0" applyFont="1" applyAlignment="1">
      <alignment wrapText="1"/>
    </xf>
    <xf numFmtId="0" fontId="0" fillId="18" borderId="0" xfId="0" applyFill="1"/>
    <xf numFmtId="0" fontId="0" fillId="18" borderId="0" xfId="0" applyFill="1" applyBorder="1"/>
    <xf numFmtId="2" fontId="0" fillId="0" borderId="0" xfId="0" applyNumberFormat="1" applyFill="1"/>
    <xf numFmtId="0" fontId="14" fillId="0" borderId="0" xfId="2" applyFont="1"/>
    <xf numFmtId="0" fontId="0" fillId="0" borderId="12" xfId="0" applyFill="1" applyBorder="1"/>
    <xf numFmtId="0" fontId="0" fillId="0" borderId="11" xfId="0" applyBorder="1"/>
    <xf numFmtId="0" fontId="29" fillId="0" borderId="0" xfId="0" applyFont="1"/>
    <xf numFmtId="0" fontId="0" fillId="0" borderId="17" xfId="0" applyFill="1" applyBorder="1"/>
    <xf numFmtId="0" fontId="1" fillId="0" borderId="15" xfId="0" applyFont="1" applyBorder="1"/>
    <xf numFmtId="0" fontId="27" fillId="0" borderId="0" xfId="0" applyFont="1"/>
    <xf numFmtId="0" fontId="31" fillId="0" borderId="17" xfId="0" applyFont="1" applyBorder="1"/>
    <xf numFmtId="21" fontId="0" fillId="0" borderId="0" xfId="0" applyNumberFormat="1"/>
    <xf numFmtId="46" fontId="0" fillId="0" borderId="0" xfId="0" applyNumberFormat="1"/>
    <xf numFmtId="0" fontId="31" fillId="0" borderId="0" xfId="0" applyFont="1"/>
    <xf numFmtId="11" fontId="0" fillId="0" borderId="0" xfId="0" applyNumberFormat="1" applyBorder="1"/>
    <xf numFmtId="9" fontId="1" fillId="0" borderId="18" xfId="1" applyFont="1" applyBorder="1"/>
    <xf numFmtId="9" fontId="1" fillId="0" borderId="20" xfId="1" applyFont="1" applyBorder="1"/>
    <xf numFmtId="0" fontId="0" fillId="0" borderId="30" xfId="0" applyBorder="1"/>
    <xf numFmtId="0" fontId="0" fillId="0" borderId="33" xfId="0" applyBorder="1"/>
    <xf numFmtId="9" fontId="0" fillId="0" borderId="21" xfId="0" applyNumberFormat="1" applyBorder="1"/>
    <xf numFmtId="0" fontId="0" fillId="19" borderId="32" xfId="0" applyFill="1" applyBorder="1"/>
    <xf numFmtId="2" fontId="0" fillId="19" borderId="32" xfId="0" applyNumberFormat="1" applyFill="1" applyBorder="1"/>
    <xf numFmtId="11" fontId="0" fillId="19" borderId="7" xfId="0" applyNumberFormat="1" applyFill="1" applyBorder="1"/>
    <xf numFmtId="11" fontId="0" fillId="19" borderId="31" xfId="0" applyNumberFormat="1" applyFill="1" applyBorder="1"/>
    <xf numFmtId="0" fontId="1" fillId="3" borderId="32" xfId="0" applyFont="1" applyFill="1" applyBorder="1"/>
    <xf numFmtId="0" fontId="13" fillId="11" borderId="6" xfId="0" applyFont="1" applyFill="1" applyBorder="1"/>
    <xf numFmtId="0" fontId="13" fillId="11" borderId="31" xfId="0" applyFont="1" applyFill="1" applyBorder="1"/>
    <xf numFmtId="0" fontId="1" fillId="20" borderId="32" xfId="0" applyFont="1" applyFill="1" applyBorder="1"/>
    <xf numFmtId="9" fontId="0" fillId="0" borderId="3" xfId="0" applyNumberFormat="1" applyBorder="1"/>
    <xf numFmtId="2" fontId="0" fillId="14" borderId="21" xfId="0" applyNumberFormat="1" applyFill="1" applyBorder="1"/>
    <xf numFmtId="0" fontId="0" fillId="14" borderId="26" xfId="0" applyFill="1" applyBorder="1"/>
    <xf numFmtId="165" fontId="0" fillId="0" borderId="0" xfId="0" applyNumberFormat="1" applyFill="1" applyBorder="1" applyAlignment="1">
      <alignment wrapText="1"/>
    </xf>
    <xf numFmtId="0" fontId="0" fillId="20" borderId="12" xfId="0" applyFill="1" applyBorder="1" applyAlignment="1">
      <alignment wrapText="1"/>
    </xf>
    <xf numFmtId="0" fontId="32" fillId="0" borderId="0" xfId="4" applyFill="1"/>
    <xf numFmtId="0" fontId="14" fillId="0" borderId="0" xfId="2"/>
    <xf numFmtId="0" fontId="32" fillId="0" borderId="21" xfId="4" applyFill="1" applyBorder="1"/>
    <xf numFmtId="0" fontId="31" fillId="0" borderId="0" xfId="0" applyFont="1" applyFill="1" applyBorder="1" applyAlignment="1">
      <alignment wrapText="1"/>
    </xf>
    <xf numFmtId="0" fontId="0" fillId="21" borderId="21" xfId="0" applyFill="1" applyBorder="1"/>
    <xf numFmtId="0" fontId="0" fillId="20" borderId="0" xfId="0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13" fillId="0" borderId="0" xfId="0" applyFont="1"/>
    <xf numFmtId="0" fontId="13" fillId="0" borderId="0" xfId="0" applyFont="1" applyFill="1"/>
    <xf numFmtId="9" fontId="0" fillId="0" borderId="0" xfId="1" applyFont="1" applyFill="1" applyBorder="1" applyAlignment="1">
      <alignment wrapText="1"/>
    </xf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0" fillId="22" borderId="17" xfId="0" applyFill="1" applyBorder="1"/>
    <xf numFmtId="0" fontId="0" fillId="22" borderId="0" xfId="0" applyFill="1" applyBorder="1"/>
    <xf numFmtId="0" fontId="0" fillId="22" borderId="18" xfId="0" applyFill="1" applyBorder="1"/>
    <xf numFmtId="0" fontId="1" fillId="22" borderId="17" xfId="0" applyFont="1" applyFill="1" applyBorder="1"/>
    <xf numFmtId="0" fontId="0" fillId="22" borderId="19" xfId="0" applyFill="1" applyBorder="1"/>
    <xf numFmtId="0" fontId="0" fillId="22" borderId="13" xfId="0" applyFill="1" applyBorder="1"/>
    <xf numFmtId="0" fontId="0" fillId="22" borderId="20" xfId="0" applyFill="1" applyBorder="1"/>
    <xf numFmtId="10" fontId="0" fillId="0" borderId="0" xfId="1" applyNumberFormat="1" applyFont="1" applyFill="1" applyBorder="1" applyAlignment="1">
      <alignment wrapText="1"/>
    </xf>
    <xf numFmtId="0" fontId="35" fillId="10" borderId="0" xfId="0" applyFont="1" applyFill="1"/>
    <xf numFmtId="0" fontId="37" fillId="10" borderId="12" xfId="6" applyNumberFormat="1" applyFont="1" applyFill="1" applyBorder="1" applyAlignment="1">
      <alignment horizontal="center"/>
    </xf>
    <xf numFmtId="0" fontId="37" fillId="10" borderId="12" xfId="0" applyNumberFormat="1" applyFont="1" applyFill="1" applyBorder="1" applyAlignment="1">
      <alignment horizontal="center"/>
    </xf>
    <xf numFmtId="0" fontId="37" fillId="10" borderId="30" xfId="0" applyNumberFormat="1" applyFont="1" applyFill="1" applyBorder="1" applyAlignment="1">
      <alignment horizontal="center"/>
    </xf>
    <xf numFmtId="0" fontId="38" fillId="10" borderId="0" xfId="0" applyFont="1" applyFill="1" applyAlignment="1">
      <alignment horizontal="center"/>
    </xf>
    <xf numFmtId="0" fontId="37" fillId="10" borderId="0" xfId="6" applyNumberFormat="1" applyFont="1" applyFill="1" applyBorder="1" applyAlignment="1">
      <alignment horizontal="left" wrapText="1"/>
    </xf>
    <xf numFmtId="164" fontId="38" fillId="10" borderId="0" xfId="0" applyNumberFormat="1" applyFont="1" applyFill="1" applyAlignment="1">
      <alignment horizontal="right"/>
    </xf>
    <xf numFmtId="164" fontId="38" fillId="10" borderId="0" xfId="0" applyNumberFormat="1" applyFont="1" applyFill="1" applyBorder="1" applyAlignment="1">
      <alignment horizontal="right"/>
    </xf>
    <xf numFmtId="169" fontId="38" fillId="10" borderId="0" xfId="7" applyNumberFormat="1" applyFont="1" applyFill="1" applyBorder="1" applyAlignment="1" applyProtection="1">
      <alignment horizontal="right"/>
    </xf>
    <xf numFmtId="170" fontId="38" fillId="10" borderId="0" xfId="0" applyNumberFormat="1" applyFont="1" applyFill="1" applyBorder="1" applyAlignment="1" applyProtection="1"/>
    <xf numFmtId="169" fontId="38" fillId="10" borderId="0" xfId="0" applyNumberFormat="1" applyFont="1" applyFill="1" applyBorder="1" applyAlignment="1" applyProtection="1"/>
    <xf numFmtId="169" fontId="38" fillId="10" borderId="0" xfId="0" applyNumberFormat="1" applyFont="1" applyFill="1" applyBorder="1" applyAlignment="1" applyProtection="1">
      <alignment horizontal="right"/>
    </xf>
    <xf numFmtId="0" fontId="38" fillId="10" borderId="0" xfId="0" applyFont="1" applyFill="1"/>
    <xf numFmtId="0" fontId="38" fillId="10" borderId="0" xfId="6" applyFont="1" applyFill="1" applyBorder="1" applyAlignment="1">
      <alignment horizontal="left" indent="1"/>
    </xf>
    <xf numFmtId="169" fontId="38" fillId="10" borderId="0" xfId="7" applyNumberFormat="1" applyFont="1" applyFill="1" applyBorder="1" applyAlignment="1" applyProtection="1">
      <alignment horizontal="right" vertical="center"/>
    </xf>
    <xf numFmtId="164" fontId="38" fillId="10" borderId="0" xfId="6" applyNumberFormat="1" applyFont="1" applyFill="1" applyBorder="1" applyAlignment="1">
      <alignment horizontal="right"/>
    </xf>
    <xf numFmtId="0" fontId="37" fillId="10" borderId="0" xfId="6" applyFont="1" applyFill="1" applyBorder="1" applyAlignment="1">
      <alignment horizontal="left"/>
    </xf>
    <xf numFmtId="0" fontId="38" fillId="10" borderId="0" xfId="0" applyFont="1" applyFill="1" applyBorder="1"/>
    <xf numFmtId="0" fontId="38" fillId="10" borderId="0" xfId="6" applyFont="1" applyFill="1" applyBorder="1" applyAlignment="1">
      <alignment horizontal="left" indent="2"/>
    </xf>
    <xf numFmtId="171" fontId="38" fillId="10" borderId="0" xfId="6" applyNumberFormat="1" applyFont="1" applyFill="1" applyBorder="1" applyAlignment="1">
      <alignment horizontal="right"/>
    </xf>
    <xf numFmtId="0" fontId="38" fillId="10" borderId="0" xfId="6" applyFont="1" applyFill="1" applyBorder="1" applyAlignment="1">
      <alignment horizontal="left" indent="3"/>
    </xf>
    <xf numFmtId="0" fontId="38" fillId="10" borderId="13" xfId="6" applyFont="1" applyFill="1" applyBorder="1" applyAlignment="1">
      <alignment horizontal="left" indent="1"/>
    </xf>
    <xf numFmtId="164" fontId="38" fillId="10" borderId="13" xfId="6" applyNumberFormat="1" applyFont="1" applyFill="1" applyBorder="1" applyAlignment="1">
      <alignment horizontal="right"/>
    </xf>
    <xf numFmtId="164" fontId="38" fillId="10" borderId="13" xfId="0" applyNumberFormat="1" applyFont="1" applyFill="1" applyBorder="1" applyAlignment="1">
      <alignment horizontal="right"/>
    </xf>
    <xf numFmtId="171" fontId="38" fillId="10" borderId="13" xfId="6" applyNumberFormat="1" applyFont="1" applyFill="1" applyBorder="1" applyAlignment="1">
      <alignment horizontal="right"/>
    </xf>
    <xf numFmtId="0" fontId="42" fillId="10" borderId="0" xfId="0" applyFont="1" applyFill="1" applyAlignment="1">
      <alignment horizontal="left"/>
    </xf>
    <xf numFmtId="0" fontId="42" fillId="10" borderId="0" xfId="0" applyFont="1" applyFill="1" applyBorder="1" applyAlignment="1">
      <alignment horizontal="left"/>
    </xf>
    <xf numFmtId="0" fontId="42" fillId="10" borderId="0" xfId="0" applyFont="1" applyFill="1" applyAlignment="1"/>
    <xf numFmtId="49" fontId="41" fillId="10" borderId="0" xfId="0" applyNumberFormat="1" applyFont="1" applyFill="1" applyAlignment="1">
      <alignment horizontal="left"/>
    </xf>
    <xf numFmtId="0" fontId="45" fillId="10" borderId="0" xfId="0" applyFont="1" applyFill="1"/>
    <xf numFmtId="166" fontId="35" fillId="10" borderId="0" xfId="0" applyNumberFormat="1" applyFont="1" applyFill="1"/>
    <xf numFmtId="164" fontId="35" fillId="10" borderId="0" xfId="0" applyNumberFormat="1" applyFont="1" applyFill="1"/>
    <xf numFmtId="0" fontId="1" fillId="0" borderId="32" xfId="0" applyFont="1" applyBorder="1"/>
    <xf numFmtId="0" fontId="0" fillId="23" borderId="0" xfId="0" applyFill="1"/>
    <xf numFmtId="0" fontId="32" fillId="0" borderId="21" xfId="4" applyBorder="1"/>
    <xf numFmtId="168" fontId="0" fillId="0" borderId="0" xfId="0" applyNumberFormat="1" applyFill="1" applyBorder="1" applyAlignment="1">
      <alignment wrapText="1"/>
    </xf>
    <xf numFmtId="0" fontId="23" fillId="0" borderId="0" xfId="0" applyFont="1" applyBorder="1"/>
    <xf numFmtId="0" fontId="0" fillId="0" borderId="0" xfId="0" applyBorder="1" applyAlignment="1">
      <alignment wrapText="1"/>
    </xf>
    <xf numFmtId="0" fontId="17" fillId="0" borderId="22" xfId="0" applyFont="1" applyFill="1" applyBorder="1"/>
    <xf numFmtId="9" fontId="17" fillId="0" borderId="23" xfId="0" applyNumberFormat="1" applyFont="1" applyFill="1" applyBorder="1"/>
    <xf numFmtId="0" fontId="0" fillId="3" borderId="0" xfId="0" applyFill="1" applyBorder="1" applyAlignment="1">
      <alignment wrapText="1"/>
    </xf>
    <xf numFmtId="0" fontId="0" fillId="0" borderId="25" xfId="0" applyBorder="1"/>
    <xf numFmtId="0" fontId="0" fillId="0" borderId="0" xfId="0" applyBorder="1" applyAlignment="1">
      <alignment horizontal="center"/>
    </xf>
    <xf numFmtId="172" fontId="0" fillId="0" borderId="0" xfId="0" applyNumberFormat="1" applyFill="1" applyBorder="1" applyAlignment="1">
      <alignment wrapText="1"/>
    </xf>
    <xf numFmtId="9" fontId="0" fillId="0" borderId="0" xfId="0" applyNumberFormat="1"/>
    <xf numFmtId="2" fontId="0" fillId="0" borderId="0" xfId="0" applyNumberFormat="1" applyFill="1" applyBorder="1" applyAlignment="1">
      <alignment wrapText="1"/>
    </xf>
    <xf numFmtId="2" fontId="13" fillId="0" borderId="0" xfId="0" applyNumberFormat="1" applyFont="1" applyFill="1" applyBorder="1" applyAlignment="1">
      <alignment wrapText="1"/>
    </xf>
    <xf numFmtId="173" fontId="0" fillId="0" borderId="21" xfId="8" applyNumberFormat="1" applyFont="1" applyBorder="1"/>
    <xf numFmtId="0" fontId="0" fillId="10" borderId="0" xfId="0" applyFill="1"/>
    <xf numFmtId="0" fontId="0" fillId="10" borderId="12" xfId="0" applyFill="1" applyBorder="1" applyAlignment="1">
      <alignment wrapText="1"/>
    </xf>
    <xf numFmtId="2" fontId="0" fillId="10" borderId="12" xfId="0" applyNumberFormat="1" applyFill="1" applyBorder="1"/>
    <xf numFmtId="2" fontId="0" fillId="10" borderId="0" xfId="0" applyNumberFormat="1" applyFill="1" applyBorder="1"/>
    <xf numFmtId="0" fontId="0" fillId="10" borderId="22" xfId="0" applyFill="1" applyBorder="1"/>
    <xf numFmtId="0" fontId="0" fillId="10" borderId="24" xfId="0" applyFill="1" applyBorder="1"/>
    <xf numFmtId="0" fontId="0" fillId="10" borderId="23" xfId="0" applyFill="1" applyBorder="1"/>
    <xf numFmtId="0" fontId="0" fillId="10" borderId="25" xfId="0" applyFill="1" applyBorder="1" applyAlignment="1">
      <alignment wrapText="1"/>
    </xf>
    <xf numFmtId="0" fontId="0" fillId="10" borderId="8" xfId="0" applyFill="1" applyBorder="1"/>
    <xf numFmtId="2" fontId="0" fillId="0" borderId="32" xfId="0" applyNumberFormat="1" applyBorder="1"/>
    <xf numFmtId="44" fontId="0" fillId="0" borderId="0" xfId="3" applyFont="1"/>
    <xf numFmtId="0" fontId="0" fillId="0" borderId="26" xfId="0" applyBorder="1"/>
    <xf numFmtId="0" fontId="0" fillId="0" borderId="3" xfId="0" applyBorder="1"/>
    <xf numFmtId="9" fontId="0" fillId="0" borderId="21" xfId="1" applyFont="1" applyFill="1" applyBorder="1"/>
    <xf numFmtId="11" fontId="0" fillId="19" borderId="6" xfId="0" applyNumberFormat="1" applyFont="1" applyFill="1" applyBorder="1"/>
    <xf numFmtId="0" fontId="0" fillId="10" borderId="2" xfId="0" applyFill="1" applyBorder="1"/>
    <xf numFmtId="0" fontId="0" fillId="10" borderId="28" xfId="0" applyFill="1" applyBorder="1"/>
    <xf numFmtId="0" fontId="0" fillId="10" borderId="25" xfId="0" applyFill="1" applyBorder="1"/>
    <xf numFmtId="2" fontId="0" fillId="10" borderId="28" xfId="0" applyNumberFormat="1" applyFill="1" applyBorder="1"/>
    <xf numFmtId="9" fontId="0" fillId="10" borderId="12" xfId="1" applyFont="1" applyFill="1" applyBorder="1"/>
    <xf numFmtId="2" fontId="0" fillId="10" borderId="8" xfId="0" applyNumberFormat="1" applyFill="1" applyBorder="1"/>
    <xf numFmtId="174" fontId="0" fillId="10" borderId="12" xfId="1" applyNumberFormat="1" applyFont="1" applyFill="1" applyBorder="1"/>
    <xf numFmtId="174" fontId="0" fillId="10" borderId="25" xfId="1" applyNumberFormat="1" applyFont="1" applyFill="1" applyBorder="1"/>
    <xf numFmtId="174" fontId="0" fillId="10" borderId="8" xfId="1" applyNumberFormat="1" applyFont="1" applyFill="1" applyBorder="1"/>
    <xf numFmtId="9" fontId="0" fillId="10" borderId="8" xfId="0" applyNumberFormat="1" applyFill="1" applyBorder="1"/>
    <xf numFmtId="0" fontId="0" fillId="10" borderId="34" xfId="0" applyFill="1" applyBorder="1" applyAlignment="1">
      <alignment wrapText="1"/>
    </xf>
    <xf numFmtId="0" fontId="0" fillId="10" borderId="1" xfId="0" applyFill="1" applyBorder="1"/>
    <xf numFmtId="11" fontId="0" fillId="14" borderId="21" xfId="0" applyNumberFormat="1" applyFont="1" applyFill="1" applyBorder="1" applyProtection="1"/>
    <xf numFmtId="0" fontId="0" fillId="10" borderId="28" xfId="0" applyFill="1" applyBorder="1" applyAlignment="1">
      <alignment horizontal="center"/>
    </xf>
    <xf numFmtId="0" fontId="0" fillId="10" borderId="25" xfId="0" applyFill="1" applyBorder="1" applyAlignment="1"/>
    <xf numFmtId="0" fontId="0" fillId="10" borderId="25" xfId="0" applyFill="1" applyBorder="1" applyAlignment="1">
      <alignment horizontal="center"/>
    </xf>
    <xf numFmtId="2" fontId="0" fillId="10" borderId="25" xfId="0" applyNumberFormat="1" applyFill="1" applyBorder="1"/>
    <xf numFmtId="9" fontId="0" fillId="10" borderId="25" xfId="1" applyFont="1" applyFill="1" applyBorder="1"/>
    <xf numFmtId="9" fontId="0" fillId="10" borderId="26" xfId="1" applyFont="1" applyFill="1" applyBorder="1"/>
    <xf numFmtId="9" fontId="0" fillId="0" borderId="12" xfId="0" applyNumberFormat="1" applyBorder="1"/>
    <xf numFmtId="175" fontId="0" fillId="0" borderId="0" xfId="0" applyNumberFormat="1"/>
    <xf numFmtId="0" fontId="0" fillId="0" borderId="0" xfId="0" applyFill="1" applyBorder="1" applyAlignment="1">
      <alignment horizontal="center"/>
    </xf>
    <xf numFmtId="1" fontId="0" fillId="14" borderId="21" xfId="0" applyNumberFormat="1" applyFill="1" applyBorder="1"/>
    <xf numFmtId="1" fontId="0" fillId="0" borderId="21" xfId="0" applyNumberFormat="1" applyBorder="1"/>
    <xf numFmtId="0" fontId="0" fillId="0" borderId="0" xfId="0" applyFont="1" applyFill="1" applyBorder="1" applyProtection="1"/>
    <xf numFmtId="0" fontId="27" fillId="0" borderId="21" xfId="0" applyFont="1" applyFill="1" applyBorder="1"/>
    <xf numFmtId="0" fontId="27" fillId="0" borderId="21" xfId="0" applyFont="1" applyBorder="1"/>
    <xf numFmtId="0" fontId="27" fillId="0" borderId="0" xfId="0" applyFont="1" applyFill="1" applyBorder="1" applyAlignment="1">
      <alignment wrapText="1"/>
    </xf>
    <xf numFmtId="2" fontId="27" fillId="0" borderId="0" xfId="0" applyNumberFormat="1" applyFont="1" applyFill="1" applyBorder="1" applyAlignment="1">
      <alignment wrapText="1"/>
    </xf>
    <xf numFmtId="0" fontId="0" fillId="24" borderId="0" xfId="0" applyFill="1"/>
    <xf numFmtId="0" fontId="14" fillId="24" borderId="0" xfId="2" applyFill="1"/>
    <xf numFmtId="0" fontId="1" fillId="24" borderId="24" xfId="0" applyFont="1" applyFill="1" applyBorder="1" applyAlignment="1">
      <alignment horizontal="center"/>
    </xf>
    <xf numFmtId="0" fontId="13" fillId="3" borderId="0" xfId="0" applyFont="1" applyFill="1"/>
    <xf numFmtId="0" fontId="0" fillId="9" borderId="0" xfId="0" applyFill="1"/>
    <xf numFmtId="0" fontId="0" fillId="6" borderId="0" xfId="0" applyFill="1"/>
    <xf numFmtId="49" fontId="49" fillId="0" borderId="0" xfId="0" applyNumberFormat="1" applyFont="1"/>
    <xf numFmtId="176" fontId="49" fillId="0" borderId="0" xfId="0" applyNumberFormat="1" applyFont="1"/>
    <xf numFmtId="176" fontId="49" fillId="0" borderId="13" xfId="0" applyNumberFormat="1" applyFont="1" applyBorder="1"/>
    <xf numFmtId="0" fontId="0" fillId="0" borderId="0" xfId="0" applyFill="1" applyAlignment="1">
      <alignment horizontal="center"/>
    </xf>
    <xf numFmtId="8" fontId="0" fillId="0" borderId="0" xfId="0" applyNumberFormat="1" applyFill="1" applyAlignment="1">
      <alignment horizontal="center"/>
    </xf>
    <xf numFmtId="44" fontId="0" fillId="0" borderId="0" xfId="3" applyFont="1" applyFill="1" applyAlignment="1">
      <alignment horizontal="center"/>
    </xf>
    <xf numFmtId="49" fontId="50" fillId="0" borderId="0" xfId="0" applyNumberFormat="1" applyFont="1"/>
    <xf numFmtId="44" fontId="0" fillId="0" borderId="0" xfId="0" applyNumberFormat="1" applyFill="1" applyAlignment="1">
      <alignment horizontal="center"/>
    </xf>
    <xf numFmtId="0" fontId="0" fillId="21" borderId="0" xfId="0" applyFill="1"/>
    <xf numFmtId="0" fontId="0" fillId="0" borderId="26" xfId="0" applyFill="1" applyBorder="1"/>
    <xf numFmtId="177" fontId="0" fillId="0" borderId="0" xfId="0" applyNumberFormat="1"/>
    <xf numFmtId="11" fontId="0" fillId="14" borderId="21" xfId="0" applyNumberFormat="1" applyFill="1" applyBorder="1"/>
    <xf numFmtId="0" fontId="32" fillId="0" borderId="21" xfId="10" applyFill="1" applyBorder="1" applyAlignment="1">
      <alignment horizontal="left" wrapText="1"/>
    </xf>
    <xf numFmtId="0" fontId="0" fillId="0" borderId="35" xfId="0" applyBorder="1"/>
    <xf numFmtId="11" fontId="0" fillId="0" borderId="35" xfId="0" applyNumberFormat="1" applyBorder="1"/>
    <xf numFmtId="11" fontId="0" fillId="0" borderId="0" xfId="0" applyNumberFormat="1" applyAlignment="1"/>
    <xf numFmtId="0" fontId="0" fillId="13" borderId="35" xfId="0" applyFill="1" applyBorder="1"/>
    <xf numFmtId="11" fontId="0" fillId="13" borderId="0" xfId="0" applyNumberFormat="1" applyFill="1"/>
    <xf numFmtId="0" fontId="0" fillId="13" borderId="0" xfId="0" applyFill="1" applyBorder="1"/>
    <xf numFmtId="0" fontId="0" fillId="0" borderId="0" xfId="0" applyAlignment="1"/>
    <xf numFmtId="0" fontId="0" fillId="6" borderId="35" xfId="0" applyFill="1" applyBorder="1"/>
    <xf numFmtId="11" fontId="0" fillId="6" borderId="0" xfId="0" applyNumberFormat="1" applyFill="1"/>
    <xf numFmtId="2" fontId="0" fillId="6" borderId="0" xfId="0" applyNumberFormat="1" applyFill="1"/>
    <xf numFmtId="2" fontId="0" fillId="6" borderId="0" xfId="0" applyNumberFormat="1" applyFill="1" applyBorder="1"/>
    <xf numFmtId="0" fontId="0" fillId="0" borderId="36" xfId="0" applyBorder="1"/>
    <xf numFmtId="11" fontId="0" fillId="0" borderId="36" xfId="0" applyNumberFormat="1" applyBorder="1"/>
    <xf numFmtId="11" fontId="0" fillId="0" borderId="13" xfId="0" applyNumberFormat="1" applyBorder="1"/>
    <xf numFmtId="0" fontId="0" fillId="0" borderId="13" xfId="0" applyBorder="1" applyAlignment="1"/>
    <xf numFmtId="0" fontId="0" fillId="6" borderId="36" xfId="0" applyFill="1" applyBorder="1"/>
    <xf numFmtId="0" fontId="0" fillId="6" borderId="13" xfId="0" applyFill="1" applyBorder="1"/>
    <xf numFmtId="11" fontId="0" fillId="6" borderId="13" xfId="0" applyNumberFormat="1" applyFill="1" applyBorder="1"/>
    <xf numFmtId="2" fontId="0" fillId="6" borderId="13" xfId="0" applyNumberFormat="1" applyFill="1" applyBorder="1"/>
    <xf numFmtId="2" fontId="0" fillId="0" borderId="13" xfId="0" applyNumberFormat="1" applyBorder="1"/>
    <xf numFmtId="0" fontId="0" fillId="5" borderId="37" xfId="0" applyFill="1" applyBorder="1" applyAlignment="1">
      <alignment wrapText="1"/>
    </xf>
    <xf numFmtId="0" fontId="0" fillId="5" borderId="38" xfId="0" applyFill="1" applyBorder="1" applyAlignment="1">
      <alignment wrapText="1"/>
    </xf>
    <xf numFmtId="0" fontId="0" fillId="5" borderId="21" xfId="0" applyFill="1" applyBorder="1" applyAlignment="1">
      <alignment wrapText="1"/>
    </xf>
    <xf numFmtId="0" fontId="0" fillId="5" borderId="25" xfId="0" applyFill="1" applyBorder="1" applyAlignment="1">
      <alignment wrapText="1"/>
    </xf>
    <xf numFmtId="0" fontId="0" fillId="5" borderId="21" xfId="0" applyFill="1" applyBorder="1" applyAlignment="1"/>
    <xf numFmtId="0" fontId="0" fillId="15" borderId="21" xfId="0" applyFill="1" applyBorder="1"/>
    <xf numFmtId="2" fontId="0" fillId="15" borderId="21" xfId="0" applyNumberFormat="1" applyFont="1" applyFill="1" applyBorder="1" applyProtection="1"/>
    <xf numFmtId="166" fontId="0" fillId="0" borderId="0" xfId="0" applyNumberFormat="1" applyFill="1" applyBorder="1" applyAlignment="1">
      <alignment wrapText="1"/>
    </xf>
    <xf numFmtId="0" fontId="32" fillId="0" borderId="21" xfId="10" applyBorder="1"/>
    <xf numFmtId="0" fontId="0" fillId="0" borderId="21" xfId="0" applyBorder="1" applyAlignment="1">
      <alignment horizontal="left" wrapText="1"/>
    </xf>
    <xf numFmtId="0" fontId="0" fillId="0" borderId="21" xfId="0" applyBorder="1" applyAlignment="1">
      <alignment horizontal="left" vertical="top" wrapText="1"/>
    </xf>
    <xf numFmtId="0" fontId="32" fillId="0" borderId="21" xfId="10" applyBorder="1" applyAlignment="1">
      <alignment horizontal="left"/>
    </xf>
    <xf numFmtId="178" fontId="0" fillId="0" borderId="0" xfId="0" applyNumberFormat="1"/>
    <xf numFmtId="10" fontId="0" fillId="0" borderId="0" xfId="0" applyNumberFormat="1"/>
    <xf numFmtId="0" fontId="0" fillId="0" borderId="39" xfId="0" applyFill="1" applyBorder="1" applyAlignment="1">
      <alignment wrapText="1"/>
    </xf>
    <xf numFmtId="9" fontId="0" fillId="0" borderId="39" xfId="0" applyNumberFormat="1" applyBorder="1"/>
    <xf numFmtId="2" fontId="0" fillId="13" borderId="0" xfId="0" applyNumberFormat="1" applyFill="1"/>
    <xf numFmtId="0" fontId="26" fillId="23" borderId="21" xfId="0" applyFont="1" applyFill="1" applyBorder="1"/>
    <xf numFmtId="0" fontId="0" fillId="13" borderId="21" xfId="0" applyFill="1" applyBorder="1" applyAlignment="1">
      <alignment horizontal="center" vertical="center"/>
    </xf>
    <xf numFmtId="0" fontId="0" fillId="13" borderId="21" xfId="0" applyFill="1" applyBorder="1"/>
    <xf numFmtId="2" fontId="0" fillId="13" borderId="21" xfId="0" applyNumberFormat="1" applyFont="1" applyFill="1" applyBorder="1" applyProtection="1"/>
    <xf numFmtId="0" fontId="0" fillId="0" borderId="21" xfId="0" applyFill="1" applyBorder="1" applyAlignment="1">
      <alignment horizontal="center" vertical="center"/>
    </xf>
    <xf numFmtId="0" fontId="26" fillId="0" borderId="21" xfId="0" applyFont="1" applyBorder="1"/>
    <xf numFmtId="179" fontId="0" fillId="0" borderId="21" xfId="0" applyNumberFormat="1" applyFont="1" applyFill="1" applyBorder="1" applyProtection="1"/>
    <xf numFmtId="9" fontId="0" fillId="0" borderId="0" xfId="1" applyNumberFormat="1" applyFont="1" applyFill="1" applyBorder="1" applyAlignment="1">
      <alignment wrapText="1"/>
    </xf>
    <xf numFmtId="2" fontId="0" fillId="0" borderId="21" xfId="0" applyNumberFormat="1" applyFill="1" applyBorder="1"/>
    <xf numFmtId="2" fontId="1" fillId="0" borderId="0" xfId="0" applyNumberFormat="1" applyFont="1"/>
    <xf numFmtId="14" fontId="0" fillId="0" borderId="0" xfId="0" applyNumberFormat="1"/>
    <xf numFmtId="0" fontId="32" fillId="0" borderId="21" xfId="10" applyFill="1" applyBorder="1"/>
    <xf numFmtId="0" fontId="32" fillId="0" borderId="21" xfId="10" applyFill="1" applyBorder="1" applyAlignment="1">
      <alignment horizontal="left"/>
    </xf>
    <xf numFmtId="0" fontId="0" fillId="0" borderId="4" xfId="0" applyFill="1" applyBorder="1" applyAlignment="1">
      <alignment horizontal="center" vertical="center"/>
    </xf>
    <xf numFmtId="175" fontId="0" fillId="17" borderId="21" xfId="0" applyNumberFormat="1" applyFont="1" applyFill="1" applyBorder="1" applyProtection="1"/>
    <xf numFmtId="0" fontId="1" fillId="23" borderId="0" xfId="0" applyFont="1" applyFill="1"/>
    <xf numFmtId="0" fontId="1" fillId="23" borderId="13" xfId="0" applyFont="1" applyFill="1" applyBorder="1"/>
    <xf numFmtId="0" fontId="0" fillId="26" borderId="0" xfId="0" applyFill="1"/>
    <xf numFmtId="44" fontId="0" fillId="0" borderId="0" xfId="0" applyNumberFormat="1"/>
    <xf numFmtId="2" fontId="27" fillId="0" borderId="21" xfId="0" applyNumberFormat="1" applyFont="1" applyFill="1" applyBorder="1" applyProtection="1"/>
    <xf numFmtId="0" fontId="1" fillId="26" borderId="0" xfId="0" applyFont="1" applyFill="1"/>
    <xf numFmtId="0" fontId="1" fillId="14" borderId="0" xfId="0" applyFont="1" applyFill="1"/>
    <xf numFmtId="164" fontId="1" fillId="14" borderId="0" xfId="0" applyNumberFormat="1" applyFont="1" applyFill="1"/>
    <xf numFmtId="0" fontId="0" fillId="23" borderId="22" xfId="0" applyFill="1" applyBorder="1"/>
    <xf numFmtId="0" fontId="0" fillId="23" borderId="24" xfId="0" applyFill="1" applyBorder="1"/>
    <xf numFmtId="0" fontId="0" fillId="23" borderId="23" xfId="0" applyFill="1" applyBorder="1"/>
    <xf numFmtId="180" fontId="0" fillId="0" borderId="17" xfId="0" applyNumberFormat="1" applyBorder="1"/>
    <xf numFmtId="10" fontId="0" fillId="0" borderId="0" xfId="1" applyNumberFormat="1" applyFont="1"/>
    <xf numFmtId="181" fontId="0" fillId="0" borderId="0" xfId="1" applyNumberFormat="1" applyFont="1"/>
    <xf numFmtId="0" fontId="0" fillId="20" borderId="14" xfId="0" applyFill="1" applyBorder="1"/>
    <xf numFmtId="0" fontId="0" fillId="20" borderId="15" xfId="0" applyFill="1" applyBorder="1"/>
    <xf numFmtId="0" fontId="0" fillId="20" borderId="16" xfId="0" applyFill="1" applyBorder="1"/>
    <xf numFmtId="0" fontId="0" fillId="20" borderId="17" xfId="0" applyFill="1" applyBorder="1"/>
    <xf numFmtId="0" fontId="0" fillId="20" borderId="0" xfId="0" applyFill="1" applyBorder="1"/>
    <xf numFmtId="0" fontId="0" fillId="20" borderId="18" xfId="0" applyFill="1" applyBorder="1"/>
    <xf numFmtId="0" fontId="0" fillId="20" borderId="19" xfId="0" applyFill="1" applyBorder="1"/>
    <xf numFmtId="0" fontId="1" fillId="20" borderId="22" xfId="0" applyFont="1" applyFill="1" applyBorder="1"/>
    <xf numFmtId="0" fontId="1" fillId="20" borderId="23" xfId="0" applyFont="1" applyFill="1" applyBorder="1"/>
    <xf numFmtId="0" fontId="1" fillId="0" borderId="0" xfId="0" applyFont="1" applyFill="1" applyBorder="1" applyAlignment="1">
      <alignment horizontal="center"/>
    </xf>
    <xf numFmtId="9" fontId="0" fillId="0" borderId="19" xfId="1" applyFont="1" applyBorder="1"/>
    <xf numFmtId="0" fontId="1" fillId="3" borderId="22" xfId="0" applyFont="1" applyFill="1" applyBorder="1" applyAlignment="1">
      <alignment wrapText="1"/>
    </xf>
    <xf numFmtId="0" fontId="1" fillId="3" borderId="24" xfId="0" applyFont="1" applyFill="1" applyBorder="1" applyAlignment="1">
      <alignment wrapText="1"/>
    </xf>
    <xf numFmtId="0" fontId="1" fillId="3" borderId="23" xfId="0" applyFont="1" applyFill="1" applyBorder="1" applyAlignment="1">
      <alignment wrapText="1"/>
    </xf>
    <xf numFmtId="167" fontId="1" fillId="0" borderId="17" xfId="0" applyNumberFormat="1" applyFont="1" applyBorder="1"/>
    <xf numFmtId="167" fontId="1" fillId="0" borderId="0" xfId="0" applyNumberFormat="1" applyFont="1" applyBorder="1"/>
    <xf numFmtId="167" fontId="1" fillId="0" borderId="18" xfId="0" applyNumberFormat="1" applyFont="1" applyBorder="1"/>
    <xf numFmtId="167" fontId="1" fillId="0" borderId="19" xfId="0" applyNumberFormat="1" applyFont="1" applyBorder="1"/>
    <xf numFmtId="167" fontId="1" fillId="0" borderId="13" xfId="0" applyNumberFormat="1" applyFont="1" applyBorder="1"/>
    <xf numFmtId="167" fontId="1" fillId="0" borderId="20" xfId="0" applyNumberFormat="1" applyFont="1" applyBorder="1"/>
    <xf numFmtId="0" fontId="1" fillId="3" borderId="0" xfId="0" applyFont="1" applyFill="1"/>
    <xf numFmtId="11" fontId="0" fillId="0" borderId="0" xfId="0" applyNumberFormat="1" applyFill="1" applyBorder="1" applyAlignment="1">
      <alignment wrapText="1"/>
    </xf>
    <xf numFmtId="11" fontId="0" fillId="0" borderId="17" xfId="0" applyNumberFormat="1" applyBorder="1"/>
    <xf numFmtId="11" fontId="0" fillId="0" borderId="19" xfId="0" applyNumberFormat="1" applyBorder="1"/>
    <xf numFmtId="0" fontId="1" fillId="0" borderId="22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26" fillId="0" borderId="22" xfId="0" applyFont="1" applyBorder="1"/>
    <xf numFmtId="0" fontId="26" fillId="0" borderId="24" xfId="0" applyFont="1" applyBorder="1"/>
    <xf numFmtId="0" fontId="26" fillId="0" borderId="23" xfId="0" applyFont="1" applyBorder="1"/>
    <xf numFmtId="0" fontId="26" fillId="0" borderId="14" xfId="0" applyFont="1" applyBorder="1"/>
    <xf numFmtId="0" fontId="27" fillId="22" borderId="0" xfId="0" applyFont="1" applyFill="1" applyBorder="1"/>
    <xf numFmtId="0" fontId="13" fillId="14" borderId="21" xfId="0" applyFont="1" applyFill="1" applyBorder="1"/>
    <xf numFmtId="0" fontId="13" fillId="17" borderId="21" xfId="0" applyFont="1" applyFill="1" applyBorder="1"/>
    <xf numFmtId="181" fontId="0" fillId="0" borderId="0" xfId="1" applyNumberFormat="1" applyFont="1" applyFill="1" applyBorder="1" applyAlignment="1">
      <alignment wrapText="1"/>
    </xf>
    <xf numFmtId="0" fontId="27" fillId="17" borderId="21" xfId="0" applyFont="1" applyFill="1" applyBorder="1"/>
    <xf numFmtId="2" fontId="27" fillId="17" borderId="21" xfId="0" applyNumberFormat="1" applyFont="1" applyFill="1" applyBorder="1" applyProtection="1"/>
    <xf numFmtId="0" fontId="0" fillId="21" borderId="14" xfId="0" applyFill="1" applyBorder="1"/>
    <xf numFmtId="0" fontId="0" fillId="21" borderId="15" xfId="0" applyFill="1" applyBorder="1"/>
    <xf numFmtId="0" fontId="0" fillId="21" borderId="16" xfId="0" applyFill="1" applyBorder="1"/>
    <xf numFmtId="0" fontId="0" fillId="21" borderId="17" xfId="0" applyFill="1" applyBorder="1"/>
    <xf numFmtId="0" fontId="0" fillId="21" borderId="0" xfId="0" applyFill="1" applyBorder="1"/>
    <xf numFmtId="0" fontId="0" fillId="21" borderId="18" xfId="0" applyFill="1" applyBorder="1"/>
    <xf numFmtId="0" fontId="0" fillId="21" borderId="19" xfId="0" applyFill="1" applyBorder="1"/>
    <xf numFmtId="0" fontId="0" fillId="21" borderId="13" xfId="0" applyFill="1" applyBorder="1"/>
    <xf numFmtId="0" fontId="0" fillId="21" borderId="20" xfId="0" applyFill="1" applyBorder="1"/>
    <xf numFmtId="2" fontId="13" fillId="17" borderId="21" xfId="0" applyNumberFormat="1" applyFont="1" applyFill="1" applyBorder="1" applyProtection="1"/>
    <xf numFmtId="0" fontId="14" fillId="0" borderId="21" xfId="2" applyBorder="1"/>
    <xf numFmtId="0" fontId="14" fillId="0" borderId="12" xfId="2" applyBorder="1"/>
    <xf numFmtId="182" fontId="0" fillId="0" borderId="0" xfId="0" applyNumberFormat="1" applyFill="1" applyBorder="1" applyAlignment="1">
      <alignment wrapText="1"/>
    </xf>
    <xf numFmtId="167" fontId="0" fillId="0" borderId="0" xfId="0" applyNumberFormat="1" applyFont="1"/>
    <xf numFmtId="0" fontId="1" fillId="0" borderId="0" xfId="0" applyFont="1" applyBorder="1" applyAlignment="1">
      <alignment horizontal="center"/>
    </xf>
    <xf numFmtId="0" fontId="0" fillId="19" borderId="0" xfId="0" applyFill="1"/>
    <xf numFmtId="0" fontId="0" fillId="17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52" fillId="0" borderId="0" xfId="0" applyFont="1"/>
    <xf numFmtId="171" fontId="53" fillId="32" borderId="21" xfId="0" applyNumberFormat="1" applyFont="1" applyFill="1" applyBorder="1" applyAlignment="1">
      <alignment horizontal="center" vertical="center" wrapText="1"/>
    </xf>
    <xf numFmtId="183" fontId="53" fillId="32" borderId="21" xfId="0" applyNumberFormat="1" applyFont="1" applyFill="1" applyBorder="1" applyAlignment="1">
      <alignment horizontal="center" vertical="center" wrapText="1"/>
    </xf>
    <xf numFmtId="171" fontId="53" fillId="32" borderId="44" xfId="0" applyNumberFormat="1" applyFont="1" applyFill="1" applyBorder="1" applyAlignment="1">
      <alignment horizontal="center" vertical="center" wrapText="1"/>
    </xf>
    <xf numFmtId="0" fontId="55" fillId="0" borderId="38" xfId="0" applyFont="1" applyBorder="1"/>
    <xf numFmtId="171" fontId="55" fillId="0" borderId="21" xfId="0" applyNumberFormat="1" applyFont="1" applyBorder="1"/>
    <xf numFmtId="183" fontId="55" fillId="0" borderId="21" xfId="0" applyNumberFormat="1" applyFont="1" applyBorder="1"/>
    <xf numFmtId="171" fontId="55" fillId="0" borderId="44" xfId="0" applyNumberFormat="1" applyFont="1" applyBorder="1"/>
    <xf numFmtId="0" fontId="55" fillId="0" borderId="45" xfId="0" applyFont="1" applyBorder="1"/>
    <xf numFmtId="171" fontId="55" fillId="0" borderId="3" xfId="0" applyNumberFormat="1" applyFont="1" applyBorder="1"/>
    <xf numFmtId="183" fontId="55" fillId="0" borderId="3" xfId="0" applyNumberFormat="1" applyFont="1" applyBorder="1"/>
    <xf numFmtId="171" fontId="55" fillId="0" borderId="46" xfId="0" applyNumberFormat="1" applyFont="1" applyBorder="1"/>
    <xf numFmtId="0" fontId="53" fillId="0" borderId="47" xfId="0" applyFont="1" applyBorder="1"/>
    <xf numFmtId="171" fontId="53" fillId="0" borderId="48" xfId="0" applyNumberFormat="1" applyFont="1" applyBorder="1"/>
    <xf numFmtId="183" fontId="53" fillId="0" borderId="48" xfId="0" applyNumberFormat="1" applyFont="1" applyBorder="1"/>
    <xf numFmtId="171" fontId="53" fillId="0" borderId="49" xfId="0" applyNumberFormat="1" applyFont="1" applyBorder="1"/>
    <xf numFmtId="0" fontId="56" fillId="0" borderId="0" xfId="0" applyFont="1"/>
    <xf numFmtId="0" fontId="55" fillId="0" borderId="0" xfId="0" applyFont="1"/>
    <xf numFmtId="171" fontId="55" fillId="0" borderId="0" xfId="0" applyNumberFormat="1" applyFont="1"/>
    <xf numFmtId="183" fontId="55" fillId="0" borderId="0" xfId="0" applyNumberFormat="1" applyFont="1"/>
    <xf numFmtId="171" fontId="57" fillId="0" borderId="0" xfId="0" applyNumberFormat="1" applyFont="1" applyAlignment="1">
      <alignment horizontal="right" vertical="center"/>
    </xf>
    <xf numFmtId="14" fontId="57" fillId="0" borderId="0" xfId="0" applyNumberFormat="1" applyFont="1" applyAlignment="1">
      <alignment horizontal="center" vertical="center"/>
    </xf>
    <xf numFmtId="171" fontId="52" fillId="0" borderId="0" xfId="0" applyNumberFormat="1" applyFont="1"/>
    <xf numFmtId="183" fontId="52" fillId="0" borderId="0" xfId="0" applyNumberFormat="1" applyFont="1"/>
    <xf numFmtId="0" fontId="27" fillId="0" borderId="0" xfId="0" applyFont="1" applyFill="1"/>
    <xf numFmtId="0" fontId="0" fillId="33" borderId="21" xfId="0" applyFill="1" applyBorder="1"/>
    <xf numFmtId="0" fontId="0" fillId="33" borderId="21" xfId="0" applyFill="1" applyBorder="1" applyAlignment="1">
      <alignment wrapText="1"/>
    </xf>
    <xf numFmtId="0" fontId="0" fillId="23" borderId="0" xfId="0" applyFill="1" applyBorder="1" applyAlignment="1">
      <alignment wrapText="1"/>
    </xf>
    <xf numFmtId="0" fontId="13" fillId="23" borderId="0" xfId="0" applyFont="1" applyFill="1" applyBorder="1" applyAlignment="1">
      <alignment wrapText="1"/>
    </xf>
    <xf numFmtId="167" fontId="0" fillId="0" borderId="0" xfId="0" applyNumberFormat="1" applyFont="1" applyFill="1"/>
    <xf numFmtId="0" fontId="23" fillId="0" borderId="0" xfId="0" applyFont="1"/>
    <xf numFmtId="179" fontId="0" fillId="0" borderId="0" xfId="0" applyNumberFormat="1"/>
    <xf numFmtId="0" fontId="26" fillId="33" borderId="21" xfId="0" applyFont="1" applyFill="1" applyBorder="1"/>
    <xf numFmtId="0" fontId="0" fillId="22" borderId="0" xfId="0" applyFill="1"/>
    <xf numFmtId="2" fontId="26" fillId="22" borderId="0" xfId="0" applyNumberFormat="1" applyFont="1" applyFill="1" applyBorder="1" applyAlignment="1">
      <alignment wrapText="1"/>
    </xf>
    <xf numFmtId="0" fontId="0" fillId="0" borderId="5" xfId="0" applyBorder="1"/>
    <xf numFmtId="0" fontId="1" fillId="0" borderId="20" xfId="0" applyFont="1" applyBorder="1"/>
    <xf numFmtId="9" fontId="0" fillId="0" borderId="5" xfId="0" applyNumberFormat="1" applyBorder="1"/>
    <xf numFmtId="185" fontId="0" fillId="0" borderId="5" xfId="0" applyNumberFormat="1" applyBorder="1"/>
    <xf numFmtId="0" fontId="14" fillId="0" borderId="0" xfId="2" applyBorder="1"/>
    <xf numFmtId="0" fontId="13" fillId="0" borderId="0" xfId="2" applyFont="1" applyBorder="1"/>
    <xf numFmtId="0" fontId="58" fillId="0" borderId="15" xfId="0" applyFont="1" applyBorder="1"/>
    <xf numFmtId="0" fontId="58" fillId="0" borderId="16" xfId="0" applyFont="1" applyBorder="1"/>
    <xf numFmtId="0" fontId="1" fillId="0" borderId="22" xfId="0" applyFont="1" applyBorder="1"/>
    <xf numFmtId="0" fontId="1" fillId="0" borderId="24" xfId="0" applyFont="1" applyBorder="1"/>
    <xf numFmtId="0" fontId="1" fillId="0" borderId="23" xfId="0" applyFont="1" applyBorder="1"/>
    <xf numFmtId="0" fontId="59" fillId="0" borderId="0" xfId="2" applyFont="1"/>
    <xf numFmtId="0" fontId="0" fillId="29" borderId="4" xfId="0" applyFill="1" applyBorder="1" applyAlignment="1" applyProtection="1">
      <alignment horizontal="center" vertical="center"/>
    </xf>
    <xf numFmtId="0" fontId="0" fillId="29" borderId="4" xfId="0" applyFill="1" applyBorder="1"/>
    <xf numFmtId="0" fontId="0" fillId="29" borderId="0" xfId="0" applyFill="1" applyBorder="1" applyAlignment="1" applyProtection="1">
      <alignment horizontal="center" vertical="center"/>
    </xf>
    <xf numFmtId="0" fontId="0" fillId="29" borderId="0" xfId="0" applyFill="1" applyBorder="1"/>
    <xf numFmtId="0" fontId="14" fillId="3" borderId="0" xfId="2" applyFill="1"/>
    <xf numFmtId="0" fontId="0" fillId="0" borderId="22" xfId="0" applyBorder="1"/>
    <xf numFmtId="0" fontId="0" fillId="0" borderId="24" xfId="0" applyBorder="1"/>
    <xf numFmtId="0" fontId="0" fillId="0" borderId="23" xfId="0" applyBorder="1"/>
    <xf numFmtId="174" fontId="0" fillId="0" borderId="0" xfId="1" applyNumberFormat="1" applyFont="1" applyFill="1" applyBorder="1" applyAlignment="1">
      <alignment wrapText="1"/>
    </xf>
    <xf numFmtId="10" fontId="0" fillId="0" borderId="21" xfId="1" applyNumberFormat="1" applyFont="1" applyBorder="1"/>
    <xf numFmtId="10" fontId="0" fillId="0" borderId="5" xfId="1" applyNumberFormat="1" applyFont="1" applyBorder="1"/>
    <xf numFmtId="6" fontId="0" fillId="0" borderId="0" xfId="0" applyNumberFormat="1"/>
    <xf numFmtId="10" fontId="0" fillId="23" borderId="0" xfId="1" applyNumberFormat="1" applyFont="1" applyFill="1"/>
    <xf numFmtId="10" fontId="0" fillId="0" borderId="21" xfId="0" applyNumberFormat="1" applyBorder="1"/>
    <xf numFmtId="2" fontId="1" fillId="23" borderId="0" xfId="0" applyNumberFormat="1" applyFont="1" applyFill="1"/>
    <xf numFmtId="164" fontId="0" fillId="0" borderId="0" xfId="0" applyNumberFormat="1" applyFill="1"/>
    <xf numFmtId="164" fontId="0" fillId="0" borderId="0" xfId="0" applyNumberFormat="1"/>
    <xf numFmtId="175" fontId="0" fillId="0" borderId="21" xfId="0" applyNumberFormat="1" applyFont="1" applyFill="1" applyBorder="1" applyProtection="1"/>
    <xf numFmtId="1" fontId="1" fillId="0" borderId="0" xfId="0" applyNumberFormat="1" applyFont="1"/>
    <xf numFmtId="0" fontId="1" fillId="0" borderId="39" xfId="0" applyFont="1" applyBorder="1"/>
    <xf numFmtId="9" fontId="1" fillId="0" borderId="39" xfId="0" applyNumberFormat="1" applyFont="1" applyBorder="1"/>
    <xf numFmtId="185" fontId="1" fillId="0" borderId="39" xfId="0" applyNumberFormat="1" applyFont="1" applyBorder="1"/>
    <xf numFmtId="0" fontId="0" fillId="0" borderId="4" xfId="0" applyBorder="1"/>
    <xf numFmtId="9" fontId="0" fillId="0" borderId="4" xfId="0" applyNumberFormat="1" applyBorder="1"/>
    <xf numFmtId="185" fontId="0" fillId="0" borderId="4" xfId="0" applyNumberFormat="1" applyBorder="1"/>
    <xf numFmtId="1" fontId="0" fillId="0" borderId="0" xfId="0" applyNumberFormat="1" applyBorder="1"/>
    <xf numFmtId="0" fontId="0" fillId="23" borderId="21" xfId="0" applyFill="1" applyBorder="1"/>
    <xf numFmtId="0" fontId="0" fillId="23" borderId="21" xfId="0" applyFont="1" applyFill="1" applyBorder="1"/>
    <xf numFmtId="0" fontId="14" fillId="0" borderId="16" xfId="2" applyBorder="1"/>
    <xf numFmtId="0" fontId="0" fillId="0" borderId="12" xfId="0" applyBorder="1" applyAlignment="1">
      <alignment horizontal="center"/>
    </xf>
    <xf numFmtId="0" fontId="14" fillId="23" borderId="0" xfId="2" applyFill="1"/>
    <xf numFmtId="0" fontId="27" fillId="14" borderId="0" xfId="0" applyFont="1" applyFill="1"/>
    <xf numFmtId="0" fontId="13" fillId="23" borderId="0" xfId="0" applyFont="1" applyFill="1"/>
    <xf numFmtId="2" fontId="0" fillId="0" borderId="20" xfId="0" applyNumberFormat="1" applyBorder="1"/>
    <xf numFmtId="0" fontId="0" fillId="0" borderId="2" xfId="0" applyFill="1" applyBorder="1"/>
    <xf numFmtId="16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1" fillId="0" borderId="12" xfId="0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34" borderId="0" xfId="0" applyFill="1"/>
    <xf numFmtId="9" fontId="0" fillId="0" borderId="0" xfId="1" applyFont="1" applyBorder="1"/>
    <xf numFmtId="9" fontId="0" fillId="0" borderId="16" xfId="1" applyFont="1" applyBorder="1"/>
    <xf numFmtId="9" fontId="0" fillId="0" borderId="18" xfId="1" applyFont="1" applyBorder="1"/>
    <xf numFmtId="9" fontId="0" fillId="0" borderId="20" xfId="1" applyFont="1" applyBorder="1"/>
    <xf numFmtId="9" fontId="0" fillId="24" borderId="0" xfId="1" applyFont="1" applyFill="1"/>
    <xf numFmtId="9" fontId="0" fillId="34" borderId="0" xfId="1" applyFont="1" applyFill="1"/>
    <xf numFmtId="9" fontId="0" fillId="0" borderId="0" xfId="1" applyFont="1" applyFill="1"/>
    <xf numFmtId="1" fontId="0" fillId="0" borderId="30" xfId="1" applyNumberFormat="1" applyFont="1" applyBorder="1"/>
    <xf numFmtId="174" fontId="0" fillId="0" borderId="0" xfId="1" applyNumberFormat="1" applyFont="1"/>
    <xf numFmtId="2" fontId="0" fillId="0" borderId="0" xfId="1" applyNumberFormat="1" applyFont="1" applyBorder="1"/>
    <xf numFmtId="164" fontId="0" fillId="0" borderId="0" xfId="1" applyNumberFormat="1" applyFont="1" applyBorder="1"/>
    <xf numFmtId="2" fontId="26" fillId="23" borderId="0" xfId="0" applyNumberFormat="1" applyFont="1" applyFill="1"/>
    <xf numFmtId="2" fontId="26" fillId="23" borderId="0" xfId="0" applyNumberFormat="1" applyFont="1" applyFill="1" applyBorder="1"/>
    <xf numFmtId="1" fontId="1" fillId="23" borderId="21" xfId="0" applyNumberFormat="1" applyFont="1" applyFill="1" applyBorder="1"/>
    <xf numFmtId="10" fontId="0" fillId="22" borderId="15" xfId="0" applyNumberFormat="1" applyFill="1" applyBorder="1"/>
    <xf numFmtId="1" fontId="0" fillId="22" borderId="0" xfId="0" applyNumberFormat="1" applyFill="1" applyBorder="1"/>
    <xf numFmtId="0" fontId="1" fillId="22" borderId="22" xfId="0" applyFont="1" applyFill="1" applyBorder="1"/>
    <xf numFmtId="164" fontId="1" fillId="22" borderId="24" xfId="0" applyNumberFormat="1" applyFont="1" applyFill="1" applyBorder="1"/>
    <xf numFmtId="0" fontId="1" fillId="22" borderId="24" xfId="0" applyFont="1" applyFill="1" applyBorder="1"/>
    <xf numFmtId="0" fontId="0" fillId="22" borderId="24" xfId="0" applyFill="1" applyBorder="1"/>
    <xf numFmtId="0" fontId="0" fillId="22" borderId="23" xfId="0" applyFill="1" applyBorder="1"/>
    <xf numFmtId="174" fontId="1" fillId="22" borderId="24" xfId="1" applyNumberFormat="1" applyFont="1" applyFill="1" applyBorder="1"/>
    <xf numFmtId="4" fontId="0" fillId="0" borderId="0" xfId="0" applyNumberFormat="1"/>
    <xf numFmtId="0" fontId="1" fillId="0" borderId="30" xfId="0" applyFont="1" applyFill="1" applyBorder="1"/>
    <xf numFmtId="0" fontId="1" fillId="0" borderId="27" xfId="0" applyFont="1" applyBorder="1"/>
    <xf numFmtId="0" fontId="1" fillId="0" borderId="0" xfId="0" applyFont="1" applyFill="1" applyBorder="1" applyAlignment="1"/>
    <xf numFmtId="0" fontId="1" fillId="35" borderId="32" xfId="0" applyFont="1" applyFill="1" applyBorder="1" applyAlignment="1"/>
    <xf numFmtId="2" fontId="0" fillId="0" borderId="17" xfId="0" applyNumberFormat="1" applyBorder="1"/>
    <xf numFmtId="2" fontId="1" fillId="0" borderId="27" xfId="0" applyNumberFormat="1" applyFont="1" applyBorder="1"/>
    <xf numFmtId="2" fontId="0" fillId="0" borderId="27" xfId="0" applyNumberFormat="1" applyBorder="1"/>
    <xf numFmtId="0" fontId="0" fillId="20" borderId="13" xfId="0" applyFill="1" applyBorder="1"/>
    <xf numFmtId="0" fontId="0" fillId="20" borderId="20" xfId="0" applyFill="1" applyBorder="1"/>
    <xf numFmtId="0" fontId="0" fillId="0" borderId="39" xfId="0" applyBorder="1"/>
    <xf numFmtId="0" fontId="0" fillId="23" borderId="21" xfId="0" applyFill="1" applyBorder="1" applyAlignment="1">
      <alignment horizontal="center" vertical="top" wrapText="1"/>
    </xf>
    <xf numFmtId="0" fontId="0" fillId="0" borderId="4" xfId="0" applyFill="1" applyBorder="1"/>
    <xf numFmtId="0" fontId="0" fillId="0" borderId="0" xfId="0" applyFill="1" applyBorder="1" applyAlignment="1">
      <alignment horizontal="center" vertical="center"/>
    </xf>
    <xf numFmtId="0" fontId="0" fillId="0" borderId="4" xfId="0" applyFill="1" applyBorder="1" applyAlignment="1" applyProtection="1">
      <alignment horizontal="center" vertical="center"/>
    </xf>
    <xf numFmtId="11" fontId="0" fillId="0" borderId="4" xfId="0" applyNumberFormat="1" applyBorder="1"/>
    <xf numFmtId="10" fontId="0" fillId="0" borderId="0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0" fontId="0" fillId="5" borderId="15" xfId="1" applyNumberFormat="1" applyFont="1" applyFill="1" applyBorder="1"/>
    <xf numFmtId="0" fontId="0" fillId="5" borderId="16" xfId="0" applyFill="1" applyBorder="1"/>
    <xf numFmtId="0" fontId="0" fillId="5" borderId="19" xfId="0" applyFill="1" applyBorder="1"/>
    <xf numFmtId="0" fontId="0" fillId="5" borderId="13" xfId="0" applyFill="1" applyBorder="1"/>
    <xf numFmtId="10" fontId="0" fillId="5" borderId="13" xfId="1" applyNumberFormat="1" applyFont="1" applyFill="1" applyBorder="1"/>
    <xf numFmtId="0" fontId="0" fillId="5" borderId="20" xfId="0" applyFill="1" applyBorder="1"/>
    <xf numFmtId="10" fontId="0" fillId="0" borderId="0" xfId="1" applyNumberFormat="1" applyFont="1" applyBorder="1"/>
    <xf numFmtId="11" fontId="0" fillId="0" borderId="4" xfId="0" applyNumberFormat="1" applyFill="1" applyBorder="1"/>
    <xf numFmtId="11" fontId="0" fillId="0" borderId="21" xfId="0" applyNumberFormat="1" applyFill="1" applyBorder="1"/>
    <xf numFmtId="0" fontId="32" fillId="0" borderId="0" xfId="10" applyFill="1" applyBorder="1"/>
    <xf numFmtId="0" fontId="0" fillId="5" borderId="22" xfId="0" applyFill="1" applyBorder="1"/>
    <xf numFmtId="0" fontId="0" fillId="5" borderId="24" xfId="0" applyFill="1" applyBorder="1"/>
    <xf numFmtId="0" fontId="0" fillId="5" borderId="23" xfId="0" applyFill="1" applyBorder="1"/>
    <xf numFmtId="165" fontId="0" fillId="0" borderId="0" xfId="0" applyNumberFormat="1" applyBorder="1"/>
    <xf numFmtId="186" fontId="0" fillId="0" borderId="0" xfId="0" applyNumberFormat="1"/>
    <xf numFmtId="0" fontId="0" fillId="20" borderId="22" xfId="0" applyFill="1" applyBorder="1"/>
    <xf numFmtId="2" fontId="0" fillId="20" borderId="24" xfId="0" applyNumberFormat="1" applyFill="1" applyBorder="1"/>
    <xf numFmtId="0" fontId="0" fillId="20" borderId="24" xfId="0" applyFill="1" applyBorder="1"/>
    <xf numFmtId="0" fontId="0" fillId="20" borderId="23" xfId="0" applyFill="1" applyBorder="1"/>
    <xf numFmtId="10" fontId="0" fillId="5" borderId="24" xfId="1" applyNumberFormat="1" applyFont="1" applyFill="1" applyBorder="1"/>
    <xf numFmtId="165" fontId="0" fillId="0" borderId="0" xfId="0" applyNumberFormat="1" applyFill="1"/>
    <xf numFmtId="186" fontId="0" fillId="23" borderId="0" xfId="0" applyNumberFormat="1" applyFill="1"/>
    <xf numFmtId="166" fontId="0" fillId="0" borderId="0" xfId="0" applyNumberFormat="1"/>
    <xf numFmtId="187" fontId="0" fillId="0" borderId="0" xfId="1" applyNumberFormat="1" applyFont="1"/>
    <xf numFmtId="167" fontId="0" fillId="0" borderId="0" xfId="0" applyNumberFormat="1"/>
    <xf numFmtId="165" fontId="0" fillId="0" borderId="0" xfId="0" applyNumberFormat="1"/>
    <xf numFmtId="0" fontId="53" fillId="32" borderId="34" xfId="0" applyFont="1" applyFill="1" applyBorder="1" applyAlignment="1">
      <alignment vertical="center" wrapText="1"/>
    </xf>
    <xf numFmtId="0" fontId="3" fillId="0" borderId="12" xfId="0" applyFont="1" applyBorder="1"/>
    <xf numFmtId="0" fontId="60" fillId="0" borderId="28" xfId="0" applyFont="1" applyFill="1" applyBorder="1" applyAlignment="1">
      <alignment vertical="center" wrapText="1"/>
    </xf>
    <xf numFmtId="0" fontId="5" fillId="0" borderId="0" xfId="0" applyFont="1" applyBorder="1"/>
    <xf numFmtId="171" fontId="5" fillId="0" borderId="0" xfId="0" applyNumberFormat="1" applyFont="1" applyBorder="1"/>
    <xf numFmtId="188" fontId="5" fillId="0" borderId="0" xfId="0" applyNumberFormat="1" applyFont="1" applyBorder="1"/>
    <xf numFmtId="0" fontId="5" fillId="0" borderId="12" xfId="0" applyFont="1" applyBorder="1"/>
    <xf numFmtId="171" fontId="5" fillId="0" borderId="12" xfId="0" applyNumberFormat="1" applyFont="1" applyBorder="1"/>
    <xf numFmtId="188" fontId="5" fillId="0" borderId="12" xfId="0" applyNumberFormat="1" applyFont="1" applyBorder="1"/>
    <xf numFmtId="0" fontId="60" fillId="0" borderId="28" xfId="0" applyFont="1" applyFill="1" applyBorder="1"/>
    <xf numFmtId="2" fontId="0" fillId="0" borderId="0" xfId="1" applyNumberFormat="1" applyFont="1" applyFill="1" applyBorder="1"/>
    <xf numFmtId="0" fontId="5" fillId="23" borderId="0" xfId="0" applyFont="1" applyFill="1" applyBorder="1"/>
    <xf numFmtId="0" fontId="4" fillId="0" borderId="12" xfId="0" applyFont="1" applyBorder="1"/>
    <xf numFmtId="2" fontId="3" fillId="0" borderId="0" xfId="0" applyNumberFormat="1" applyFont="1"/>
    <xf numFmtId="1" fontId="3" fillId="0" borderId="0" xfId="0" applyNumberFormat="1" applyFont="1"/>
    <xf numFmtId="11" fontId="3" fillId="0" borderId="0" xfId="0" applyNumberFormat="1" applyFont="1"/>
    <xf numFmtId="9" fontId="3" fillId="0" borderId="0" xfId="0" applyNumberFormat="1" applyFont="1"/>
    <xf numFmtId="9" fontId="3" fillId="0" borderId="12" xfId="0" applyNumberFormat="1" applyFont="1" applyBorder="1"/>
    <xf numFmtId="2" fontId="3" fillId="0" borderId="12" xfId="0" applyNumberFormat="1" applyFont="1" applyBorder="1"/>
    <xf numFmtId="167" fontId="3" fillId="0" borderId="0" xfId="0" applyNumberFormat="1" applyFont="1"/>
    <xf numFmtId="167" fontId="3" fillId="0" borderId="12" xfId="0" applyNumberFormat="1" applyFont="1" applyBorder="1"/>
    <xf numFmtId="0" fontId="0" fillId="0" borderId="53" xfId="0" applyBorder="1"/>
    <xf numFmtId="0" fontId="3" fillId="23" borderId="0" xfId="0" applyFont="1" applyFill="1"/>
    <xf numFmtId="188" fontId="60" fillId="0" borderId="28" xfId="0" applyNumberFormat="1" applyFont="1" applyFill="1" applyBorder="1" applyAlignment="1">
      <alignment vertical="center" wrapText="1"/>
    </xf>
    <xf numFmtId="10" fontId="3" fillId="0" borderId="0" xfId="1" applyNumberFormat="1" applyFont="1"/>
    <xf numFmtId="9" fontId="3" fillId="0" borderId="0" xfId="1" applyFont="1" applyBorder="1"/>
    <xf numFmtId="9" fontId="3" fillId="0" borderId="0" xfId="1" applyFont="1"/>
    <xf numFmtId="9" fontId="3" fillId="0" borderId="12" xfId="1" applyFont="1" applyBorder="1"/>
    <xf numFmtId="9" fontId="1" fillId="0" borderId="0" xfId="1" applyFont="1"/>
    <xf numFmtId="165" fontId="0" fillId="0" borderId="0" xfId="0" applyNumberFormat="1" applyFont="1" applyFill="1" applyBorder="1"/>
    <xf numFmtId="0" fontId="0" fillId="0" borderId="4" xfId="0" applyFont="1" applyFill="1" applyBorder="1"/>
    <xf numFmtId="167" fontId="0" fillId="0" borderId="0" xfId="1" applyNumberFormat="1" applyFont="1" applyBorder="1"/>
    <xf numFmtId="2" fontId="0" fillId="20" borderId="15" xfId="0" applyNumberFormat="1" applyFill="1" applyBorder="1"/>
    <xf numFmtId="2" fontId="0" fillId="20" borderId="13" xfId="0" applyNumberFormat="1" applyFont="1" applyFill="1" applyBorder="1"/>
    <xf numFmtId="166" fontId="0" fillId="0" borderId="0" xfId="0" applyNumberFormat="1" applyFill="1"/>
    <xf numFmtId="2" fontId="5" fillId="0" borderId="0" xfId="0" applyNumberFormat="1" applyFont="1" applyBorder="1"/>
    <xf numFmtId="0" fontId="60" fillId="0" borderId="2" xfId="0" applyFont="1" applyFill="1" applyBorder="1" applyAlignment="1">
      <alignment wrapText="1"/>
    </xf>
    <xf numFmtId="164" fontId="60" fillId="0" borderId="2" xfId="0" applyNumberFormat="1" applyFont="1" applyFill="1" applyBorder="1" applyAlignment="1">
      <alignment horizontal="center" wrapText="1"/>
    </xf>
    <xf numFmtId="164" fontId="63" fillId="0" borderId="2" xfId="0" applyNumberFormat="1" applyFont="1" applyFill="1" applyBorder="1" applyAlignment="1">
      <alignment horizontal="center" wrapText="1"/>
    </xf>
    <xf numFmtId="0" fontId="5" fillId="0" borderId="54" xfId="0" applyFont="1" applyBorder="1"/>
    <xf numFmtId="2" fontId="5" fillId="0" borderId="54" xfId="0" applyNumberFormat="1" applyFont="1" applyBorder="1"/>
    <xf numFmtId="0" fontId="1" fillId="0" borderId="21" xfId="0" applyFont="1" applyBorder="1"/>
    <xf numFmtId="0" fontId="66" fillId="0" borderId="34" xfId="0" applyFont="1" applyFill="1" applyBorder="1" applyAlignment="1">
      <alignment wrapText="1"/>
    </xf>
    <xf numFmtId="164" fontId="66" fillId="0" borderId="34" xfId="0" applyNumberFormat="1" applyFont="1" applyFill="1" applyBorder="1" applyAlignment="1">
      <alignment horizontal="center" wrapText="1"/>
    </xf>
    <xf numFmtId="164" fontId="67" fillId="0" borderId="34" xfId="0" applyNumberFormat="1" applyFont="1" applyFill="1" applyBorder="1" applyAlignment="1">
      <alignment horizontal="center" wrapText="1"/>
    </xf>
    <xf numFmtId="0" fontId="68" fillId="0" borderId="0" xfId="0" applyFont="1"/>
    <xf numFmtId="2" fontId="68" fillId="0" borderId="0" xfId="0" applyNumberFormat="1" applyFont="1"/>
    <xf numFmtId="0" fontId="68" fillId="0" borderId="12" xfId="0" applyFont="1" applyBorder="1"/>
    <xf numFmtId="2" fontId="68" fillId="0" borderId="12" xfId="0" applyNumberFormat="1" applyFont="1" applyBorder="1"/>
    <xf numFmtId="0" fontId="1" fillId="0" borderId="13" xfId="0" applyFont="1" applyFill="1" applyBorder="1"/>
    <xf numFmtId="0" fontId="3" fillId="0" borderId="28" xfId="0" applyFont="1" applyBorder="1"/>
    <xf numFmtId="0" fontId="0" fillId="0" borderId="0" xfId="0" applyAlignment="1">
      <alignment horizontal="center"/>
    </xf>
    <xf numFmtId="0" fontId="20" fillId="0" borderId="14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" fillId="6" borderId="25" xfId="0" applyFont="1" applyFill="1" applyBorder="1" applyAlignment="1">
      <alignment horizontal="center"/>
    </xf>
    <xf numFmtId="0" fontId="1" fillId="6" borderId="28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0" fillId="0" borderId="28" xfId="0" applyFont="1" applyFill="1" applyBorder="1" applyAlignment="1">
      <alignment horizontal="left"/>
    </xf>
    <xf numFmtId="0" fontId="0" fillId="0" borderId="26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6" borderId="21" xfId="0" applyFill="1" applyBorder="1" applyAlignment="1">
      <alignment horizontal="center" vertical="center" wrapText="1"/>
    </xf>
    <xf numFmtId="0" fontId="0" fillId="9" borderId="38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9" borderId="3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center" vertical="center" wrapText="1"/>
    </xf>
    <xf numFmtId="0" fontId="0" fillId="9" borderId="25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/>
    </xf>
    <xf numFmtId="0" fontId="0" fillId="9" borderId="38" xfId="0" applyFill="1" applyBorder="1" applyAlignment="1">
      <alignment horizontal="center" wrapText="1"/>
    </xf>
    <xf numFmtId="0" fontId="0" fillId="9" borderId="21" xfId="0" applyFill="1" applyBorder="1" applyAlignment="1">
      <alignment horizontal="center" wrapText="1"/>
    </xf>
    <xf numFmtId="0" fontId="0" fillId="9" borderId="38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23" fillId="11" borderId="22" xfId="0" applyFont="1" applyFill="1" applyBorder="1" applyAlignment="1">
      <alignment horizontal="center" wrapText="1"/>
    </xf>
    <xf numFmtId="0" fontId="23" fillId="11" borderId="24" xfId="0" applyFont="1" applyFill="1" applyBorder="1" applyAlignment="1">
      <alignment horizontal="center" wrapText="1"/>
    </xf>
    <xf numFmtId="0" fontId="23" fillId="11" borderId="23" xfId="0" applyFont="1" applyFill="1" applyBorder="1" applyAlignment="1">
      <alignment horizontal="center" wrapText="1"/>
    </xf>
    <xf numFmtId="0" fontId="23" fillId="11" borderId="22" xfId="0" applyFont="1" applyFill="1" applyBorder="1" applyAlignment="1">
      <alignment horizontal="center" vertical="center" wrapText="1"/>
    </xf>
    <xf numFmtId="0" fontId="23" fillId="11" borderId="24" xfId="0" applyFont="1" applyFill="1" applyBorder="1" applyAlignment="1">
      <alignment horizontal="center" vertical="center" wrapText="1"/>
    </xf>
    <xf numFmtId="0" fontId="23" fillId="11" borderId="23" xfId="0" applyFont="1" applyFill="1" applyBorder="1" applyAlignment="1">
      <alignment horizontal="center" vertical="center" wrapText="1"/>
    </xf>
    <xf numFmtId="0" fontId="51" fillId="0" borderId="40" xfId="0" applyFont="1" applyBorder="1" applyAlignment="1">
      <alignment horizontal="center" vertical="center" wrapText="1"/>
    </xf>
    <xf numFmtId="0" fontId="51" fillId="0" borderId="41" xfId="0" applyFont="1" applyBorder="1" applyAlignment="1">
      <alignment horizontal="center" vertical="center" wrapText="1"/>
    </xf>
    <xf numFmtId="0" fontId="51" fillId="0" borderId="42" xfId="0" applyFont="1" applyBorder="1" applyAlignment="1">
      <alignment horizontal="center" vertical="center" wrapText="1"/>
    </xf>
    <xf numFmtId="0" fontId="53" fillId="31" borderId="38" xfId="0" applyFont="1" applyFill="1" applyBorder="1" applyAlignment="1">
      <alignment horizontal="center" vertical="center" wrapText="1"/>
    </xf>
    <xf numFmtId="0" fontId="53" fillId="32" borderId="0" xfId="0" applyFont="1" applyFill="1" applyBorder="1" applyAlignment="1">
      <alignment horizontal="center" vertical="center" wrapText="1"/>
    </xf>
    <xf numFmtId="0" fontId="53" fillId="32" borderId="43" xfId="0" applyFont="1" applyFill="1" applyBorder="1" applyAlignment="1">
      <alignment horizontal="center" vertical="center" wrapText="1"/>
    </xf>
    <xf numFmtId="0" fontId="1" fillId="19" borderId="22" xfId="0" applyFont="1" applyFill="1" applyBorder="1" applyAlignment="1">
      <alignment horizontal="center"/>
    </xf>
    <xf numFmtId="0" fontId="1" fillId="19" borderId="24" xfId="0" applyFont="1" applyFill="1" applyBorder="1" applyAlignment="1">
      <alignment horizontal="center"/>
    </xf>
    <xf numFmtId="0" fontId="1" fillId="19" borderId="23" xfId="0" applyFont="1" applyFill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0" fillId="0" borderId="22" xfId="0" applyBorder="1" applyAlignment="1">
      <alignment horizontal="center"/>
    </xf>
    <xf numFmtId="9" fontId="0" fillId="0" borderId="22" xfId="1" applyFont="1" applyBorder="1" applyAlignment="1">
      <alignment horizontal="center"/>
    </xf>
    <xf numFmtId="9" fontId="0" fillId="0" borderId="24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1" fillId="20" borderId="22" xfId="0" applyFont="1" applyFill="1" applyBorder="1" applyAlignment="1">
      <alignment horizontal="center"/>
    </xf>
    <xf numFmtId="0" fontId="1" fillId="20" borderId="24" xfId="0" applyFont="1" applyFill="1" applyBorder="1" applyAlignment="1">
      <alignment horizontal="center"/>
    </xf>
    <xf numFmtId="0" fontId="1" fillId="20" borderId="23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8" fillId="0" borderId="0" xfId="0" applyFont="1"/>
    <xf numFmtId="0" fontId="6" fillId="0" borderId="0" xfId="0" applyFont="1" applyFill="1" applyBorder="1"/>
    <xf numFmtId="0" fontId="5" fillId="0" borderId="0" xfId="0" applyFont="1"/>
    <xf numFmtId="0" fontId="8" fillId="0" borderId="0" xfId="0" applyFont="1" applyFill="1"/>
    <xf numFmtId="0" fontId="2" fillId="0" borderId="0" xfId="0" applyFont="1" applyFill="1" applyBorder="1" applyAlignment="1">
      <alignment horizontal="center"/>
    </xf>
    <xf numFmtId="0" fontId="6" fillId="0" borderId="0" xfId="0" applyFont="1" applyAlignment="1"/>
    <xf numFmtId="0" fontId="1" fillId="18" borderId="22" xfId="0" applyFont="1" applyFill="1" applyBorder="1" applyAlignment="1">
      <alignment horizontal="center"/>
    </xf>
    <xf numFmtId="0" fontId="1" fillId="18" borderId="24" xfId="0" applyFont="1" applyFill="1" applyBorder="1" applyAlignment="1">
      <alignment horizontal="center"/>
    </xf>
    <xf numFmtId="0" fontId="1" fillId="25" borderId="24" xfId="0" applyFont="1" applyFill="1" applyBorder="1" applyAlignment="1">
      <alignment horizontal="center"/>
    </xf>
    <xf numFmtId="0" fontId="1" fillId="25" borderId="23" xfId="0" applyFont="1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0" fillId="14" borderId="16" xfId="0" applyFill="1" applyBorder="1" applyAlignment="1">
      <alignment horizontal="center"/>
    </xf>
    <xf numFmtId="0" fontId="0" fillId="0" borderId="0" xfId="0" applyFont="1" applyAlignment="1">
      <alignment horizontal="left" vertical="top" wrapText="1"/>
    </xf>
    <xf numFmtId="0" fontId="1" fillId="0" borderId="0" xfId="0" applyFont="1" applyFill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14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35" borderId="22" xfId="0" applyFont="1" applyFill="1" applyBorder="1" applyAlignment="1">
      <alignment horizontal="center"/>
    </xf>
    <xf numFmtId="0" fontId="1" fillId="35" borderId="24" xfId="0" applyFont="1" applyFill="1" applyBorder="1" applyAlignment="1">
      <alignment horizontal="center"/>
    </xf>
    <xf numFmtId="0" fontId="1" fillId="35" borderId="23" xfId="0" applyFont="1" applyFill="1" applyBorder="1" applyAlignment="1">
      <alignment horizontal="center"/>
    </xf>
    <xf numFmtId="0" fontId="43" fillId="10" borderId="0" xfId="6" applyNumberFormat="1" applyFont="1" applyFill="1" applyBorder="1" applyAlignment="1">
      <alignment horizontal="left" wrapText="1"/>
    </xf>
    <xf numFmtId="0" fontId="34" fillId="10" borderId="13" xfId="5" applyFont="1" applyFill="1" applyBorder="1" applyAlignment="1">
      <alignment horizontal="left" wrapText="1"/>
    </xf>
    <xf numFmtId="0" fontId="41" fillId="10" borderId="15" xfId="6" applyFont="1" applyFill="1" applyBorder="1" applyAlignment="1">
      <alignment horizontal="left" wrapText="1"/>
    </xf>
    <xf numFmtId="0" fontId="41" fillId="10" borderId="0" xfId="6" applyFont="1" applyFill="1" applyBorder="1" applyAlignment="1">
      <alignment horizontal="left" wrapText="1"/>
    </xf>
    <xf numFmtId="0" fontId="42" fillId="10" borderId="0" xfId="4" applyFont="1" applyFill="1" applyBorder="1" applyAlignment="1">
      <alignment horizontal="left" wrapText="1"/>
    </xf>
    <xf numFmtId="0" fontId="43" fillId="10" borderId="0" xfId="6" applyFont="1" applyFill="1" applyBorder="1" applyAlignment="1">
      <alignment horizontal="left" wrapText="1"/>
    </xf>
    <xf numFmtId="49" fontId="42" fillId="10" borderId="0" xfId="0" applyNumberFormat="1" applyFont="1" applyFill="1" applyAlignment="1">
      <alignment horizontal="left" wrapText="1"/>
    </xf>
    <xf numFmtId="0" fontId="43" fillId="10" borderId="0" xfId="6" applyFont="1" applyFill="1" applyAlignment="1">
      <alignment horizontal="left" wrapText="1"/>
    </xf>
    <xf numFmtId="0" fontId="41" fillId="10" borderId="0" xfId="6" applyFont="1" applyFill="1" applyAlignment="1">
      <alignment horizontal="left" wrapText="1"/>
    </xf>
    <xf numFmtId="0" fontId="42" fillId="10" borderId="0" xfId="6" applyFont="1" applyFill="1" applyAlignment="1">
      <alignment horizontal="left" wrapText="1"/>
    </xf>
    <xf numFmtId="0" fontId="41" fillId="10" borderId="0" xfId="0" applyFont="1" applyFill="1" applyAlignment="1">
      <alignment horizontal="left" wrapText="1"/>
    </xf>
    <xf numFmtId="49" fontId="41" fillId="10" borderId="0" xfId="0" applyNumberFormat="1" applyFont="1" applyFill="1" applyAlignment="1">
      <alignment horizontal="left" wrapText="1"/>
    </xf>
    <xf numFmtId="49" fontId="44" fillId="10" borderId="0" xfId="0" applyNumberFormat="1" applyFont="1" applyFill="1" applyAlignment="1">
      <alignment horizontal="left" wrapText="1"/>
    </xf>
    <xf numFmtId="0" fontId="42" fillId="10" borderId="0" xfId="0" applyNumberFormat="1" applyFont="1" applyFill="1" applyAlignment="1">
      <alignment horizontal="left" wrapText="1"/>
    </xf>
    <xf numFmtId="46" fontId="42" fillId="10" borderId="0" xfId="0" applyNumberFormat="1" applyFont="1" applyFill="1" applyAlignment="1">
      <alignment horizontal="left" wrapText="1"/>
    </xf>
    <xf numFmtId="0" fontId="0" fillId="20" borderId="25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1" borderId="28" xfId="0" applyFill="1" applyBorder="1" applyAlignment="1">
      <alignment horizontal="center"/>
    </xf>
    <xf numFmtId="0" fontId="69" fillId="0" borderId="0" xfId="0" applyFont="1" applyFill="1"/>
  </cellXfs>
  <cellStyles count="11">
    <cellStyle name="Comma" xfId="8" builtinId="3"/>
    <cellStyle name="Currency" xfId="3" builtinId="4"/>
    <cellStyle name="Hyperlink" xfId="2" builtinId="8"/>
    <cellStyle name="Normal" xfId="0" builtinId="0"/>
    <cellStyle name="Normal 2" xfId="4"/>
    <cellStyle name="Normal 2 3" xfId="10"/>
    <cellStyle name="Normal 3" xfId="9"/>
    <cellStyle name="Normal 8" xfId="7"/>
    <cellStyle name="Percent" xfId="1" builtinId="5"/>
    <cellStyle name="Source Text" xfId="6"/>
    <cellStyle name="Title-2" xfId="5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CD1E0"/>
      <color rgb="FFFFFBF7"/>
      <color rgb="FFFEF4EC"/>
      <color rgb="FF492303"/>
      <color rgb="FF642F04"/>
      <color rgb="FF308298"/>
      <color rgb="FFE2F1F6"/>
      <color rgb="FF1E5260"/>
      <color rgb="FF7FC4D7"/>
      <color rgb="FFE8F4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r>
              <a:rPr lang="en-US" sz="1600"/>
              <a:t>Indoor growth emissions per kg of dried flower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ndara" panose="020E0502030303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LCA!$A$68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LCA!$C$68:$L$68</c:f>
              <c:numCache>
                <c:formatCode>0%</c:formatCode>
                <c:ptCount val="10"/>
                <c:pt idx="0">
                  <c:v>2.4566095203129763E-2</c:v>
                </c:pt>
                <c:pt idx="1">
                  <c:v>6.3507425999416531E-3</c:v>
                </c:pt>
                <c:pt idx="2">
                  <c:v>4.4780713766363047E-3</c:v>
                </c:pt>
                <c:pt idx="3">
                  <c:v>3.1313821560552277E-2</c:v>
                </c:pt>
                <c:pt idx="4">
                  <c:v>7.2661083406424659E-3</c:v>
                </c:pt>
                <c:pt idx="5">
                  <c:v>5.1704207842869299E-3</c:v>
                </c:pt>
                <c:pt idx="6">
                  <c:v>4.6529024973095301E-2</c:v>
                </c:pt>
                <c:pt idx="7">
                  <c:v>2.0804503986571164E-2</c:v>
                </c:pt>
                <c:pt idx="8">
                  <c:v>5.4589575487174108E-2</c:v>
                </c:pt>
                <c:pt idx="9">
                  <c:v>5.2058882178430705E-3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B-4A13-82AF-249C7BD9EBA1}"/>
            </c:ext>
          </c:extLst>
        </c:ser>
        <c:ser>
          <c:idx val="1"/>
          <c:order val="1"/>
          <c:tx>
            <c:strRef>
              <c:f>LCA!$A$69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LCA!$C$69:$L$69</c:f>
              <c:numCache>
                <c:formatCode>0%</c:formatCode>
                <c:ptCount val="10"/>
                <c:pt idx="0">
                  <c:v>2.9385861229745424E-3</c:v>
                </c:pt>
                <c:pt idx="1">
                  <c:v>5.8187921073838264E-3</c:v>
                </c:pt>
                <c:pt idx="2">
                  <c:v>7.459378993661679E-3</c:v>
                </c:pt>
                <c:pt idx="3">
                  <c:v>2.8466751167212328E-3</c:v>
                </c:pt>
                <c:pt idx="4">
                  <c:v>6.443640402601215E-3</c:v>
                </c:pt>
                <c:pt idx="5">
                  <c:v>5.5773732946233735E-3</c:v>
                </c:pt>
                <c:pt idx="6">
                  <c:v>2.1541780688790952E-3</c:v>
                </c:pt>
                <c:pt idx="7">
                  <c:v>1.9166746359561039E-3</c:v>
                </c:pt>
                <c:pt idx="8">
                  <c:v>1.3755770924091535E-3</c:v>
                </c:pt>
                <c:pt idx="9">
                  <c:v>7.6829403837652011E-3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B-4A13-82AF-249C7BD9EBA1}"/>
            </c:ext>
          </c:extLst>
        </c:ser>
        <c:ser>
          <c:idx val="2"/>
          <c:order val="2"/>
          <c:tx>
            <c:strRef>
              <c:f>LCA!$A$70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LCA!$C$70:$L$70</c:f>
              <c:numCache>
                <c:formatCode>0%</c:formatCode>
                <c:ptCount val="10"/>
                <c:pt idx="0">
                  <c:v>0.20032007869065027</c:v>
                </c:pt>
                <c:pt idx="1">
                  <c:v>5.1786059072273675E-2</c:v>
                </c:pt>
                <c:pt idx="2">
                  <c:v>3.6515677527613241E-2</c:v>
                </c:pt>
                <c:pt idx="3">
                  <c:v>0.25534327483659874</c:v>
                </c:pt>
                <c:pt idx="4">
                  <c:v>5.9250254569836958E-2</c:v>
                </c:pt>
                <c:pt idx="5">
                  <c:v>4.2161323963288096E-2</c:v>
                </c:pt>
                <c:pt idx="6">
                  <c:v>0.37941308404691887</c:v>
                </c:pt>
                <c:pt idx="7">
                  <c:v>0.1696468177481836</c:v>
                </c:pt>
                <c:pt idx="8">
                  <c:v>0.44514148328655517</c:v>
                </c:pt>
                <c:pt idx="9">
                  <c:v>4.2450537166370379E-2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BB-4A13-82AF-249C7BD9EBA1}"/>
            </c:ext>
          </c:extLst>
        </c:ser>
        <c:ser>
          <c:idx val="3"/>
          <c:order val="3"/>
          <c:tx>
            <c:strRef>
              <c:f>LCA!$A$71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LCA!$C$71:$L$71</c:f>
              <c:numCache>
                <c:formatCode>0%</c:formatCode>
                <c:ptCount val="10"/>
                <c:pt idx="0">
                  <c:v>1.495386422872111E-3</c:v>
                </c:pt>
                <c:pt idx="1">
                  <c:v>3.8658216458830496E-4</c:v>
                </c:pt>
                <c:pt idx="2">
                  <c:v>2.7258899234506814E-4</c:v>
                </c:pt>
                <c:pt idx="3">
                  <c:v>1.9061337678087363E-3</c:v>
                </c:pt>
                <c:pt idx="4">
                  <c:v>4.423022735143616E-4</c:v>
                </c:pt>
                <c:pt idx="5">
                  <c:v>3.147336594369872E-4</c:v>
                </c:pt>
                <c:pt idx="6">
                  <c:v>2.8323130574442958E-3</c:v>
                </c:pt>
                <c:pt idx="7">
                  <c:v>1.2664109838727508E-3</c:v>
                </c:pt>
                <c:pt idx="8">
                  <c:v>3.3229745850481053E-3</c:v>
                </c:pt>
                <c:pt idx="9">
                  <c:v>3.1689263171790605E-4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BB-4A13-82AF-249C7BD9EBA1}"/>
            </c:ext>
          </c:extLst>
        </c:ser>
        <c:ser>
          <c:idx val="4"/>
          <c:order val="4"/>
          <c:tx>
            <c:strRef>
              <c:f>LCA!$A$72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LCA!$C$72:$L$72</c:f>
              <c:numCache>
                <c:formatCode>0%</c:formatCode>
                <c:ptCount val="10"/>
                <c:pt idx="0">
                  <c:v>2.8127634791239049E-3</c:v>
                </c:pt>
                <c:pt idx="1">
                  <c:v>7.2714595879920247E-4</c:v>
                </c:pt>
                <c:pt idx="2">
                  <c:v>5.1272925228702966E-4</c:v>
                </c:pt>
                <c:pt idx="3">
                  <c:v>3.5853631987106701E-3</c:v>
                </c:pt>
                <c:pt idx="4">
                  <c:v>8.319533082861662E-4</c:v>
                </c:pt>
                <c:pt idx="5">
                  <c:v>5.9200172569113195E-4</c:v>
                </c:pt>
                <c:pt idx="6">
                  <c:v>5.3274702829814351E-3</c:v>
                </c:pt>
                <c:pt idx="7">
                  <c:v>2.3820696179366651E-3</c:v>
                </c:pt>
                <c:pt idx="8">
                  <c:v>6.2503854601865527E-3</c:v>
                </c:pt>
                <c:pt idx="9">
                  <c:v>5.960626682617791E-4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BB-4A13-82AF-249C7BD9EBA1}"/>
            </c:ext>
          </c:extLst>
        </c:ser>
        <c:ser>
          <c:idx val="5"/>
          <c:order val="5"/>
          <c:tx>
            <c:strRef>
              <c:f>LCA!$A$73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LCA!$C$73:$L$73</c:f>
              <c:numCache>
                <c:formatCode>0%</c:formatCode>
                <c:ptCount val="10"/>
                <c:pt idx="0">
                  <c:v>1.4633780555888947E-2</c:v>
                </c:pt>
                <c:pt idx="1">
                  <c:v>2.8976835538037832E-2</c:v>
                </c:pt>
                <c:pt idx="2">
                  <c:v>3.7146747009734804E-2</c:v>
                </c:pt>
                <c:pt idx="3">
                  <c:v>1.4176075578088128E-2</c:v>
                </c:pt>
                <c:pt idx="4">
                  <c:v>3.2088499600371592E-2</c:v>
                </c:pt>
                <c:pt idx="5">
                  <c:v>2.7774600932633918E-2</c:v>
                </c:pt>
                <c:pt idx="6">
                  <c:v>1.0727529437311787E-2</c:v>
                </c:pt>
                <c:pt idx="7">
                  <c:v>9.5447929194018549E-3</c:v>
                </c:pt>
                <c:pt idx="8">
                  <c:v>6.8501968176611153E-3</c:v>
                </c:pt>
                <c:pt idx="9">
                  <c:v>3.8260053949411232E-2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BB-4A13-82AF-249C7BD9EBA1}"/>
            </c:ext>
          </c:extLst>
        </c:ser>
        <c:ser>
          <c:idx val="8"/>
          <c:order val="6"/>
          <c:tx>
            <c:strRef>
              <c:f>LCA!$A$74</c:f>
              <c:strCache>
                <c:ptCount val="1"/>
                <c:pt idx="0">
                  <c:v>Dehumidification (Electric)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LCA!$C$74:$L$74</c:f>
              <c:numCache>
                <c:formatCode>0%</c:formatCode>
                <c:ptCount val="10"/>
                <c:pt idx="0">
                  <c:v>8.6135792173536087E-3</c:v>
                </c:pt>
                <c:pt idx="1">
                  <c:v>1.7056034660481088E-2</c:v>
                </c:pt>
                <c:pt idx="2">
                  <c:v>2.186492047036899E-2</c:v>
                </c:pt>
                <c:pt idx="3">
                  <c:v>8.3441698142668642E-3</c:v>
                </c:pt>
                <c:pt idx="4">
                  <c:v>1.8887589042230941E-2</c:v>
                </c:pt>
                <c:pt idx="5">
                  <c:v>1.6348388200159995E-2</c:v>
                </c:pt>
                <c:pt idx="6">
                  <c:v>6.3143235107207566E-3</c:v>
                </c:pt>
                <c:pt idx="7">
                  <c:v>5.6181538058816026E-3</c:v>
                </c:pt>
                <c:pt idx="8">
                  <c:v>4.0320895012767467E-3</c:v>
                </c:pt>
                <c:pt idx="9">
                  <c:v>2.2520223280296219E-2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4-43C7-A839-27AB848568C7}"/>
            </c:ext>
          </c:extLst>
        </c:ser>
        <c:ser>
          <c:idx val="9"/>
          <c:order val="7"/>
          <c:tx>
            <c:strRef>
              <c:f>LCA!$A$75</c:f>
              <c:strCache>
                <c:ptCount val="1"/>
                <c:pt idx="0">
                  <c:v>Dehumidification Reheat (NG)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LCA!$C$75:$L$75</c:f>
              <c:numCache>
                <c:formatCode>0%</c:formatCode>
                <c:ptCount val="10"/>
                <c:pt idx="0">
                  <c:v>4.3654760222615564E-3</c:v>
                </c:pt>
                <c:pt idx="1">
                  <c:v>1.1285478752059961E-3</c:v>
                </c:pt>
                <c:pt idx="2">
                  <c:v>7.9576803146928375E-4</c:v>
                </c:pt>
                <c:pt idx="3">
                  <c:v>5.5645692185769986E-3</c:v>
                </c:pt>
                <c:pt idx="4">
                  <c:v>1.2912113819451537E-3</c:v>
                </c:pt>
                <c:pt idx="5">
                  <c:v>9.1880080135534753E-4</c:v>
                </c:pt>
                <c:pt idx="6">
                  <c:v>8.2683609739238797E-3</c:v>
                </c:pt>
                <c:pt idx="7">
                  <c:v>3.6970288748555593E-3</c:v>
                </c:pt>
                <c:pt idx="8">
                  <c:v>9.7007473464620769E-3</c:v>
                </c:pt>
                <c:pt idx="9">
                  <c:v>9.2510348110482431E-4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4-43C7-A839-27AB848568C7}"/>
            </c:ext>
          </c:extLst>
        </c:ser>
        <c:ser>
          <c:idx val="6"/>
          <c:order val="8"/>
          <c:tx>
            <c:strRef>
              <c:f>LCA!$A$76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rgbClr val="78518D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LCA!$C$76:$L$76</c:f>
              <c:numCache>
                <c:formatCode>0%</c:formatCode>
                <c:ptCount val="10"/>
                <c:pt idx="0">
                  <c:v>0.19874421386567567</c:v>
                </c:pt>
                <c:pt idx="1">
                  <c:v>0.39354002729012949</c:v>
                </c:pt>
                <c:pt idx="2">
                  <c:v>0.50449718061037374</c:v>
                </c:pt>
                <c:pt idx="3">
                  <c:v>0.19252803373040478</c:v>
                </c:pt>
                <c:pt idx="4">
                  <c:v>0.43580014083500085</c:v>
                </c:pt>
                <c:pt idx="5">
                  <c:v>0.37721224578345947</c:v>
                </c:pt>
                <c:pt idx="6">
                  <c:v>0.14569265929585426</c:v>
                </c:pt>
                <c:pt idx="7">
                  <c:v>0.12962968509964481</c:v>
                </c:pt>
                <c:pt idx="8">
                  <c:v>9.3033852472479528E-2</c:v>
                </c:pt>
                <c:pt idx="9">
                  <c:v>0.51961721822964457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BB-4A13-82AF-249C7BD9EBA1}"/>
            </c:ext>
          </c:extLst>
        </c:ser>
        <c:ser>
          <c:idx val="7"/>
          <c:order val="9"/>
          <c:tx>
            <c:strRef>
              <c:f>LCA!$A$77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LCA!$C$77:$L$77</c:f>
              <c:numCache>
                <c:formatCode>0%</c:formatCode>
                <c:ptCount val="10"/>
                <c:pt idx="0">
                  <c:v>1.9078590897941463E-3</c:v>
                </c:pt>
                <c:pt idx="1">
                  <c:v>2.268775709118976E-3</c:v>
                </c:pt>
                <c:pt idx="2">
                  <c:v>2.7863021019435556E-3</c:v>
                </c:pt>
                <c:pt idx="3">
                  <c:v>1.2450306926914635E-3</c:v>
                </c:pt>
                <c:pt idx="4">
                  <c:v>2.6798222354251096E-3</c:v>
                </c:pt>
                <c:pt idx="5">
                  <c:v>2.2826225106729794E-3</c:v>
                </c:pt>
                <c:pt idx="6">
                  <c:v>9.242423700356146E-4</c:v>
                </c:pt>
                <c:pt idx="7">
                  <c:v>1.1096988357856123E-3</c:v>
                </c:pt>
                <c:pt idx="8">
                  <c:v>5.9040361874385756E-4</c:v>
                </c:pt>
                <c:pt idx="9">
                  <c:v>2.9636223508611829E-3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BB-4A13-82AF-249C7BD9EBA1}"/>
            </c:ext>
          </c:extLst>
        </c:ser>
        <c:ser>
          <c:idx val="10"/>
          <c:order val="10"/>
          <c:tx>
            <c:strRef>
              <c:f>LCA!$A$78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LCA!$C$78:$L$78</c:f>
              <c:numCache>
                <c:formatCode>0%</c:formatCode>
                <c:ptCount val="10"/>
                <c:pt idx="0">
                  <c:v>0.23119102621135659</c:v>
                </c:pt>
                <c:pt idx="1">
                  <c:v>0.27734643950708687</c:v>
                </c:pt>
                <c:pt idx="2">
                  <c:v>0.15308114728778521</c:v>
                </c:pt>
                <c:pt idx="3">
                  <c:v>0.13204616918373513</c:v>
                </c:pt>
                <c:pt idx="4">
                  <c:v>0.20153228103339449</c:v>
                </c:pt>
                <c:pt idx="5">
                  <c:v>0.31596304754378751</c:v>
                </c:pt>
                <c:pt idx="6">
                  <c:v>7.31490782238155E-2</c:v>
                </c:pt>
                <c:pt idx="7">
                  <c:v>0.4516985963810165</c:v>
                </c:pt>
                <c:pt idx="8">
                  <c:v>6.9450738596357101E-2</c:v>
                </c:pt>
                <c:pt idx="9">
                  <c:v>0.1250374339488742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BB-4A13-82AF-249C7BD9EBA1}"/>
            </c:ext>
          </c:extLst>
        </c:ser>
        <c:ser>
          <c:idx val="11"/>
          <c:order val="11"/>
          <c:tx>
            <c:strRef>
              <c:f>LCA!#REF!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8-4490-851D-67053E185568}"/>
            </c:ext>
          </c:extLst>
        </c:ser>
        <c:ser>
          <c:idx val="12"/>
          <c:order val="12"/>
          <c:tx>
            <c:strRef>
              <c:f>LCA!#REF!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D8-4490-851D-67053E185568}"/>
            </c:ext>
          </c:extLst>
        </c:ser>
        <c:ser>
          <c:idx val="13"/>
          <c:order val="13"/>
          <c:tx>
            <c:strRef>
              <c:f>LCA!$A$79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LCA!$C$79:$L$79</c:f>
              <c:numCache>
                <c:formatCode>0%</c:formatCode>
                <c:ptCount val="10"/>
                <c:pt idx="0">
                  <c:v>1.105658949598223E-3</c:v>
                </c:pt>
                <c:pt idx="1">
                  <c:v>6.2262249833002457E-4</c:v>
                </c:pt>
                <c:pt idx="2">
                  <c:v>3.9124171591002664E-4</c:v>
                </c:pt>
                <c:pt idx="3">
                  <c:v>4.8234852225711219E-4</c:v>
                </c:pt>
                <c:pt idx="4">
                  <c:v>2.856362131523543E-4</c:v>
                </c:pt>
                <c:pt idx="5">
                  <c:v>7.2479353542552591E-4</c:v>
                </c:pt>
                <c:pt idx="6">
                  <c:v>3.9329762745549622E-4</c:v>
                </c:pt>
                <c:pt idx="7">
                  <c:v>5.4931690323031942E-4</c:v>
                </c:pt>
                <c:pt idx="8">
                  <c:v>2.849122978277294E-4</c:v>
                </c:pt>
                <c:pt idx="9">
                  <c:v>2.2536559601401152E-4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D8-4490-851D-67053E185568}"/>
            </c:ext>
          </c:extLst>
        </c:ser>
        <c:ser>
          <c:idx val="14"/>
          <c:order val="14"/>
          <c:tx>
            <c:strRef>
              <c:f>LCA!$A$80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LCA!$C$80:$L$80</c:f>
              <c:numCache>
                <c:formatCode>0%</c:formatCode>
                <c:ptCount val="10"/>
                <c:pt idx="0">
                  <c:v>1.4095908229443857E-3</c:v>
                </c:pt>
                <c:pt idx="1">
                  <c:v>1.2006258996149479E-3</c:v>
                </c:pt>
                <c:pt idx="2">
                  <c:v>1.4347881030290293E-3</c:v>
                </c:pt>
                <c:pt idx="3">
                  <c:v>2.3617334823597408E-4</c:v>
                </c:pt>
                <c:pt idx="4">
                  <c:v>6.067104146719347E-4</c:v>
                </c:pt>
                <c:pt idx="5">
                  <c:v>1.551261572071344E-3</c:v>
                </c:pt>
                <c:pt idx="6">
                  <c:v>3.479677779871901E-4</c:v>
                </c:pt>
                <c:pt idx="7">
                  <c:v>4.5826141716312431E-4</c:v>
                </c:pt>
                <c:pt idx="8">
                  <c:v>2.8450861862104848E-4</c:v>
                </c:pt>
                <c:pt idx="9">
                  <c:v>5.3212380894331079E-4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D8-4490-851D-67053E185568}"/>
            </c:ext>
          </c:extLst>
        </c:ser>
        <c:ser>
          <c:idx val="15"/>
          <c:order val="15"/>
          <c:tx>
            <c:strRef>
              <c:f>LCA!$A$81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LCA!$C$81:$L$81</c:f>
              <c:numCache>
                <c:formatCode>0%</c:formatCode>
                <c:ptCount val="10"/>
                <c:pt idx="0">
                  <c:v>9.3359180186234055E-5</c:v>
                </c:pt>
                <c:pt idx="1">
                  <c:v>1.9277338511158713E-4</c:v>
                </c:pt>
                <c:pt idx="2">
                  <c:v>6.151864697270237E-5</c:v>
                </c:pt>
                <c:pt idx="3">
                  <c:v>4.3469633868105492E-5</c:v>
                </c:pt>
                <c:pt idx="4">
                  <c:v>1.0817557953768272E-4</c:v>
                </c:pt>
                <c:pt idx="5">
                  <c:v>2.2183530934929578E-4</c:v>
                </c:pt>
                <c:pt idx="6">
                  <c:v>8.9681853932964593E-5</c:v>
                </c:pt>
                <c:pt idx="7">
                  <c:v>5.7358496561685822E-5</c:v>
                </c:pt>
                <c:pt idx="8">
                  <c:v>5.862446264280603E-5</c:v>
                </c:pt>
                <c:pt idx="9">
                  <c:v>3.3923248048229438E-5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D8-4490-851D-67053E185568}"/>
            </c:ext>
          </c:extLst>
        </c:ser>
        <c:ser>
          <c:idx val="17"/>
          <c:order val="16"/>
          <c:tx>
            <c:strRef>
              <c:f>LCA!$A$82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LCA!$C$82:$L$82</c:f>
              <c:numCache>
                <c:formatCode>0%</c:formatCode>
                <c:ptCount val="10"/>
                <c:pt idx="0">
                  <c:v>2.5203174924386031E-3</c:v>
                </c:pt>
                <c:pt idx="1">
                  <c:v>1.0332206326891212E-3</c:v>
                </c:pt>
                <c:pt idx="2">
                  <c:v>4.4249120897718873E-4</c:v>
                </c:pt>
                <c:pt idx="3">
                  <c:v>8.9680442260584622E-4</c:v>
                </c:pt>
                <c:pt idx="4">
                  <c:v>9.4036825576508741E-4</c:v>
                </c:pt>
                <c:pt idx="5">
                  <c:v>9.4928759264249448E-4</c:v>
                </c:pt>
                <c:pt idx="6">
                  <c:v>2.7130503330808253E-3</c:v>
                </c:pt>
                <c:pt idx="7">
                  <c:v>2.9334876634993499E-3</c:v>
                </c:pt>
                <c:pt idx="8">
                  <c:v>1.3599149612301342E-3</c:v>
                </c:pt>
                <c:pt idx="9">
                  <c:v>6.3133789998506091E-4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7-4F6E-B7A7-255EB78266A7}"/>
            </c:ext>
          </c:extLst>
        </c:ser>
        <c:ser>
          <c:idx val="18"/>
          <c:order val="17"/>
          <c:tx>
            <c:strRef>
              <c:f>LCA!$A$83</c:f>
              <c:strCache>
                <c:ptCount val="1"/>
                <c:pt idx="0">
                  <c:v>Soil Amendments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LCA!$C$83:$L$83</c:f>
              <c:numCache>
                <c:formatCode>0%</c:formatCode>
                <c:ptCount val="10"/>
                <c:pt idx="0">
                  <c:v>0.10414568428336646</c:v>
                </c:pt>
                <c:pt idx="1">
                  <c:v>2.8545853551287061E-2</c:v>
                </c:pt>
                <c:pt idx="2">
                  <c:v>2.8052487540581161E-2</c:v>
                </c:pt>
                <c:pt idx="3">
                  <c:v>3.0674277983048212E-2</c:v>
                </c:pt>
                <c:pt idx="4">
                  <c:v>3.8436999431907683E-2</c:v>
                </c:pt>
                <c:pt idx="5">
                  <c:v>3.1256314010805149E-2</c:v>
                </c:pt>
                <c:pt idx="6">
                  <c:v>3.6018828920513273E-2</c:v>
                </c:pt>
                <c:pt idx="7">
                  <c:v>4.308817460777311E-2</c:v>
                </c:pt>
                <c:pt idx="8">
                  <c:v>1.2452040136390176E-2</c:v>
                </c:pt>
                <c:pt idx="9">
                  <c:v>2.6391432248714191E-2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7-4F6E-B7A7-255EB78266A7}"/>
            </c:ext>
          </c:extLst>
        </c:ser>
        <c:ser>
          <c:idx val="16"/>
          <c:order val="18"/>
          <c:tx>
            <c:strRef>
              <c:f>LCA!$A$84</c:f>
              <c:strCache>
                <c:ptCount val="1"/>
                <c:pt idx="0">
                  <c:v>Pesticides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LCA!$C$84:$L$84</c:f>
              <c:numCache>
                <c:formatCode>0%</c:formatCode>
                <c:ptCount val="10"/>
                <c:pt idx="0">
                  <c:v>2.0423800452333317E-3</c:v>
                </c:pt>
                <c:pt idx="1">
                  <c:v>1.2816964070763066E-3</c:v>
                </c:pt>
                <c:pt idx="2">
                  <c:v>3.4288391462468119E-3</c:v>
                </c:pt>
                <c:pt idx="3">
                  <c:v>2.0187555489745049E-3</c:v>
                </c:pt>
                <c:pt idx="4">
                  <c:v>9.2554790857916501E-4</c:v>
                </c:pt>
                <c:pt idx="5">
                  <c:v>7.0094999096447972E-4</c:v>
                </c:pt>
                <c:pt idx="6">
                  <c:v>4.4073405551211468E-4</c:v>
                </c:pt>
                <c:pt idx="7">
                  <c:v>9.6900672879147737E-4</c:v>
                </c:pt>
                <c:pt idx="8">
                  <c:v>1.9853819306598762E-4</c:v>
                </c:pt>
                <c:pt idx="9">
                  <c:v>1.0613457913538464E-3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4-43C7-A839-27AB84856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396832"/>
        <c:axId val="1436623568"/>
      </c:barChart>
      <c:catAx>
        <c:axId val="8653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436623568"/>
        <c:crosses val="autoZero"/>
        <c:auto val="1"/>
        <c:lblAlgn val="ctr"/>
        <c:lblOffset val="100"/>
        <c:noMultiLvlLbl val="0"/>
      </c:catAx>
      <c:valAx>
        <c:axId val="14366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8653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33578952948568"/>
          <c:y val="7.0454262535003226E-2"/>
          <c:w val="0.21575288185851835"/>
          <c:h val="0.625335819729762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ndara" panose="020E0502030303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ndara" panose="020E05020303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r>
              <a:rPr lang="en-US" sz="1600"/>
              <a:t>Outdoor growth</a:t>
            </a:r>
            <a:r>
              <a:rPr lang="en-US" sz="1600" baseline="0"/>
              <a:t> e</a:t>
            </a:r>
            <a:r>
              <a:rPr lang="en-US" sz="1600"/>
              <a:t>missions per kg of dried flower</a:t>
            </a:r>
          </a:p>
        </c:rich>
      </c:tx>
      <c:layout>
        <c:manualLayout>
          <c:xMode val="edge"/>
          <c:yMode val="edge"/>
          <c:x val="0.29228270842571069"/>
          <c:y val="9.42887871031945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ndara" panose="020E0502030303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LCA!$A$68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LCA!$P$68:$Y$68</c:f>
              <c:numCache>
                <c:formatCode>0%</c:formatCode>
                <c:ptCount val="10"/>
                <c:pt idx="0">
                  <c:v>1.1311820323494576E-3</c:v>
                </c:pt>
                <c:pt idx="1">
                  <c:v>3.7566486862701775E-4</c:v>
                </c:pt>
                <c:pt idx="2">
                  <c:v>2.4284816715196739E-4</c:v>
                </c:pt>
                <c:pt idx="3">
                  <c:v>1.4184503147969887E-3</c:v>
                </c:pt>
                <c:pt idx="4">
                  <c:v>3.8427303812783972E-4</c:v>
                </c:pt>
                <c:pt idx="5">
                  <c:v>3.175013960137032E-4</c:v>
                </c:pt>
                <c:pt idx="6">
                  <c:v>1.6748456828445638E-3</c:v>
                </c:pt>
                <c:pt idx="7">
                  <c:v>1.2229231281076054E-3</c:v>
                </c:pt>
                <c:pt idx="8">
                  <c:v>1.8327418519116195E-3</c:v>
                </c:pt>
                <c:pt idx="9">
                  <c:v>2.6893308769370148E-4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9-48ED-8FE8-C5CFF76092DB}"/>
            </c:ext>
          </c:extLst>
        </c:ser>
        <c:ser>
          <c:idx val="1"/>
          <c:order val="1"/>
          <c:tx>
            <c:strRef>
              <c:f>LCA!$A$69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LCA!$P$69:$Y$69</c:f>
              <c:numCache>
                <c:formatCode>0%</c:formatCode>
                <c:ptCount val="10"/>
                <c:pt idx="0">
                  <c:v>1.1807653296959607E-2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9-48ED-8FE8-C5CFF76092DB}"/>
            </c:ext>
          </c:extLst>
        </c:ser>
        <c:ser>
          <c:idx val="2"/>
          <c:order val="2"/>
          <c:tx>
            <c:strRef>
              <c:f>LCA!$A$70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LCA!$P$70:$Y$70</c:f>
              <c:numCache>
                <c:formatCode>0%</c:formatCode>
                <c:ptCount val="10"/>
                <c:pt idx="0">
                  <c:v>0.53933967438859332</c:v>
                </c:pt>
                <c:pt idx="1">
                  <c:v>0.17911437958726045</c:v>
                </c:pt>
                <c:pt idx="2">
                  <c:v>0.11578830608330039</c:v>
                </c:pt>
                <c:pt idx="3">
                  <c:v>0.67630718048981953</c:v>
                </c:pt>
                <c:pt idx="4">
                  <c:v>0.18321869454531559</c:v>
                </c:pt>
                <c:pt idx="5">
                  <c:v>0.15138244300812301</c:v>
                </c:pt>
                <c:pt idx="6">
                  <c:v>0.79855469712541138</c:v>
                </c:pt>
                <c:pt idx="7">
                  <c:v>0.58308118662909747</c:v>
                </c:pt>
                <c:pt idx="8">
                  <c:v>0.87383848521295371</c:v>
                </c:pt>
                <c:pt idx="9">
                  <c:v>0.12822541359482151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E9-48ED-8FE8-C5CFF76092DB}"/>
            </c:ext>
          </c:extLst>
        </c:ser>
        <c:ser>
          <c:idx val="3"/>
          <c:order val="3"/>
          <c:tx>
            <c:strRef>
              <c:f>LCA!$A$71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LCA!$P$71:$Y$71</c:f>
              <c:numCache>
                <c:formatCode>0%</c:formatCode>
                <c:ptCount val="10"/>
                <c:pt idx="0">
                  <c:v>5.6994709109875101E-3</c:v>
                </c:pt>
                <c:pt idx="1">
                  <c:v>1.4498018960119477E-2</c:v>
                </c:pt>
                <c:pt idx="2">
                  <c:v>1.7039083930036558E-2</c:v>
                </c:pt>
                <c:pt idx="3">
                  <c:v>5.4314490646811047E-3</c:v>
                </c:pt>
                <c:pt idx="4">
                  <c:v>1.4353872733366914E-2</c:v>
                </c:pt>
                <c:pt idx="5">
                  <c:v>1.4426109149356573E-2</c:v>
                </c:pt>
                <c:pt idx="6">
                  <c:v>3.2661204497333798E-3</c:v>
                </c:pt>
                <c:pt idx="7">
                  <c:v>4.7455869898767947E-3</c:v>
                </c:pt>
                <c:pt idx="8">
                  <c:v>1.9452537698790048E-3</c:v>
                </c:pt>
                <c:pt idx="9">
                  <c:v>1.6717703300529466E-2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E9-48ED-8FE8-C5CFF76092DB}"/>
            </c:ext>
          </c:extLst>
        </c:ser>
        <c:ser>
          <c:idx val="4"/>
          <c:order val="4"/>
          <c:tx>
            <c:strRef>
              <c:f>LCA!$A$72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LCA!$P$72:$Y$72</c:f>
              <c:numCache>
                <c:formatCode>0%</c:formatCode>
                <c:ptCount val="10"/>
                <c:pt idx="0">
                  <c:v>7.8087371224671881E-2</c:v>
                </c:pt>
                <c:pt idx="1">
                  <c:v>0.19863461121955744</c:v>
                </c:pt>
                <c:pt idx="2">
                  <c:v>0.23344926098457311</c:v>
                </c:pt>
                <c:pt idx="3">
                  <c:v>7.4415254683379839E-2</c:v>
                </c:pt>
                <c:pt idx="4">
                  <c:v>0.19665969107436229</c:v>
                </c:pt>
                <c:pt idx="5">
                  <c:v>0.1976493885251292</c:v>
                </c:pt>
                <c:pt idx="6">
                  <c:v>4.4748497537051755E-2</c:v>
                </c:pt>
                <c:pt idx="7">
                  <c:v>6.5018388328483667E-2</c:v>
                </c:pt>
                <c:pt idx="8">
                  <c:v>2.6651553385753771E-2</c:v>
                </c:pt>
                <c:pt idx="9">
                  <c:v>0.2290460858631142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E9-48ED-8FE8-C5CFF76092DB}"/>
            </c:ext>
          </c:extLst>
        </c:ser>
        <c:ser>
          <c:idx val="5"/>
          <c:order val="5"/>
          <c:tx>
            <c:strRef>
              <c:f>LCA!$A$73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LCA!$P$73:$Y$73</c:f>
              <c:numCache>
                <c:formatCode>0%</c:formatCode>
                <c:ptCount val="10"/>
                <c:pt idx="0">
                  <c:v>7.8087371224671881E-2</c:v>
                </c:pt>
                <c:pt idx="1">
                  <c:v>0.19863461121955744</c:v>
                </c:pt>
                <c:pt idx="2">
                  <c:v>0.23344926098457311</c:v>
                </c:pt>
                <c:pt idx="3">
                  <c:v>7.4415254683379839E-2</c:v>
                </c:pt>
                <c:pt idx="4">
                  <c:v>0.19665969107436229</c:v>
                </c:pt>
                <c:pt idx="5">
                  <c:v>0.1976493885251292</c:v>
                </c:pt>
                <c:pt idx="6">
                  <c:v>4.4748497537051755E-2</c:v>
                </c:pt>
                <c:pt idx="7">
                  <c:v>6.5018388328483667E-2</c:v>
                </c:pt>
                <c:pt idx="8">
                  <c:v>2.6651553385753771E-2</c:v>
                </c:pt>
                <c:pt idx="9">
                  <c:v>0.2290460858631142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E9-48ED-8FE8-C5CFF76092DB}"/>
            </c:ext>
          </c:extLst>
        </c:ser>
        <c:ser>
          <c:idx val="6"/>
          <c:order val="6"/>
          <c:tx>
            <c:strRef>
              <c:f>LCA!$A$76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LCA!$P$76:$Y$76</c:f>
              <c:numCache>
                <c:formatCode>0%</c:formatCode>
                <c:ptCount val="10"/>
                <c:pt idx="0">
                  <c:v>5.626575193021037E-2</c:v>
                </c:pt>
                <c:pt idx="1">
                  <c:v>0.14312590607611866</c:v>
                </c:pt>
                <c:pt idx="2">
                  <c:v>0.16821155586165812</c:v>
                </c:pt>
                <c:pt idx="3">
                  <c:v>5.3619813219113369E-2</c:v>
                </c:pt>
                <c:pt idx="4">
                  <c:v>0.14170287998074904</c:v>
                </c:pt>
                <c:pt idx="5">
                  <c:v>0.14241600516831093</c:v>
                </c:pt>
                <c:pt idx="6">
                  <c:v>3.2243470642969688E-2</c:v>
                </c:pt>
                <c:pt idx="7">
                  <c:v>4.6848913610715789E-2</c:v>
                </c:pt>
                <c:pt idx="8">
                  <c:v>1.920374149928852E-2</c:v>
                </c:pt>
                <c:pt idx="9">
                  <c:v>0.16503885385871239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E9-48ED-8FE8-C5CFF76092DB}"/>
            </c:ext>
          </c:extLst>
        </c:ser>
        <c:ser>
          <c:idx val="7"/>
          <c:order val="7"/>
          <c:tx>
            <c:strRef>
              <c:f>LCA!$A$77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LCA!$P$77:$Y$77</c:f>
              <c:numCache>
                <c:formatCode>0%</c:formatCode>
                <c:ptCount val="10"/>
                <c:pt idx="0">
                  <c:v>0.1619878113202266</c:v>
                </c:pt>
                <c:pt idx="1">
                  <c:v>0.17743333120475918</c:v>
                </c:pt>
                <c:pt idx="2">
                  <c:v>0.18568690218719391</c:v>
                </c:pt>
                <c:pt idx="3">
                  <c:v>8.1403287876636851E-2</c:v>
                </c:pt>
                <c:pt idx="4">
                  <c:v>0.20699431425487974</c:v>
                </c:pt>
                <c:pt idx="5">
                  <c:v>0.19202401386295159</c:v>
                </c:pt>
                <c:pt idx="6">
                  <c:v>4.726421781840081E-2</c:v>
                </c:pt>
                <c:pt idx="7">
                  <c:v>0.11533774858319369</c:v>
                </c:pt>
                <c:pt idx="8">
                  <c:v>2.9484515090547173E-2</c:v>
                </c:pt>
                <c:pt idx="9">
                  <c:v>0.19398988972717718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E9-48ED-8FE8-C5CFF76092DB}"/>
            </c:ext>
          </c:extLst>
        </c:ser>
        <c:ser>
          <c:idx val="10"/>
          <c:order val="8"/>
          <c:tx>
            <c:strRef>
              <c:f>LCA!$A$78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LCA!$P$78:$Y$78</c:f>
              <c:numCache>
                <c:formatCode>0%</c:formatCode>
                <c:ptCount val="10"/>
                <c:pt idx="0">
                  <c:v>4.0759068421450766E-2</c:v>
                </c:pt>
                <c:pt idx="1">
                  <c:v>6.2813873522136229E-2</c:v>
                </c:pt>
                <c:pt idx="2">
                  <c:v>3.1785016112039988E-2</c:v>
                </c:pt>
                <c:pt idx="3">
                  <c:v>2.290133348274875E-2</c:v>
                </c:pt>
                <c:pt idx="4">
                  <c:v>4.0807461010272585E-2</c:v>
                </c:pt>
                <c:pt idx="5">
                  <c:v>7.4287022801164587E-2</c:v>
                </c:pt>
                <c:pt idx="6">
                  <c:v>1.0081301725547744E-2</c:v>
                </c:pt>
                <c:pt idx="7">
                  <c:v>0.10165937669072228</c:v>
                </c:pt>
                <c:pt idx="8">
                  <c:v>8.9274074801937806E-3</c:v>
                </c:pt>
                <c:pt idx="9">
                  <c:v>2.4731266703226604E-2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BE9-48ED-8FE8-C5CFF76092DB}"/>
            </c:ext>
          </c:extLst>
        </c:ser>
        <c:ser>
          <c:idx val="11"/>
          <c:order val="9"/>
          <c:tx>
            <c:strRef>
              <c:f>LCA!#REF!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LCA!$P$79:$Y$79</c:f>
              <c:numCache>
                <c:formatCode>0%</c:formatCode>
                <c:ptCount val="10"/>
                <c:pt idx="0">
                  <c:v>1.8486287090293512E-3</c:v>
                </c:pt>
                <c:pt idx="1">
                  <c:v>1.2753926288207762E-3</c:v>
                </c:pt>
                <c:pt idx="2">
                  <c:v>5.4862965565505295E-4</c:v>
                </c:pt>
                <c:pt idx="3">
                  <c:v>6.095141051016622E-4</c:v>
                </c:pt>
                <c:pt idx="4">
                  <c:v>6.9660471875234646E-4</c:v>
                </c:pt>
                <c:pt idx="5">
                  <c:v>1.4944600052597152E-3</c:v>
                </c:pt>
                <c:pt idx="6">
                  <c:v>1.0471381604444921E-3</c:v>
                </c:pt>
                <c:pt idx="7">
                  <c:v>6.5239103183576048E-4</c:v>
                </c:pt>
                <c:pt idx="8">
                  <c:v>7.4679986999610568E-4</c:v>
                </c:pt>
                <c:pt idx="9">
                  <c:v>7.6642434598251416E-4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BE9-48ED-8FE8-C5CFF76092DB}"/>
            </c:ext>
          </c:extLst>
        </c:ser>
        <c:ser>
          <c:idx val="12"/>
          <c:order val="10"/>
          <c:tx>
            <c:strRef>
              <c:f>LCA!#REF!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LCA!$P$80:$Y$80</c:f>
              <c:numCache>
                <c:formatCode>0%</c:formatCode>
                <c:ptCount val="10"/>
                <c:pt idx="0">
                  <c:v>2.9525021383209124E-6</c:v>
                </c:pt>
                <c:pt idx="1">
                  <c:v>1.9587882614990598E-6</c:v>
                </c:pt>
                <c:pt idx="2">
                  <c:v>1.7743362787285013E-6</c:v>
                </c:pt>
                <c:pt idx="3">
                  <c:v>1.9881793264176451E-5</c:v>
                </c:pt>
                <c:pt idx="4">
                  <c:v>2.1225967302562855E-6</c:v>
                </c:pt>
                <c:pt idx="5">
                  <c:v>2.2251545485488144E-6</c:v>
                </c:pt>
                <c:pt idx="6">
                  <c:v>9.6643078449922771E-7</c:v>
                </c:pt>
                <c:pt idx="7">
                  <c:v>2.8680498876375678E-6</c:v>
                </c:pt>
                <c:pt idx="8">
                  <c:v>5.109967940398983E-7</c:v>
                </c:pt>
                <c:pt idx="9">
                  <c:v>1.7443508878993375E-6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BE9-48ED-8FE8-C5CFF76092DB}"/>
            </c:ext>
          </c:extLst>
        </c:ser>
        <c:ser>
          <c:idx val="13"/>
          <c:order val="11"/>
          <c:tx>
            <c:strRef>
              <c:f>LCA!$A$79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LCA!$P$81:$Y$81</c:f>
              <c:numCache>
                <c:formatCode>0%</c:formatCode>
                <c:ptCount val="10"/>
                <c:pt idx="0">
                  <c:v>3.1994179033831467E-7</c:v>
                </c:pt>
                <c:pt idx="1">
                  <c:v>1.1265550805740511E-7</c:v>
                </c:pt>
                <c:pt idx="2">
                  <c:v>1.0149590536118886E-7</c:v>
                </c:pt>
                <c:pt idx="3">
                  <c:v>9.2701279788608953E-8</c:v>
                </c:pt>
                <c:pt idx="4">
                  <c:v>1.3561909672349893E-7</c:v>
                </c:pt>
                <c:pt idx="5">
                  <c:v>1.2805331830383101E-7</c:v>
                </c:pt>
                <c:pt idx="6">
                  <c:v>8.6499532452422542E-8</c:v>
                </c:pt>
                <c:pt idx="7">
                  <c:v>1.6897918603400277E-7</c:v>
                </c:pt>
                <c:pt idx="8">
                  <c:v>2.7891085528672648E-8</c:v>
                </c:pt>
                <c:pt idx="9">
                  <c:v>9.0959001573989711E-8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E9-48ED-8FE8-C5CFF76092DB}"/>
            </c:ext>
          </c:extLst>
        </c:ser>
        <c:ser>
          <c:idx val="14"/>
          <c:order val="12"/>
          <c:tx>
            <c:strRef>
              <c:f>LCA!$A$80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LCA!$P$82:$Y$82</c:f>
              <c:numCache>
                <c:formatCode>0%</c:formatCode>
                <c:ptCount val="10"/>
                <c:pt idx="0">
                  <c:v>2.4925965706522786E-2</c:v>
                </c:pt>
                <c:pt idx="1">
                  <c:v>2.4039199237740966E-2</c:v>
                </c:pt>
                <c:pt idx="2">
                  <c:v>1.3764113143024207E-2</c:v>
                </c:pt>
                <c:pt idx="3">
                  <c:v>9.4355172797158503E-3</c:v>
                </c:pt>
                <c:pt idx="4">
                  <c:v>1.847841414205835E-2</c:v>
                </c:pt>
                <c:pt idx="5">
                  <c:v>2.8293612135809269E-2</c:v>
                </c:pt>
                <c:pt idx="6">
                  <c:v>1.6340951051238482E-2</c:v>
                </c:pt>
                <c:pt idx="7">
                  <c:v>1.6377135907140683E-2</c:v>
                </c:pt>
                <c:pt idx="8">
                  <c:v>1.0698747418662653E-2</c:v>
                </c:pt>
                <c:pt idx="9">
                  <c:v>1.2142691585940795E-2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BE9-48ED-8FE8-C5CFF76092DB}"/>
            </c:ext>
          </c:extLst>
        </c:ser>
        <c:ser>
          <c:idx val="15"/>
          <c:order val="13"/>
          <c:tx>
            <c:strRef>
              <c:f>LCA!$A$81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LCA!$P$2:$Y$2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LCA!$P$83:$Y$83</c:f>
              <c:numCache>
                <c:formatCode>0%</c:formatCode>
                <c:ptCount val="10"/>
                <c:pt idx="0">
                  <c:v>5.6778390397652056E-5</c:v>
                </c:pt>
                <c:pt idx="1">
                  <c:v>5.2940031533002553E-5</c:v>
                </c:pt>
                <c:pt idx="2">
                  <c:v>3.314705860917063E-5</c:v>
                </c:pt>
                <c:pt idx="3">
                  <c:v>2.2970306082322443E-5</c:v>
                </c:pt>
                <c:pt idx="4">
                  <c:v>4.1845211926116674E-5</c:v>
                </c:pt>
                <c:pt idx="5">
                  <c:v>5.7702214885743698E-5</c:v>
                </c:pt>
                <c:pt idx="6">
                  <c:v>2.9209338988960269E-5</c:v>
                </c:pt>
                <c:pt idx="7">
                  <c:v>3.4923743268827173E-5</c:v>
                </c:pt>
                <c:pt idx="8">
                  <c:v>1.8662147179730858E-5</c:v>
                </c:pt>
                <c:pt idx="9">
                  <c:v>2.4816759798328333E-5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BE9-48ED-8FE8-C5CFF76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396832"/>
        <c:axId val="1436623568"/>
      </c:barChart>
      <c:catAx>
        <c:axId val="8653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436623568"/>
        <c:crosses val="autoZero"/>
        <c:auto val="1"/>
        <c:lblAlgn val="ctr"/>
        <c:lblOffset val="100"/>
        <c:noMultiLvlLbl val="0"/>
      </c:catAx>
      <c:valAx>
        <c:axId val="14366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8653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33578952948568"/>
          <c:y val="7.0454262535003226E-2"/>
          <c:w val="0.21068760870498129"/>
          <c:h val="0.659475467560275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ndara" panose="020E0502030303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ndara" panose="020E05020303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r>
              <a:rPr lang="en-US" sz="1600"/>
              <a:t>Indoor growth emissions per kg of dried flower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ndara" panose="020E0502030303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LCA!$A$68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LCA!$C$68:$L$68</c:f>
              <c:numCache>
                <c:formatCode>0%</c:formatCode>
                <c:ptCount val="10"/>
                <c:pt idx="0">
                  <c:v>2.4566095203129763E-2</c:v>
                </c:pt>
                <c:pt idx="1">
                  <c:v>6.3507425999416531E-3</c:v>
                </c:pt>
                <c:pt idx="2">
                  <c:v>4.4780713766363047E-3</c:v>
                </c:pt>
                <c:pt idx="3">
                  <c:v>3.1313821560552277E-2</c:v>
                </c:pt>
                <c:pt idx="4">
                  <c:v>7.2661083406424659E-3</c:v>
                </c:pt>
                <c:pt idx="5">
                  <c:v>5.1704207842869299E-3</c:v>
                </c:pt>
                <c:pt idx="6">
                  <c:v>4.6529024973095301E-2</c:v>
                </c:pt>
                <c:pt idx="7">
                  <c:v>2.0804503986571164E-2</c:v>
                </c:pt>
                <c:pt idx="8">
                  <c:v>5.4589575487174108E-2</c:v>
                </c:pt>
                <c:pt idx="9">
                  <c:v>5.2058882178430705E-3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B-4C02-AB9B-A29B13FD3F60}"/>
            </c:ext>
          </c:extLst>
        </c:ser>
        <c:ser>
          <c:idx val="1"/>
          <c:order val="1"/>
          <c:tx>
            <c:strRef>
              <c:f>LCA!$A$69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LCA!$C$69:$L$69</c:f>
              <c:numCache>
                <c:formatCode>0%</c:formatCode>
                <c:ptCount val="10"/>
                <c:pt idx="0">
                  <c:v>2.9385861229745424E-3</c:v>
                </c:pt>
                <c:pt idx="1">
                  <c:v>5.8187921073838264E-3</c:v>
                </c:pt>
                <c:pt idx="2">
                  <c:v>7.459378993661679E-3</c:v>
                </c:pt>
                <c:pt idx="3">
                  <c:v>2.8466751167212328E-3</c:v>
                </c:pt>
                <c:pt idx="4">
                  <c:v>6.443640402601215E-3</c:v>
                </c:pt>
                <c:pt idx="5">
                  <c:v>5.5773732946233735E-3</c:v>
                </c:pt>
                <c:pt idx="6">
                  <c:v>2.1541780688790952E-3</c:v>
                </c:pt>
                <c:pt idx="7">
                  <c:v>1.9166746359561039E-3</c:v>
                </c:pt>
                <c:pt idx="8">
                  <c:v>1.3755770924091535E-3</c:v>
                </c:pt>
                <c:pt idx="9">
                  <c:v>7.6829403837652011E-3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B-4C02-AB9B-A29B13FD3F60}"/>
            </c:ext>
          </c:extLst>
        </c:ser>
        <c:ser>
          <c:idx val="2"/>
          <c:order val="2"/>
          <c:tx>
            <c:strRef>
              <c:f>LCA!$A$70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LCA!$C$70:$L$70</c:f>
              <c:numCache>
                <c:formatCode>0%</c:formatCode>
                <c:ptCount val="10"/>
                <c:pt idx="0">
                  <c:v>0.20032007869065027</c:v>
                </c:pt>
                <c:pt idx="1">
                  <c:v>5.1786059072273675E-2</c:v>
                </c:pt>
                <c:pt idx="2">
                  <c:v>3.6515677527613241E-2</c:v>
                </c:pt>
                <c:pt idx="3">
                  <c:v>0.25534327483659874</c:v>
                </c:pt>
                <c:pt idx="4">
                  <c:v>5.9250254569836958E-2</c:v>
                </c:pt>
                <c:pt idx="5">
                  <c:v>4.2161323963288096E-2</c:v>
                </c:pt>
                <c:pt idx="6">
                  <c:v>0.37941308404691887</c:v>
                </c:pt>
                <c:pt idx="7">
                  <c:v>0.1696468177481836</c:v>
                </c:pt>
                <c:pt idx="8">
                  <c:v>0.44514148328655517</c:v>
                </c:pt>
                <c:pt idx="9">
                  <c:v>4.2450537166370379E-2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B-4C02-AB9B-A29B13FD3F60}"/>
            </c:ext>
          </c:extLst>
        </c:ser>
        <c:ser>
          <c:idx val="3"/>
          <c:order val="3"/>
          <c:tx>
            <c:strRef>
              <c:f>LCA!$A$71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LCA!$C$71:$L$71</c:f>
              <c:numCache>
                <c:formatCode>0%</c:formatCode>
                <c:ptCount val="10"/>
                <c:pt idx="0">
                  <c:v>1.495386422872111E-3</c:v>
                </c:pt>
                <c:pt idx="1">
                  <c:v>3.8658216458830496E-4</c:v>
                </c:pt>
                <c:pt idx="2">
                  <c:v>2.7258899234506814E-4</c:v>
                </c:pt>
                <c:pt idx="3">
                  <c:v>1.9061337678087363E-3</c:v>
                </c:pt>
                <c:pt idx="4">
                  <c:v>4.423022735143616E-4</c:v>
                </c:pt>
                <c:pt idx="5">
                  <c:v>3.147336594369872E-4</c:v>
                </c:pt>
                <c:pt idx="6">
                  <c:v>2.8323130574442958E-3</c:v>
                </c:pt>
                <c:pt idx="7">
                  <c:v>1.2664109838727508E-3</c:v>
                </c:pt>
                <c:pt idx="8">
                  <c:v>3.3229745850481053E-3</c:v>
                </c:pt>
                <c:pt idx="9">
                  <c:v>3.1689263171790605E-4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B-4C02-AB9B-A29B13FD3F60}"/>
            </c:ext>
          </c:extLst>
        </c:ser>
        <c:ser>
          <c:idx val="4"/>
          <c:order val="4"/>
          <c:tx>
            <c:strRef>
              <c:f>LCA!$A$72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LCA!$C$72:$L$72</c:f>
              <c:numCache>
                <c:formatCode>0%</c:formatCode>
                <c:ptCount val="10"/>
                <c:pt idx="0">
                  <c:v>2.8127634791239049E-3</c:v>
                </c:pt>
                <c:pt idx="1">
                  <c:v>7.2714595879920247E-4</c:v>
                </c:pt>
                <c:pt idx="2">
                  <c:v>5.1272925228702966E-4</c:v>
                </c:pt>
                <c:pt idx="3">
                  <c:v>3.5853631987106701E-3</c:v>
                </c:pt>
                <c:pt idx="4">
                  <c:v>8.319533082861662E-4</c:v>
                </c:pt>
                <c:pt idx="5">
                  <c:v>5.9200172569113195E-4</c:v>
                </c:pt>
                <c:pt idx="6">
                  <c:v>5.3274702829814351E-3</c:v>
                </c:pt>
                <c:pt idx="7">
                  <c:v>2.3820696179366651E-3</c:v>
                </c:pt>
                <c:pt idx="8">
                  <c:v>6.2503854601865527E-3</c:v>
                </c:pt>
                <c:pt idx="9">
                  <c:v>5.960626682617791E-4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0B-4C02-AB9B-A29B13FD3F60}"/>
            </c:ext>
          </c:extLst>
        </c:ser>
        <c:ser>
          <c:idx val="5"/>
          <c:order val="5"/>
          <c:tx>
            <c:strRef>
              <c:f>LCA!$A$73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LCA!$C$73:$L$73</c:f>
              <c:numCache>
                <c:formatCode>0%</c:formatCode>
                <c:ptCount val="10"/>
                <c:pt idx="0">
                  <c:v>1.4633780555888947E-2</c:v>
                </c:pt>
                <c:pt idx="1">
                  <c:v>2.8976835538037832E-2</c:v>
                </c:pt>
                <c:pt idx="2">
                  <c:v>3.7146747009734804E-2</c:v>
                </c:pt>
                <c:pt idx="3">
                  <c:v>1.4176075578088128E-2</c:v>
                </c:pt>
                <c:pt idx="4">
                  <c:v>3.2088499600371592E-2</c:v>
                </c:pt>
                <c:pt idx="5">
                  <c:v>2.7774600932633918E-2</c:v>
                </c:pt>
                <c:pt idx="6">
                  <c:v>1.0727529437311787E-2</c:v>
                </c:pt>
                <c:pt idx="7">
                  <c:v>9.5447929194018549E-3</c:v>
                </c:pt>
                <c:pt idx="8">
                  <c:v>6.8501968176611153E-3</c:v>
                </c:pt>
                <c:pt idx="9">
                  <c:v>3.8260053949411232E-2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0B-4C02-AB9B-A29B13FD3F60}"/>
            </c:ext>
          </c:extLst>
        </c:ser>
        <c:ser>
          <c:idx val="8"/>
          <c:order val="6"/>
          <c:tx>
            <c:strRef>
              <c:f>LCA!$A$74</c:f>
              <c:strCache>
                <c:ptCount val="1"/>
                <c:pt idx="0">
                  <c:v>Dehumidification (Electric)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LCA!$C$74:$L$74</c:f>
              <c:numCache>
                <c:formatCode>0%</c:formatCode>
                <c:ptCount val="10"/>
                <c:pt idx="0">
                  <c:v>8.6135792173536087E-3</c:v>
                </c:pt>
                <c:pt idx="1">
                  <c:v>1.7056034660481088E-2</c:v>
                </c:pt>
                <c:pt idx="2">
                  <c:v>2.186492047036899E-2</c:v>
                </c:pt>
                <c:pt idx="3">
                  <c:v>8.3441698142668642E-3</c:v>
                </c:pt>
                <c:pt idx="4">
                  <c:v>1.8887589042230941E-2</c:v>
                </c:pt>
                <c:pt idx="5">
                  <c:v>1.6348388200159995E-2</c:v>
                </c:pt>
                <c:pt idx="6">
                  <c:v>6.3143235107207566E-3</c:v>
                </c:pt>
                <c:pt idx="7">
                  <c:v>5.6181538058816026E-3</c:v>
                </c:pt>
                <c:pt idx="8">
                  <c:v>4.0320895012767467E-3</c:v>
                </c:pt>
                <c:pt idx="9">
                  <c:v>2.2520223280296219E-2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0B-4C02-AB9B-A29B13FD3F60}"/>
            </c:ext>
          </c:extLst>
        </c:ser>
        <c:ser>
          <c:idx val="9"/>
          <c:order val="7"/>
          <c:tx>
            <c:strRef>
              <c:f>LCA!$A$75</c:f>
              <c:strCache>
                <c:ptCount val="1"/>
                <c:pt idx="0">
                  <c:v>Dehumidification Reheat (NG)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LCA!$C$75:$L$75</c:f>
              <c:numCache>
                <c:formatCode>0%</c:formatCode>
                <c:ptCount val="10"/>
                <c:pt idx="0">
                  <c:v>4.3654760222615564E-3</c:v>
                </c:pt>
                <c:pt idx="1">
                  <c:v>1.1285478752059961E-3</c:v>
                </c:pt>
                <c:pt idx="2">
                  <c:v>7.9576803146928375E-4</c:v>
                </c:pt>
                <c:pt idx="3">
                  <c:v>5.5645692185769986E-3</c:v>
                </c:pt>
                <c:pt idx="4">
                  <c:v>1.2912113819451537E-3</c:v>
                </c:pt>
                <c:pt idx="5">
                  <c:v>9.1880080135534753E-4</c:v>
                </c:pt>
                <c:pt idx="6">
                  <c:v>8.2683609739238797E-3</c:v>
                </c:pt>
                <c:pt idx="7">
                  <c:v>3.6970288748555593E-3</c:v>
                </c:pt>
                <c:pt idx="8">
                  <c:v>9.7007473464620769E-3</c:v>
                </c:pt>
                <c:pt idx="9">
                  <c:v>9.2510348110482431E-4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0B-4C02-AB9B-A29B13FD3F60}"/>
            </c:ext>
          </c:extLst>
        </c:ser>
        <c:ser>
          <c:idx val="6"/>
          <c:order val="8"/>
          <c:tx>
            <c:strRef>
              <c:f>LCA!$A$76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rgbClr val="78518D"/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LCA!$C$76:$L$76</c:f>
              <c:numCache>
                <c:formatCode>0%</c:formatCode>
                <c:ptCount val="10"/>
                <c:pt idx="0">
                  <c:v>0.19874421386567567</c:v>
                </c:pt>
                <c:pt idx="1">
                  <c:v>0.39354002729012949</c:v>
                </c:pt>
                <c:pt idx="2">
                  <c:v>0.50449718061037374</c:v>
                </c:pt>
                <c:pt idx="3">
                  <c:v>0.19252803373040478</c:v>
                </c:pt>
                <c:pt idx="4">
                  <c:v>0.43580014083500085</c:v>
                </c:pt>
                <c:pt idx="5">
                  <c:v>0.37721224578345947</c:v>
                </c:pt>
                <c:pt idx="6">
                  <c:v>0.14569265929585426</c:v>
                </c:pt>
                <c:pt idx="7">
                  <c:v>0.12962968509964481</c:v>
                </c:pt>
                <c:pt idx="8">
                  <c:v>9.3033852472479528E-2</c:v>
                </c:pt>
                <c:pt idx="9">
                  <c:v>0.51961721822964457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0B-4C02-AB9B-A29B13FD3F60}"/>
            </c:ext>
          </c:extLst>
        </c:ser>
        <c:ser>
          <c:idx val="7"/>
          <c:order val="9"/>
          <c:tx>
            <c:strRef>
              <c:f>LCA!$A$77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LCA!$C$77:$L$77</c:f>
              <c:numCache>
                <c:formatCode>0%</c:formatCode>
                <c:ptCount val="10"/>
                <c:pt idx="0">
                  <c:v>1.9078590897941463E-3</c:v>
                </c:pt>
                <c:pt idx="1">
                  <c:v>2.268775709118976E-3</c:v>
                </c:pt>
                <c:pt idx="2">
                  <c:v>2.7863021019435556E-3</c:v>
                </c:pt>
                <c:pt idx="3">
                  <c:v>1.2450306926914635E-3</c:v>
                </c:pt>
                <c:pt idx="4">
                  <c:v>2.6798222354251096E-3</c:v>
                </c:pt>
                <c:pt idx="5">
                  <c:v>2.2826225106729794E-3</c:v>
                </c:pt>
                <c:pt idx="6">
                  <c:v>9.242423700356146E-4</c:v>
                </c:pt>
                <c:pt idx="7">
                  <c:v>1.1096988357856123E-3</c:v>
                </c:pt>
                <c:pt idx="8">
                  <c:v>5.9040361874385756E-4</c:v>
                </c:pt>
                <c:pt idx="9">
                  <c:v>2.9636223508611829E-3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0B-4C02-AB9B-A29B13FD3F60}"/>
            </c:ext>
          </c:extLst>
        </c:ser>
        <c:ser>
          <c:idx val="10"/>
          <c:order val="10"/>
          <c:tx>
            <c:strRef>
              <c:f>LCA!$A$78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LCA!$C$78:$L$78</c:f>
              <c:numCache>
                <c:formatCode>0%</c:formatCode>
                <c:ptCount val="10"/>
                <c:pt idx="0">
                  <c:v>0.23119102621135659</c:v>
                </c:pt>
                <c:pt idx="1">
                  <c:v>0.27734643950708687</c:v>
                </c:pt>
                <c:pt idx="2">
                  <c:v>0.15308114728778521</c:v>
                </c:pt>
                <c:pt idx="3">
                  <c:v>0.13204616918373513</c:v>
                </c:pt>
                <c:pt idx="4">
                  <c:v>0.20153228103339449</c:v>
                </c:pt>
                <c:pt idx="5">
                  <c:v>0.31596304754378751</c:v>
                </c:pt>
                <c:pt idx="6">
                  <c:v>7.31490782238155E-2</c:v>
                </c:pt>
                <c:pt idx="7">
                  <c:v>0.4516985963810165</c:v>
                </c:pt>
                <c:pt idx="8">
                  <c:v>6.9450738596357101E-2</c:v>
                </c:pt>
                <c:pt idx="9">
                  <c:v>0.1250374339488742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0B-4C02-AB9B-A29B13FD3F60}"/>
            </c:ext>
          </c:extLst>
        </c:ser>
        <c:ser>
          <c:idx val="11"/>
          <c:order val="11"/>
          <c:tx>
            <c:strRef>
              <c:f>LCA!#REF!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0B-4C02-AB9B-A29B13FD3F60}"/>
            </c:ext>
          </c:extLst>
        </c:ser>
        <c:ser>
          <c:idx val="12"/>
          <c:order val="12"/>
          <c:tx>
            <c:strRef>
              <c:f>LCA!#REF!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0B-4C02-AB9B-A29B13FD3F60}"/>
            </c:ext>
          </c:extLst>
        </c:ser>
        <c:ser>
          <c:idx val="13"/>
          <c:order val="13"/>
          <c:tx>
            <c:strRef>
              <c:f>LCA!$A$79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LCA!$C$79:$L$79</c:f>
              <c:numCache>
                <c:formatCode>0%</c:formatCode>
                <c:ptCount val="10"/>
                <c:pt idx="0">
                  <c:v>1.105658949598223E-3</c:v>
                </c:pt>
                <c:pt idx="1">
                  <c:v>6.2262249833002457E-4</c:v>
                </c:pt>
                <c:pt idx="2">
                  <c:v>3.9124171591002664E-4</c:v>
                </c:pt>
                <c:pt idx="3">
                  <c:v>4.8234852225711219E-4</c:v>
                </c:pt>
                <c:pt idx="4">
                  <c:v>2.856362131523543E-4</c:v>
                </c:pt>
                <c:pt idx="5">
                  <c:v>7.2479353542552591E-4</c:v>
                </c:pt>
                <c:pt idx="6">
                  <c:v>3.9329762745549622E-4</c:v>
                </c:pt>
                <c:pt idx="7">
                  <c:v>5.4931690323031942E-4</c:v>
                </c:pt>
                <c:pt idx="8">
                  <c:v>2.849122978277294E-4</c:v>
                </c:pt>
                <c:pt idx="9">
                  <c:v>2.2536559601401152E-4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0B-4C02-AB9B-A29B13FD3F60}"/>
            </c:ext>
          </c:extLst>
        </c:ser>
        <c:ser>
          <c:idx val="14"/>
          <c:order val="14"/>
          <c:tx>
            <c:strRef>
              <c:f>LCA!$A$80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LCA!$C$80:$L$80</c:f>
              <c:numCache>
                <c:formatCode>0%</c:formatCode>
                <c:ptCount val="10"/>
                <c:pt idx="0">
                  <c:v>1.4095908229443857E-3</c:v>
                </c:pt>
                <c:pt idx="1">
                  <c:v>1.2006258996149479E-3</c:v>
                </c:pt>
                <c:pt idx="2">
                  <c:v>1.4347881030290293E-3</c:v>
                </c:pt>
                <c:pt idx="3">
                  <c:v>2.3617334823597408E-4</c:v>
                </c:pt>
                <c:pt idx="4">
                  <c:v>6.067104146719347E-4</c:v>
                </c:pt>
                <c:pt idx="5">
                  <c:v>1.551261572071344E-3</c:v>
                </c:pt>
                <c:pt idx="6">
                  <c:v>3.479677779871901E-4</c:v>
                </c:pt>
                <c:pt idx="7">
                  <c:v>4.5826141716312431E-4</c:v>
                </c:pt>
                <c:pt idx="8">
                  <c:v>2.8450861862104848E-4</c:v>
                </c:pt>
                <c:pt idx="9">
                  <c:v>5.3212380894331079E-4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0B-4C02-AB9B-A29B13FD3F60}"/>
            </c:ext>
          </c:extLst>
        </c:ser>
        <c:ser>
          <c:idx val="15"/>
          <c:order val="15"/>
          <c:tx>
            <c:strRef>
              <c:f>LCA!$A$81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LCA!$C$81:$L$81</c:f>
              <c:numCache>
                <c:formatCode>0%</c:formatCode>
                <c:ptCount val="10"/>
                <c:pt idx="0">
                  <c:v>9.3359180186234055E-5</c:v>
                </c:pt>
                <c:pt idx="1">
                  <c:v>1.9277338511158713E-4</c:v>
                </c:pt>
                <c:pt idx="2">
                  <c:v>6.151864697270237E-5</c:v>
                </c:pt>
                <c:pt idx="3">
                  <c:v>4.3469633868105492E-5</c:v>
                </c:pt>
                <c:pt idx="4">
                  <c:v>1.0817557953768272E-4</c:v>
                </c:pt>
                <c:pt idx="5">
                  <c:v>2.2183530934929578E-4</c:v>
                </c:pt>
                <c:pt idx="6">
                  <c:v>8.9681853932964593E-5</c:v>
                </c:pt>
                <c:pt idx="7">
                  <c:v>5.7358496561685822E-5</c:v>
                </c:pt>
                <c:pt idx="8">
                  <c:v>5.862446264280603E-5</c:v>
                </c:pt>
                <c:pt idx="9">
                  <c:v>3.3923248048229438E-5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0B-4C02-AB9B-A29B13FD3F60}"/>
            </c:ext>
          </c:extLst>
        </c:ser>
        <c:ser>
          <c:idx val="17"/>
          <c:order val="16"/>
          <c:tx>
            <c:strRef>
              <c:f>LCA!$A$82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LCA!$C$82:$L$82</c:f>
              <c:numCache>
                <c:formatCode>0%</c:formatCode>
                <c:ptCount val="10"/>
                <c:pt idx="0">
                  <c:v>2.5203174924386031E-3</c:v>
                </c:pt>
                <c:pt idx="1">
                  <c:v>1.0332206326891212E-3</c:v>
                </c:pt>
                <c:pt idx="2">
                  <c:v>4.4249120897718873E-4</c:v>
                </c:pt>
                <c:pt idx="3">
                  <c:v>8.9680442260584622E-4</c:v>
                </c:pt>
                <c:pt idx="4">
                  <c:v>9.4036825576508741E-4</c:v>
                </c:pt>
                <c:pt idx="5">
                  <c:v>9.4928759264249448E-4</c:v>
                </c:pt>
                <c:pt idx="6">
                  <c:v>2.7130503330808253E-3</c:v>
                </c:pt>
                <c:pt idx="7">
                  <c:v>2.9334876634993499E-3</c:v>
                </c:pt>
                <c:pt idx="8">
                  <c:v>1.3599149612301342E-3</c:v>
                </c:pt>
                <c:pt idx="9">
                  <c:v>6.3133789998506091E-4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0B-4C02-AB9B-A29B13FD3F60}"/>
            </c:ext>
          </c:extLst>
        </c:ser>
        <c:ser>
          <c:idx val="18"/>
          <c:order val="17"/>
          <c:tx>
            <c:strRef>
              <c:f>LCA!$A$83</c:f>
              <c:strCache>
                <c:ptCount val="1"/>
                <c:pt idx="0">
                  <c:v>Soil Amendments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LCA!$C$2:$L$2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 - carcinogenics</c:v>
                </c:pt>
                <c:pt idx="5">
                  <c:v>Human Health - non-carcinogenics</c:v>
                </c:pt>
                <c:pt idx="6">
                  <c:v>Ozone Depletion</c:v>
                </c:pt>
                <c:pt idx="7">
                  <c:v>Photochemical ozone formation</c:v>
                </c:pt>
                <c:pt idx="8">
                  <c:v>Resource depletion - fossil fuels</c:v>
                </c:pt>
                <c:pt idx="9">
                  <c:v>Respiratory effects</c:v>
                </c:pt>
              </c:strCache>
            </c:strRef>
          </c:cat>
          <c:val>
            <c:numRef>
              <c:f>LCA!$C$83:$L$83</c:f>
              <c:numCache>
                <c:formatCode>0%</c:formatCode>
                <c:ptCount val="10"/>
                <c:pt idx="0">
                  <c:v>0.10414568428336646</c:v>
                </c:pt>
                <c:pt idx="1">
                  <c:v>2.8545853551287061E-2</c:v>
                </c:pt>
                <c:pt idx="2">
                  <c:v>2.8052487540581161E-2</c:v>
                </c:pt>
                <c:pt idx="3">
                  <c:v>3.0674277983048212E-2</c:v>
                </c:pt>
                <c:pt idx="4">
                  <c:v>3.8436999431907683E-2</c:v>
                </c:pt>
                <c:pt idx="5">
                  <c:v>3.1256314010805149E-2</c:v>
                </c:pt>
                <c:pt idx="6">
                  <c:v>3.6018828920513273E-2</c:v>
                </c:pt>
                <c:pt idx="7">
                  <c:v>4.308817460777311E-2</c:v>
                </c:pt>
                <c:pt idx="8">
                  <c:v>1.2452040136390176E-2</c:v>
                </c:pt>
                <c:pt idx="9">
                  <c:v>2.6391432248714191E-2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0B-4C02-AB9B-A29B13FD3F60}"/>
            </c:ext>
          </c:extLst>
        </c:ser>
        <c:ser>
          <c:idx val="16"/>
          <c:order val="18"/>
          <c:tx>
            <c:strRef>
              <c:f>LCA!$A$84</c:f>
              <c:strCache>
                <c:ptCount val="1"/>
                <c:pt idx="0">
                  <c:v>Pesticides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LCA!$C$84:$L$84</c:f>
              <c:numCache>
                <c:formatCode>0%</c:formatCode>
                <c:ptCount val="10"/>
                <c:pt idx="0">
                  <c:v>2.0423800452333317E-3</c:v>
                </c:pt>
                <c:pt idx="1">
                  <c:v>1.2816964070763066E-3</c:v>
                </c:pt>
                <c:pt idx="2">
                  <c:v>3.4288391462468119E-3</c:v>
                </c:pt>
                <c:pt idx="3">
                  <c:v>2.0187555489745049E-3</c:v>
                </c:pt>
                <c:pt idx="4">
                  <c:v>9.2554790857916501E-4</c:v>
                </c:pt>
                <c:pt idx="5">
                  <c:v>7.0094999096447972E-4</c:v>
                </c:pt>
                <c:pt idx="6">
                  <c:v>4.4073405551211468E-4</c:v>
                </c:pt>
                <c:pt idx="7">
                  <c:v>9.6900672879147737E-4</c:v>
                </c:pt>
                <c:pt idx="8">
                  <c:v>1.9853819306598762E-4</c:v>
                </c:pt>
                <c:pt idx="9">
                  <c:v>1.0613457913538464E-3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0B-4C02-AB9B-A29B13FD3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396832"/>
        <c:axId val="1436623568"/>
      </c:barChart>
      <c:catAx>
        <c:axId val="8653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436623568"/>
        <c:crosses val="autoZero"/>
        <c:auto val="1"/>
        <c:lblAlgn val="ctr"/>
        <c:lblOffset val="100"/>
        <c:noMultiLvlLbl val="0"/>
      </c:catAx>
      <c:valAx>
        <c:axId val="14366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8653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33578952948568"/>
          <c:y val="7.0454262535003226E-2"/>
          <c:w val="0.21575288185851835"/>
          <c:h val="0.625335819729762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ndara" panose="020E0502030303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ndara" panose="020E05020303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Environmental Impact of Indoor Grown Cannabis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3"/>
          <c:order val="0"/>
          <c:tx>
            <c:strRef>
              <c:f>LCA!$A$101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LCA!$C$101:$L$101</c:f>
              <c:numCache>
                <c:formatCode>0.00</c:formatCode>
                <c:ptCount val="10"/>
                <c:pt idx="0">
                  <c:v>1.565751811762258</c:v>
                </c:pt>
                <c:pt idx="1">
                  <c:v>3849.4712115492362</c:v>
                </c:pt>
                <c:pt idx="2">
                  <c:v>5.1240659835501425</c:v>
                </c:pt>
                <c:pt idx="3">
                  <c:v>836.88042477533656</c:v>
                </c:pt>
                <c:pt idx="4">
                  <c:v>5.3655978396139477E-5</c:v>
                </c:pt>
                <c:pt idx="5">
                  <c:v>1.5255097397400114E-4</c:v>
                </c:pt>
                <c:pt idx="6">
                  <c:v>5.1144042102428711E-5</c:v>
                </c:pt>
                <c:pt idx="7">
                  <c:v>21.917425153561592</c:v>
                </c:pt>
                <c:pt idx="8">
                  <c:v>550.39114617307894</c:v>
                </c:pt>
                <c:pt idx="9">
                  <c:v>1.8574196730038641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FE-4D8D-8DBF-7B0B5D5411EB}"/>
            </c:ext>
          </c:extLst>
        </c:ser>
        <c:ser>
          <c:idx val="5"/>
          <c:order val="1"/>
          <c:tx>
            <c:strRef>
              <c:f>LCA!$A$103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LCA!$C$103:$L$103</c:f>
              <c:numCache>
                <c:formatCode>0.00</c:formatCode>
                <c:ptCount val="10"/>
                <c:pt idx="0">
                  <c:v>1.821375128929601</c:v>
                </c:pt>
                <c:pt idx="1">
                  <c:v>2712.9060844454293</c:v>
                </c:pt>
                <c:pt idx="2">
                  <c:v>1.55481126493344</c:v>
                </c:pt>
                <c:pt idx="3">
                  <c:v>573.97799175148657</c:v>
                </c:pt>
                <c:pt idx="4">
                  <c:v>2.4812777014100626E-5</c:v>
                </c:pt>
                <c:pt idx="5">
                  <c:v>1.2778076847024772E-4</c:v>
                </c:pt>
                <c:pt idx="6">
                  <c:v>2.5678298100356842E-5</c:v>
                </c:pt>
                <c:pt idx="7">
                  <c:v>76.371937265292971</c:v>
                </c:pt>
                <c:pt idx="8">
                  <c:v>410.8727157130603</c:v>
                </c:pt>
                <c:pt idx="9">
                  <c:v>0.44695784036917491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FE-4D8D-8DBF-7B0B5D5411EB}"/>
            </c:ext>
          </c:extLst>
        </c:ser>
        <c:ser>
          <c:idx val="2"/>
          <c:order val="2"/>
          <c:tx>
            <c:strRef>
              <c:f>LCA!$A$99</c:f>
              <c:strCache>
                <c:ptCount val="1"/>
                <c:pt idx="0">
                  <c:v>Secondary Dehumidification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LCA!$C$99:$L$99</c:f>
              <c:numCache>
                <c:formatCode>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E-4D8D-8DBF-7B0B5D5411EB}"/>
            </c:ext>
          </c:extLst>
        </c:ser>
        <c:ser>
          <c:idx val="0"/>
          <c:order val="3"/>
          <c:tx>
            <c:strRef>
              <c:f>LCA!$A$97</c:f>
              <c:strCache>
                <c:ptCount val="1"/>
                <c:pt idx="0">
                  <c:v>HVAC 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LCA!$C$97:$L$97</c:f>
              <c:numCache>
                <c:formatCode>0.00</c:formatCode>
                <c:ptCount val="10"/>
                <c:pt idx="0">
                  <c:v>3.352556045005175</c:v>
                </c:pt>
                <c:pt idx="1">
                  <c:v>2407.5528312752199</c:v>
                </c:pt>
                <c:pt idx="2">
                  <c:v>2.6799480975001368</c:v>
                </c:pt>
                <c:pt idx="3">
                  <c:v>2252.7052762532935</c:v>
                </c:pt>
                <c:pt idx="4">
                  <c:v>3.3963042966203376E-5</c:v>
                </c:pt>
                <c:pt idx="5">
                  <c:v>9.0179531051831258E-5</c:v>
                </c:pt>
                <c:pt idx="6">
                  <c:v>2.507165625534718E-4</c:v>
                </c:pt>
                <c:pt idx="7">
                  <c:v>58.331314409407646</c:v>
                </c:pt>
                <c:pt idx="8">
                  <c:v>4773.9272817410638</c:v>
                </c:pt>
                <c:pt idx="9">
                  <c:v>1.0013803385974331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E-4D8D-8DBF-7B0B5D5411EB}"/>
            </c:ext>
          </c:extLst>
        </c:ser>
        <c:ser>
          <c:idx val="4"/>
          <c:order val="4"/>
          <c:tx>
            <c:strRef>
              <c:f>LCA!$A$102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LCA!$C$102:$L$102</c:f>
              <c:numCache>
                <c:formatCode>0.00</c:formatCode>
                <c:ptCount val="10"/>
                <c:pt idx="0">
                  <c:v>1.5030544881428572E-2</c:v>
                </c:pt>
                <c:pt idx="1">
                  <c:v>22.192372241914395</c:v>
                </c:pt>
                <c:pt idx="2">
                  <c:v>2.8299852544646033E-2</c:v>
                </c:pt>
                <c:pt idx="3">
                  <c:v>5.4118966197773828</c:v>
                </c:pt>
                <c:pt idx="4">
                  <c:v>3.2994134351118513E-7</c:v>
                </c:pt>
                <c:pt idx="5">
                  <c:v>9.2313091929162363E-7</c:v>
                </c:pt>
                <c:pt idx="6">
                  <c:v>3.244466187549028E-7</c:v>
                </c:pt>
                <c:pt idx="7">
                  <c:v>0.18762478021627343</c:v>
                </c:pt>
                <c:pt idx="8">
                  <c:v>3.4928460532287433</c:v>
                </c:pt>
                <c:pt idx="9">
                  <c:v>1.0593741440282155E-2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FE-4D8D-8DBF-7B0B5D5411EB}"/>
            </c:ext>
          </c:extLst>
        </c:ser>
        <c:ser>
          <c:idx val="1"/>
          <c:order val="5"/>
          <c:tx>
            <c:strRef>
              <c:f>LCA!$A$98</c:f>
              <c:strCache>
                <c:ptCount val="1"/>
                <c:pt idx="0">
                  <c:v>Secondary Air Conditioning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LCA!$C$98:$L$98</c:f>
              <c:numCache>
                <c:formatCode>0.00</c:formatCode>
                <c:ptCount val="10"/>
                <c:pt idx="0">
                  <c:v>8.7421112840536067E-2</c:v>
                </c:pt>
                <c:pt idx="1">
                  <c:v>214.92873559729807</c:v>
                </c:pt>
                <c:pt idx="2">
                  <c:v>0.28609358595990936</c:v>
                </c:pt>
                <c:pt idx="3">
                  <c:v>46.725807691052594</c:v>
                </c:pt>
                <c:pt idx="4">
                  <c:v>2.9957910996500247E-6</c:v>
                </c:pt>
                <c:pt idx="5">
                  <c:v>8.5174264589896445E-6</c:v>
                </c:pt>
                <c:pt idx="6">
                  <c:v>2.8555413713526836E-6</c:v>
                </c:pt>
                <c:pt idx="7">
                  <c:v>1.2237224847065618</c:v>
                </c:pt>
                <c:pt idx="8">
                  <c:v>30.730161788460101</c:v>
                </c:pt>
                <c:pt idx="9">
                  <c:v>0.10370589617465993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E-4D8D-8DBF-7B0B5D5411EB}"/>
            </c:ext>
          </c:extLst>
        </c:ser>
        <c:ser>
          <c:idx val="6"/>
          <c:order val="6"/>
          <c:tx>
            <c:strRef>
              <c:f>LCA!$A$104</c:f>
              <c:strCache>
                <c:ptCount val="1"/>
                <c:pt idx="0">
                  <c:v>Fertilizer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LCA!$C$104:$L$104</c:f>
              <c:numCache>
                <c:formatCode>0.00</c:formatCode>
                <c:ptCount val="10"/>
                <c:pt idx="0">
                  <c:v>2.0551210596123113E-2</c:v>
                </c:pt>
                <c:pt idx="1">
                  <c:v>19.720021541826611</c:v>
                </c:pt>
                <c:pt idx="2">
                  <c:v>1.9171411175735353E-2</c:v>
                </c:pt>
                <c:pt idx="3">
                  <c:v>3.3122229604128788</c:v>
                </c:pt>
                <c:pt idx="4">
                  <c:v>1.2318490269464401E-7</c:v>
                </c:pt>
                <c:pt idx="5">
                  <c:v>1.0101888796816875E-6</c:v>
                </c:pt>
                <c:pt idx="6">
                  <c:v>2.9169624484721954E-7</c:v>
                </c:pt>
                <c:pt idx="7">
                  <c:v>0.18005654307456254</c:v>
                </c:pt>
                <c:pt idx="8">
                  <c:v>3.715535870657146</c:v>
                </c:pt>
                <c:pt idx="9">
                  <c:v>2.8289775234257792E-3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FE-4D8D-8DBF-7B0B5D5411EB}"/>
            </c:ext>
          </c:extLst>
        </c:ser>
        <c:ser>
          <c:idx val="7"/>
          <c:order val="7"/>
          <c:tx>
            <c:strRef>
              <c:f>LCA!$A$105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LCA!$C$105:$L$105</c:f>
              <c:numCache>
                <c:formatCode>0.00</c:formatCode>
                <c:ptCount val="10"/>
                <c:pt idx="0">
                  <c:v>0.84033885709387723</c:v>
                </c:pt>
                <c:pt idx="1">
                  <c:v>289.33218132739455</c:v>
                </c:pt>
                <c:pt idx="2">
                  <c:v>0.28941717996509608</c:v>
                </c:pt>
                <c:pt idx="3">
                  <c:v>137.233110120775</c:v>
                </c:pt>
                <c:pt idx="4">
                  <c:v>4.8481654592822955E-6</c:v>
                </c:pt>
                <c:pt idx="5">
                  <c:v>1.3024486736427218E-5</c:v>
                </c:pt>
                <c:pt idx="6">
                  <c:v>1.3596463080747468E-5</c:v>
                </c:pt>
                <c:pt idx="7">
                  <c:v>7.7812141370068586</c:v>
                </c:pt>
                <c:pt idx="8">
                  <c:v>81.711953176604112</c:v>
                </c:pt>
                <c:pt idx="9">
                  <c:v>9.6595384318217375E-2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E-4D8D-8DBF-7B0B5D5411EB}"/>
            </c:ext>
          </c:extLst>
        </c:ser>
        <c:ser>
          <c:idx val="8"/>
          <c:order val="8"/>
          <c:tx>
            <c:strRef>
              <c:f>LCA!$A$106</c:f>
              <c:strCache>
                <c:ptCount val="1"/>
                <c:pt idx="0">
                  <c:v>Plant Protection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LCA!$N$96:$W$96</c:f>
              <c:strCache>
                <c:ptCount val="10"/>
                <c:pt idx="0">
                  <c:v>Acidification</c:v>
                </c:pt>
                <c:pt idx="1">
                  <c:v>Ecotoxicity</c:v>
                </c:pt>
                <c:pt idx="2">
                  <c:v>Eutrophication</c:v>
                </c:pt>
                <c:pt idx="3">
                  <c:v>Global Warming</c:v>
                </c:pt>
                <c:pt idx="4">
                  <c:v>Human Health</c:v>
                </c:pt>
                <c:pt idx="5">
                  <c:v>Human Health</c:v>
                </c:pt>
                <c:pt idx="6">
                  <c:v>Ozone Depletion</c:v>
                </c:pt>
                <c:pt idx="7">
                  <c:v>Ozone formation</c:v>
                </c:pt>
                <c:pt idx="8">
                  <c:v>Resource Depletion</c:v>
                </c:pt>
                <c:pt idx="9">
                  <c:v>Respiratory effects</c:v>
                </c:pt>
              </c:strCache>
            </c:strRef>
          </c:cat>
          <c:val>
            <c:numRef>
              <c:f>LCA!$C$106:$L$106</c:f>
              <c:numCache>
                <c:formatCode>0.00</c:formatCode>
                <c:ptCount val="10"/>
                <c:pt idx="0">
                  <c:v>5.0906292354750728E-2</c:v>
                </c:pt>
                <c:pt idx="1">
                  <c:v>44.989776121095488</c:v>
                </c:pt>
                <c:pt idx="2">
                  <c:v>5.5871239280035276E-2</c:v>
                </c:pt>
                <c:pt idx="3">
                  <c:v>16.166942811456092</c:v>
                </c:pt>
                <c:pt idx="4">
                  <c:v>4.6515178050434026E-7</c:v>
                </c:pt>
                <c:pt idx="5">
                  <c:v>1.8046964955177425E-6</c:v>
                </c:pt>
                <c:pt idx="6">
                  <c:v>1.4557182456941497E-6</c:v>
                </c:pt>
                <c:pt idx="7">
                  <c:v>0.54840709049399672</c:v>
                </c:pt>
                <c:pt idx="8">
                  <c:v>16.565532652888987</c:v>
                </c:pt>
                <c:pt idx="9">
                  <c:v>1.0653282778264564E-2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FE-4D8D-8DBF-7B0B5D541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707344"/>
        <c:axId val="2072701520"/>
      </c:barChart>
      <c:catAx>
        <c:axId val="207270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01520"/>
        <c:crosses val="autoZero"/>
        <c:auto val="1"/>
        <c:lblAlgn val="ctr"/>
        <c:lblOffset val="100"/>
        <c:noMultiLvlLbl val="0"/>
      </c:catAx>
      <c:valAx>
        <c:axId val="20727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0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'Sensitivity Analysis'!$C$86</c:f>
              <c:strCache>
                <c:ptCount val="1"/>
                <c:pt idx="0">
                  <c:v>Acidification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'Sensitivity Analysis'!$C$87:$C$116</c:f>
              <c:numCache>
                <c:formatCode>0%</c:formatCode>
                <c:ptCount val="30"/>
                <c:pt idx="0">
                  <c:v>7.4767229268091421E-5</c:v>
                </c:pt>
                <c:pt idx="1">
                  <c:v>0</c:v>
                </c:pt>
                <c:pt idx="2">
                  <c:v>0.24917646828843809</c:v>
                </c:pt>
                <c:pt idx="3">
                  <c:v>0</c:v>
                </c:pt>
                <c:pt idx="4">
                  <c:v>7.4767229268091421E-5</c:v>
                </c:pt>
                <c:pt idx="5">
                  <c:v>0.2491764682884379</c:v>
                </c:pt>
                <c:pt idx="6">
                  <c:v>2.1363443004072408E-3</c:v>
                </c:pt>
                <c:pt idx="7">
                  <c:v>5.0904492868538057E-2</c:v>
                </c:pt>
                <c:pt idx="8">
                  <c:v>5.8020506013050331E-3</c:v>
                </c:pt>
                <c:pt idx="9">
                  <c:v>9.0898351658745178E-4</c:v>
                </c:pt>
                <c:pt idx="10">
                  <c:v>1.4164747107992311E-2</c:v>
                </c:pt>
                <c:pt idx="11">
                  <c:v>0.17434883564091322</c:v>
                </c:pt>
                <c:pt idx="12">
                  <c:v>1.0121500438456795E-2</c:v>
                </c:pt>
                <c:pt idx="13">
                  <c:v>3.0778244702186195E-4</c:v>
                </c:pt>
                <c:pt idx="14">
                  <c:v>3.524266461322458E-3</c:v>
                </c:pt>
                <c:pt idx="15">
                  <c:v>8.4787576136614385E-4</c:v>
                </c:pt>
                <c:pt idx="16">
                  <c:v>1.1023483118257837E-4</c:v>
                </c:pt>
                <c:pt idx="17">
                  <c:v>7.5462086135880319E-2</c:v>
                </c:pt>
                <c:pt idx="18">
                  <c:v>9.2817217977350338E-6</c:v>
                </c:pt>
                <c:pt idx="19">
                  <c:v>9.7792305788181074E-5</c:v>
                </c:pt>
                <c:pt idx="20">
                  <c:v>6.5882536924943402E-4</c:v>
                </c:pt>
                <c:pt idx="21">
                  <c:v>2.050805204105341E-2</c:v>
                </c:pt>
                <c:pt idx="22">
                  <c:v>3.8668725405557191E-4</c:v>
                </c:pt>
                <c:pt idx="23">
                  <c:v>6.5423865445132754E-5</c:v>
                </c:pt>
                <c:pt idx="24">
                  <c:v>0</c:v>
                </c:pt>
                <c:pt idx="25">
                  <c:v>8.2353171156179252E-4</c:v>
                </c:pt>
                <c:pt idx="26">
                  <c:v>6.5882536924943402E-4</c:v>
                </c:pt>
                <c:pt idx="27">
                  <c:v>0</c:v>
                </c:pt>
                <c:pt idx="28">
                  <c:v>3.0993619339173136E-4</c:v>
                </c:pt>
                <c:pt idx="29">
                  <c:v>1.3771429084947358E-2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0-4F2C-A62A-DC5CCAF27D84}"/>
            </c:ext>
          </c:extLst>
        </c:ser>
        <c:ser>
          <c:idx val="1"/>
          <c:order val="1"/>
          <c:tx>
            <c:strRef>
              <c:f>'Sensitivity Analysis'!$D$86</c:f>
              <c:strCache>
                <c:ptCount val="1"/>
                <c:pt idx="0">
                  <c:v>Ecotoxicity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'Sensitivity Analysis'!$D$87:$D$116</c:f>
              <c:numCache>
                <c:formatCode>0%</c:formatCode>
                <c:ptCount val="30"/>
                <c:pt idx="0">
                  <c:v>1.0571834772062725E-4</c:v>
                </c:pt>
                <c:pt idx="1">
                  <c:v>0</c:v>
                </c:pt>
                <c:pt idx="2">
                  <c:v>0.24917841073609739</c:v>
                </c:pt>
                <c:pt idx="3">
                  <c:v>0</c:v>
                </c:pt>
                <c:pt idx="4">
                  <c:v>1.0571834772062725E-4</c:v>
                </c:pt>
                <c:pt idx="5">
                  <c:v>0.24917841073609689</c:v>
                </c:pt>
                <c:pt idx="6">
                  <c:v>1.1452603050460097E-3</c:v>
                </c:pt>
                <c:pt idx="7">
                  <c:v>9.9632845326021076E-3</c:v>
                </c:pt>
                <c:pt idx="8">
                  <c:v>2.2250546363070342E-3</c:v>
                </c:pt>
                <c:pt idx="9">
                  <c:v>4.7110974198858379E-4</c:v>
                </c:pt>
                <c:pt idx="10">
                  <c:v>2.0028476042147539E-2</c:v>
                </c:pt>
                <c:pt idx="11">
                  <c:v>0.23187170931509524</c:v>
                </c:pt>
                <c:pt idx="12">
                  <c:v>1.4311461228124472E-2</c:v>
                </c:pt>
                <c:pt idx="13">
                  <c:v>4.3519402918901369E-4</c:v>
                </c:pt>
                <c:pt idx="14">
                  <c:v>4.983194253211462E-3</c:v>
                </c:pt>
                <c:pt idx="15">
                  <c:v>1.1988678120244309E-3</c:v>
                </c:pt>
                <c:pt idx="16">
                  <c:v>4.0651920857846377E-5</c:v>
                </c:pt>
                <c:pt idx="17">
                  <c:v>0.10670085196298208</c:v>
                </c:pt>
                <c:pt idx="18">
                  <c:v>1.3124042472360461E-5</c:v>
                </c:pt>
                <c:pt idx="19">
                  <c:v>1.3827503157334156E-4</c:v>
                </c:pt>
                <c:pt idx="20">
                  <c:v>6.5727141112233232E-4</c:v>
                </c:pt>
                <c:pt idx="21">
                  <c:v>1.7567934169021523E-2</c:v>
                </c:pt>
                <c:pt idx="22">
                  <c:v>2.5517982820976446E-4</c:v>
                </c:pt>
                <c:pt idx="23">
                  <c:v>9.2507145497612304E-5</c:v>
                </c:pt>
                <c:pt idx="24">
                  <c:v>0</c:v>
                </c:pt>
                <c:pt idx="25">
                  <c:v>8.2158926390285471E-4</c:v>
                </c:pt>
                <c:pt idx="26">
                  <c:v>6.5727141112233232E-4</c:v>
                </c:pt>
                <c:pt idx="27">
                  <c:v>0</c:v>
                </c:pt>
                <c:pt idx="28">
                  <c:v>4.3823935412435309E-4</c:v>
                </c:pt>
                <c:pt idx="29">
                  <c:v>1.9472337585072441E-2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0-4F2C-A62A-DC5CCAF27D84}"/>
            </c:ext>
          </c:extLst>
        </c:ser>
        <c:ser>
          <c:idx val="2"/>
          <c:order val="2"/>
          <c:tx>
            <c:strRef>
              <c:f>'Sensitivity Analysis'!$E$86</c:f>
              <c:strCache>
                <c:ptCount val="1"/>
                <c:pt idx="0">
                  <c:v>Eutrophication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'Sensitivity Analysis'!$E$87:$E$116</c:f>
              <c:numCache>
                <c:formatCode>0%</c:formatCode>
                <c:ptCount val="30"/>
                <c:pt idx="0">
                  <c:v>1.1431742307228194E-4</c:v>
                </c:pt>
                <c:pt idx="1">
                  <c:v>0</c:v>
                </c:pt>
                <c:pt idx="2">
                  <c:v>0.24974526725892682</c:v>
                </c:pt>
                <c:pt idx="3">
                  <c:v>0</c:v>
                </c:pt>
                <c:pt idx="4">
                  <c:v>1.1431742307228194E-4</c:v>
                </c:pt>
                <c:pt idx="5">
                  <c:v>0.24974526725892643</c:v>
                </c:pt>
                <c:pt idx="6">
                  <c:v>6.0333278531741704E-4</c:v>
                </c:pt>
                <c:pt idx="7">
                  <c:v>8.2589170639412422E-3</c:v>
                </c:pt>
                <c:pt idx="8">
                  <c:v>8.8064431657884699E-4</c:v>
                </c:pt>
                <c:pt idx="9">
                  <c:v>2.7139845186952412E-4</c:v>
                </c:pt>
                <c:pt idx="10">
                  <c:v>2.1657581853759204E-2</c:v>
                </c:pt>
                <c:pt idx="11">
                  <c:v>0.23718505045411942</c:v>
                </c:pt>
                <c:pt idx="12">
                  <c:v>1.5475548031849791E-2</c:v>
                </c:pt>
                <c:pt idx="13">
                  <c:v>4.7059248489974144E-4</c:v>
                </c:pt>
                <c:pt idx="14">
                  <c:v>5.3885246788122898E-3</c:v>
                </c:pt>
                <c:pt idx="15">
                  <c:v>1.2963830955543413E-3</c:v>
                </c:pt>
                <c:pt idx="16">
                  <c:v>3.3880826138617017E-5</c:v>
                </c:pt>
                <c:pt idx="17">
                  <c:v>0.11537984369809989</c:v>
                </c:pt>
                <c:pt idx="18">
                  <c:v>1.4191545252719564E-5</c:v>
                </c:pt>
                <c:pt idx="19">
                  <c:v>1.4952225063584947E-4</c:v>
                </c:pt>
                <c:pt idx="20">
                  <c:v>2.0378619285877655E-4</c:v>
                </c:pt>
                <c:pt idx="21">
                  <c:v>8.1792227541241987E-3</c:v>
                </c:pt>
                <c:pt idx="22">
                  <c:v>2.560276932344175E-4</c:v>
                </c:pt>
                <c:pt idx="23">
                  <c:v>1.0003162854016648E-4</c:v>
                </c:pt>
                <c:pt idx="24">
                  <c:v>0</c:v>
                </c:pt>
                <c:pt idx="25">
                  <c:v>2.547327410736151E-4</c:v>
                </c:pt>
                <c:pt idx="26">
                  <c:v>2.0378619285877655E-4</c:v>
                </c:pt>
                <c:pt idx="27">
                  <c:v>0</c:v>
                </c:pt>
                <c:pt idx="28">
                  <c:v>4.7388551497937886E-4</c:v>
                </c:pt>
                <c:pt idx="29">
                  <c:v>2.1056207384189823E-2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B0-4F2C-A62A-DC5CCAF27D84}"/>
            </c:ext>
          </c:extLst>
        </c:ser>
        <c:ser>
          <c:idx val="3"/>
          <c:order val="3"/>
          <c:tx>
            <c:strRef>
              <c:f>'Sensitivity Analysis'!$F$86</c:f>
              <c:strCache>
                <c:ptCount val="1"/>
                <c:pt idx="0">
                  <c:v>Global Warming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'Sensitivity Analysis'!$F$87:$F$116</c:f>
              <c:numCache>
                <c:formatCode>0%</c:formatCode>
                <c:ptCount val="30"/>
                <c:pt idx="0">
                  <c:v>9.4407326871288628E-5</c:v>
                </c:pt>
                <c:pt idx="1">
                  <c:v>0</c:v>
                </c:pt>
                <c:pt idx="2">
                  <c:v>0.24914464812292003</c:v>
                </c:pt>
                <c:pt idx="3">
                  <c:v>0</c:v>
                </c:pt>
                <c:pt idx="4">
                  <c:v>9.4407326871288628E-5</c:v>
                </c:pt>
                <c:pt idx="5">
                  <c:v>0.24914464812291989</c:v>
                </c:pt>
                <c:pt idx="6">
                  <c:v>1.3235627738629825E-3</c:v>
                </c:pt>
                <c:pt idx="7">
                  <c:v>2.413962118906688E-2</c:v>
                </c:pt>
                <c:pt idx="8">
                  <c:v>3.1309429584848287E-3</c:v>
                </c:pt>
                <c:pt idx="9">
                  <c:v>6.0186527871058753E-4</c:v>
                </c:pt>
                <c:pt idx="10">
                  <c:v>1.7885588691220634E-2</c:v>
                </c:pt>
                <c:pt idx="11">
                  <c:v>0.21113102161881095</c:v>
                </c:pt>
                <c:pt idx="12">
                  <c:v>1.2780248909499033E-2</c:v>
                </c:pt>
                <c:pt idx="13">
                  <c:v>3.8863173566334959E-4</c:v>
                </c:pt>
                <c:pt idx="14">
                  <c:v>4.4500321738827377E-3</c:v>
                </c:pt>
                <c:pt idx="15">
                  <c:v>1.0705985086378895E-3</c:v>
                </c:pt>
                <c:pt idx="16">
                  <c:v>1.2149090031617845E-3</c:v>
                </c:pt>
                <c:pt idx="17">
                  <c:v>9.5284710988329427E-2</c:v>
                </c:pt>
                <c:pt idx="18">
                  <c:v>1.171987449929757E-5</c:v>
                </c:pt>
                <c:pt idx="19">
                  <c:v>1.2348070496136967E-4</c:v>
                </c:pt>
                <c:pt idx="20">
                  <c:v>6.8428150166390726E-4</c:v>
                </c:pt>
                <c:pt idx="21">
                  <c:v>1.8859080257140705E-2</c:v>
                </c:pt>
                <c:pt idx="22">
                  <c:v>3.1129268528283006E-4</c:v>
                </c:pt>
                <c:pt idx="23">
                  <c:v>8.2609618020236002E-5</c:v>
                </c:pt>
                <c:pt idx="24">
                  <c:v>0</c:v>
                </c:pt>
                <c:pt idx="25">
                  <c:v>8.5535187707996103E-4</c:v>
                </c:pt>
                <c:pt idx="26">
                  <c:v>6.8428150166390726E-4</c:v>
                </c:pt>
                <c:pt idx="27">
                  <c:v>0</c:v>
                </c:pt>
                <c:pt idx="28">
                  <c:v>3.9135123509539878E-4</c:v>
                </c:pt>
                <c:pt idx="29">
                  <c:v>1.73889526177778E-2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B0-4F2C-A62A-DC5CCAF27D84}"/>
            </c:ext>
          </c:extLst>
        </c:ser>
        <c:ser>
          <c:idx val="4"/>
          <c:order val="4"/>
          <c:tx>
            <c:strRef>
              <c:f>'Sensitivity Analysis'!$G$86</c:f>
              <c:strCache>
                <c:ptCount val="1"/>
                <c:pt idx="0">
                  <c:v>Carcinogenics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'Sensitivity Analysis'!$G$87:$G$116</c:f>
              <c:numCache>
                <c:formatCode>0%</c:formatCode>
                <c:ptCount val="30"/>
                <c:pt idx="0">
                  <c:v>1.0856040181551239E-4</c:v>
                </c:pt>
                <c:pt idx="1">
                  <c:v>0</c:v>
                </c:pt>
                <c:pt idx="2">
                  <c:v>0.24919673929485614</c:v>
                </c:pt>
                <c:pt idx="3">
                  <c:v>0</c:v>
                </c:pt>
                <c:pt idx="4">
                  <c:v>1.0856040181551239E-4</c:v>
                </c:pt>
                <c:pt idx="5">
                  <c:v>0.24919673929485614</c:v>
                </c:pt>
                <c:pt idx="6">
                  <c:v>9.1308152395071077E-4</c:v>
                </c:pt>
                <c:pt idx="7">
                  <c:v>1.2440321306699772E-2</c:v>
                </c:pt>
                <c:pt idx="8">
                  <c:v>1.2605028624244172E-3</c:v>
                </c:pt>
                <c:pt idx="9">
                  <c:v>3.8622849193003383E-4</c:v>
                </c:pt>
                <c:pt idx="10">
                  <c:v>2.0566906821483173E-2</c:v>
                </c:pt>
                <c:pt idx="11">
                  <c:v>0.23038945899011515</c:v>
                </c:pt>
                <c:pt idx="12">
                  <c:v>1.4696199997378489E-2</c:v>
                </c:pt>
                <c:pt idx="13">
                  <c:v>4.4689346452310116E-4</c:v>
                </c:pt>
                <c:pt idx="14">
                  <c:v>5.1171587725135359E-3</c:v>
                </c:pt>
                <c:pt idx="15">
                  <c:v>1.2310972901429466E-3</c:v>
                </c:pt>
                <c:pt idx="16">
                  <c:v>4.5690058788156246E-5</c:v>
                </c:pt>
                <c:pt idx="17">
                  <c:v>0.10956931897751243</c:v>
                </c:pt>
                <c:pt idx="18">
                  <c:v>1.3476859551461858E-5</c:v>
                </c:pt>
                <c:pt idx="19">
                  <c:v>1.4199231554724468E-4</c:v>
                </c:pt>
                <c:pt idx="20">
                  <c:v>6.426085641144802E-4</c:v>
                </c:pt>
                <c:pt idx="21">
                  <c:v>1.1837645805485256E-2</c:v>
                </c:pt>
                <c:pt idx="22">
                  <c:v>2.9203695812987684E-4</c:v>
                </c:pt>
                <c:pt idx="23">
                  <c:v>9.4994039374979113E-5</c:v>
                </c:pt>
                <c:pt idx="24">
                  <c:v>0</c:v>
                </c:pt>
                <c:pt idx="25">
                  <c:v>8.0326070514316692E-4</c:v>
                </c:pt>
                <c:pt idx="26">
                  <c:v>6.426085641144802E-4</c:v>
                </c:pt>
                <c:pt idx="27">
                  <c:v>0</c:v>
                </c:pt>
                <c:pt idx="28">
                  <c:v>4.5002065772819746E-4</c:v>
                </c:pt>
                <c:pt idx="29">
                  <c:v>1.9995817548268586E-2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B0-4F2C-A62A-DC5CCAF27D84}"/>
            </c:ext>
          </c:extLst>
        </c:ser>
        <c:ser>
          <c:idx val="5"/>
          <c:order val="5"/>
          <c:tx>
            <c:strRef>
              <c:f>'Sensitivity Analysis'!$H$86</c:f>
              <c:strCache>
                <c:ptCount val="1"/>
                <c:pt idx="0">
                  <c:v>Non-carcinogenics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'Sensitivity Analysis'!$H$87:$H$116</c:f>
              <c:numCache>
                <c:formatCode>0%</c:formatCode>
                <c:ptCount val="30"/>
                <c:pt idx="0">
                  <c:v>1.0291239284667735E-4</c:v>
                </c:pt>
                <c:pt idx="1">
                  <c:v>0</c:v>
                </c:pt>
                <c:pt idx="2">
                  <c:v>0.24914497163025226</c:v>
                </c:pt>
                <c:pt idx="3">
                  <c:v>0</c:v>
                </c:pt>
                <c:pt idx="4">
                  <c:v>1.0291239284667735E-4</c:v>
                </c:pt>
                <c:pt idx="5">
                  <c:v>0.24914497163025209</c:v>
                </c:pt>
                <c:pt idx="6">
                  <c:v>1.3187102016506988E-3</c:v>
                </c:pt>
                <c:pt idx="7">
                  <c:v>1.1079437158833095E-2</c:v>
                </c:pt>
                <c:pt idx="8">
                  <c:v>2.5506909002601394E-3</c:v>
                </c:pt>
                <c:pt idx="9">
                  <c:v>5.0235083916013367E-4</c:v>
                </c:pt>
                <c:pt idx="10">
                  <c:v>1.9496884306345739E-2</c:v>
                </c:pt>
                <c:pt idx="11">
                  <c:v>0.22977451229805942</c:v>
                </c:pt>
                <c:pt idx="12">
                  <c:v>1.3931609336242523E-2</c:v>
                </c:pt>
                <c:pt idx="13">
                  <c:v>4.2364319781750518E-4</c:v>
                </c:pt>
                <c:pt idx="14">
                  <c:v>4.8509313253017952E-3</c:v>
                </c:pt>
                <c:pt idx="15">
                  <c:v>1.1670477064980598E-3</c:v>
                </c:pt>
                <c:pt idx="16">
                  <c:v>4.517836584996696E-5</c:v>
                </c:pt>
                <c:pt idx="17">
                  <c:v>0.10386881966121504</c:v>
                </c:pt>
                <c:pt idx="18">
                  <c:v>1.2775706807566752E-5</c:v>
                </c:pt>
                <c:pt idx="19">
                  <c:v>1.3460496382087207E-4</c:v>
                </c:pt>
                <c:pt idx="20">
                  <c:v>6.8402269579854297E-4</c:v>
                </c:pt>
                <c:pt idx="21">
                  <c:v>2.0326136234002982E-2</c:v>
                </c:pt>
                <c:pt idx="22">
                  <c:v>2.6959606715511088E-4</c:v>
                </c:pt>
                <c:pt idx="23">
                  <c:v>9.0051839664675459E-5</c:v>
                </c:pt>
                <c:pt idx="24">
                  <c:v>0</c:v>
                </c:pt>
                <c:pt idx="25">
                  <c:v>8.5502836974817866E-4</c:v>
                </c:pt>
                <c:pt idx="26">
                  <c:v>6.8402269579854297E-4</c:v>
                </c:pt>
                <c:pt idx="27">
                  <c:v>0</c:v>
                </c:pt>
                <c:pt idx="28">
                  <c:v>4.2660769435820019E-4</c:v>
                </c:pt>
                <c:pt idx="29">
                  <c:v>1.8955506763037547E-2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B0-4F2C-A62A-DC5CCAF27D84}"/>
            </c:ext>
          </c:extLst>
        </c:ser>
        <c:ser>
          <c:idx val="6"/>
          <c:order val="6"/>
          <c:tx>
            <c:strRef>
              <c:f>'Sensitivity Analysis'!$I$86</c:f>
              <c:strCache>
                <c:ptCount val="1"/>
                <c:pt idx="0">
                  <c:v>Ozone Depletion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'Sensitivity Analysis'!$I$87:$I$116</c:f>
              <c:numCache>
                <c:formatCode>0%</c:formatCode>
                <c:ptCount val="30"/>
                <c:pt idx="0">
                  <c:v>9.2225759203078489E-5</c:v>
                </c:pt>
                <c:pt idx="1">
                  <c:v>0</c:v>
                </c:pt>
                <c:pt idx="2">
                  <c:v>0.24781353420419369</c:v>
                </c:pt>
                <c:pt idx="3">
                  <c:v>0</c:v>
                </c:pt>
                <c:pt idx="4">
                  <c:v>9.2225759203078489E-5</c:v>
                </c:pt>
                <c:pt idx="5">
                  <c:v>0.24781353420419369</c:v>
                </c:pt>
                <c:pt idx="6">
                  <c:v>3.0146706935756159E-3</c:v>
                </c:pt>
                <c:pt idx="7">
                  <c:v>2.9623897837272414E-2</c:v>
                </c:pt>
                <c:pt idx="8">
                  <c:v>7.0742288052009529E-3</c:v>
                </c:pt>
                <c:pt idx="9">
                  <c:v>1.0065560347921113E-3</c:v>
                </c:pt>
                <c:pt idx="10">
                  <c:v>1.7472287909282985E-2</c:v>
                </c:pt>
                <c:pt idx="11">
                  <c:v>0.19681725736750602</c:v>
                </c:pt>
                <c:pt idx="12">
                  <c:v>1.248492249006471E-2</c:v>
                </c:pt>
                <c:pt idx="13">
                  <c:v>3.7965122051157287E-4</c:v>
                </c:pt>
                <c:pt idx="14">
                  <c:v>4.3472006815082672E-3</c:v>
                </c:pt>
                <c:pt idx="15">
                  <c:v>1.0458590824773183E-3</c:v>
                </c:pt>
                <c:pt idx="16">
                  <c:v>7.766809850867778E-5</c:v>
                </c:pt>
                <c:pt idx="17">
                  <c:v>9.3082868698537241E-2</c:v>
                </c:pt>
                <c:pt idx="18">
                  <c:v>1.1449051247242874E-5</c:v>
                </c:pt>
                <c:pt idx="19">
                  <c:v>1.2062730869928538E-4</c:v>
                </c:pt>
                <c:pt idx="20">
                  <c:v>1.7491726366447116E-3</c:v>
                </c:pt>
                <c:pt idx="21">
                  <c:v>1.0918426914020972E-2</c:v>
                </c:pt>
                <c:pt idx="22">
                  <c:v>2.6100317764805696E-4</c:v>
                </c:pt>
                <c:pt idx="23">
                  <c:v>8.0700672202845073E-5</c:v>
                </c:pt>
                <c:pt idx="24">
                  <c:v>0</c:v>
                </c:pt>
                <c:pt idx="25">
                  <c:v>2.1864657958059488E-3</c:v>
                </c:pt>
                <c:pt idx="26">
                  <c:v>1.7491726366447116E-3</c:v>
                </c:pt>
                <c:pt idx="27">
                  <c:v>0</c:v>
                </c:pt>
                <c:pt idx="28">
                  <c:v>3.8230787765991753E-4</c:v>
                </c:pt>
                <c:pt idx="29">
                  <c:v>1.6987128118842943E-2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B0-4F2C-A62A-DC5CCAF27D84}"/>
            </c:ext>
          </c:extLst>
        </c:ser>
        <c:ser>
          <c:idx val="7"/>
          <c:order val="7"/>
          <c:tx>
            <c:strRef>
              <c:f>'Sensitivity Analysis'!$J$86</c:f>
              <c:strCache>
                <c:ptCount val="1"/>
                <c:pt idx="0">
                  <c:v>Ozone formation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'Sensitivity Analysis'!$J$87:$J$116</c:f>
              <c:numCache>
                <c:formatCode>0%</c:formatCode>
                <c:ptCount val="30"/>
                <c:pt idx="0">
                  <c:v>6.8566524455208205E-5</c:v>
                </c:pt>
                <c:pt idx="1">
                  <c:v>0</c:v>
                </c:pt>
                <c:pt idx="2">
                  <c:v>0.24942082095816301</c:v>
                </c:pt>
                <c:pt idx="3">
                  <c:v>0</c:v>
                </c:pt>
                <c:pt idx="4">
                  <c:v>6.8566524455208205E-5</c:v>
                </c:pt>
                <c:pt idx="5">
                  <c:v>0.24942082095816279</c:v>
                </c:pt>
                <c:pt idx="6">
                  <c:v>1.5459756824738285E-3</c:v>
                </c:pt>
                <c:pt idx="7">
                  <c:v>2.9611732016290034E-2</c:v>
                </c:pt>
                <c:pt idx="8">
                  <c:v>2.2552009885890702E-3</c:v>
                </c:pt>
                <c:pt idx="9">
                  <c:v>6.1579927085098215E-4</c:v>
                </c:pt>
                <c:pt idx="10">
                  <c:v>1.2990015659078801E-2</c:v>
                </c:pt>
                <c:pt idx="11">
                  <c:v>0.20673751112904723</c:v>
                </c:pt>
                <c:pt idx="12">
                  <c:v>9.282089414412666E-3</c:v>
                </c:pt>
                <c:pt idx="13">
                  <c:v>2.8225698460560607E-4</c:v>
                </c:pt>
                <c:pt idx="14">
                  <c:v>3.2319868593710366E-3</c:v>
                </c:pt>
                <c:pt idx="15">
                  <c:v>7.7755849314696502E-4</c:v>
                </c:pt>
                <c:pt idx="16">
                  <c:v>1.1793990508861515E-4</c:v>
                </c:pt>
                <c:pt idx="17">
                  <c:v>6.9203754440398058E-2</c:v>
                </c:pt>
                <c:pt idx="18">
                  <c:v>8.5119565197273213E-6</c:v>
                </c:pt>
                <c:pt idx="19">
                  <c:v>8.9682051775660622E-5</c:v>
                </c:pt>
                <c:pt idx="20">
                  <c:v>4.6334323347046758E-4</c:v>
                </c:pt>
                <c:pt idx="21">
                  <c:v>5.6336914323599739E-2</c:v>
                </c:pt>
                <c:pt idx="22">
                  <c:v>3.0337376117706339E-4</c:v>
                </c:pt>
                <c:pt idx="23">
                  <c:v>5.9998038096380458E-5</c:v>
                </c:pt>
                <c:pt idx="24">
                  <c:v>0</c:v>
                </c:pt>
                <c:pt idx="25">
                  <c:v>5.7917904183792243E-4</c:v>
                </c:pt>
                <c:pt idx="26">
                  <c:v>4.6334323347046758E-4</c:v>
                </c:pt>
                <c:pt idx="27">
                  <c:v>0</c:v>
                </c:pt>
                <c:pt idx="28">
                  <c:v>2.8423211334314817E-4</c:v>
                </c:pt>
                <c:pt idx="29">
                  <c:v>1.2629316859488848E-2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B0-4F2C-A62A-DC5CCAF27D84}"/>
            </c:ext>
          </c:extLst>
        </c:ser>
        <c:ser>
          <c:idx val="8"/>
          <c:order val="8"/>
          <c:tx>
            <c:strRef>
              <c:f>'Sensitivity Analysis'!$K$86</c:f>
              <c:strCache>
                <c:ptCount val="1"/>
                <c:pt idx="0">
                  <c:v>Resource depletion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'Sensitivity Analysis'!$K$87:$K$116</c:f>
              <c:numCache>
                <c:formatCode>0%</c:formatCode>
                <c:ptCount val="30"/>
                <c:pt idx="0">
                  <c:v>9.5476001212608578E-5</c:v>
                </c:pt>
                <c:pt idx="1">
                  <c:v>0</c:v>
                </c:pt>
                <c:pt idx="2">
                  <c:v>0.24812326198705278</c:v>
                </c:pt>
                <c:pt idx="3">
                  <c:v>0</c:v>
                </c:pt>
                <c:pt idx="4">
                  <c:v>9.5476001212608578E-5</c:v>
                </c:pt>
                <c:pt idx="5">
                  <c:v>0.24812326198705259</c:v>
                </c:pt>
                <c:pt idx="6">
                  <c:v>3.4307841742824796E-3</c:v>
                </c:pt>
                <c:pt idx="7">
                  <c:v>1.6603198961435188E-2</c:v>
                </c:pt>
                <c:pt idx="8">
                  <c:v>8.7695490745473195E-3</c:v>
                </c:pt>
                <c:pt idx="9">
                  <c:v>1.1178299763349316E-3</c:v>
                </c:pt>
                <c:pt idx="10">
                  <c:v>1.8088050410527978E-2</c:v>
                </c:pt>
                <c:pt idx="11">
                  <c:v>0.21063233189879993</c:v>
                </c:pt>
                <c:pt idx="12">
                  <c:v>1.292491908010766E-2</c:v>
                </c:pt>
                <c:pt idx="13">
                  <c:v>3.9303097858093503E-4</c:v>
                </c:pt>
                <c:pt idx="14">
                  <c:v>4.5004057556781258E-3</c:v>
                </c:pt>
                <c:pt idx="15">
                  <c:v>1.082717495521004E-3</c:v>
                </c:pt>
                <c:pt idx="16">
                  <c:v>7.138188400245495E-5</c:v>
                </c:pt>
                <c:pt idx="17">
                  <c:v>9.6363317163583262E-2</c:v>
                </c:pt>
                <c:pt idx="18">
                  <c:v>1.1852541418027012E-5</c:v>
                </c:pt>
                <c:pt idx="19">
                  <c:v>1.2487848483096626E-4</c:v>
                </c:pt>
                <c:pt idx="20">
                  <c:v>1.5013904103582316E-3</c:v>
                </c:pt>
                <c:pt idx="21">
                  <c:v>1.6806091737562767E-2</c:v>
                </c:pt>
                <c:pt idx="22">
                  <c:v>2.7036184536683268E-4</c:v>
                </c:pt>
                <c:pt idx="23">
                  <c:v>8.3544744371627161E-5</c:v>
                </c:pt>
                <c:pt idx="24">
                  <c:v>0</c:v>
                </c:pt>
                <c:pt idx="25">
                  <c:v>1.8767380129476458E-3</c:v>
                </c:pt>
                <c:pt idx="26">
                  <c:v>1.5013904103582316E-3</c:v>
                </c:pt>
                <c:pt idx="27">
                  <c:v>0</c:v>
                </c:pt>
                <c:pt idx="28">
                  <c:v>3.9578126226876855E-4</c:v>
                </c:pt>
                <c:pt idx="29">
                  <c:v>1.7585792504053174E-2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B0-4F2C-A62A-DC5CCAF27D84}"/>
            </c:ext>
          </c:extLst>
        </c:ser>
        <c:ser>
          <c:idx val="9"/>
          <c:order val="9"/>
          <c:tx>
            <c:strRef>
              <c:f>'Sensitivity Analysis'!$L$86</c:f>
              <c:strCache>
                <c:ptCount val="1"/>
                <c:pt idx="0">
                  <c:v>Respiratory effects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'Sensitivity Analysis'!$L$87:$L$116</c:f>
              <c:numCache>
                <c:formatCode>0%</c:formatCode>
                <c:ptCount val="30"/>
                <c:pt idx="0">
                  <c:v>1.1559100158092533E-4</c:v>
                </c:pt>
                <c:pt idx="1">
                  <c:v>0</c:v>
                </c:pt>
                <c:pt idx="2">
                  <c:v>0.24981661947678013</c:v>
                </c:pt>
                <c:pt idx="3">
                  <c:v>0</c:v>
                </c:pt>
                <c:pt idx="4">
                  <c:v>1.1559100158092533E-4</c:v>
                </c:pt>
                <c:pt idx="5">
                  <c:v>0.24981661947678013</c:v>
                </c:pt>
                <c:pt idx="6">
                  <c:v>5.4853568495785915E-4</c:v>
                </c:pt>
                <c:pt idx="7">
                  <c:v>7.627838638631014E-3</c:v>
                </c:pt>
                <c:pt idx="8">
                  <c:v>1.2678613970172246E-3</c:v>
                </c:pt>
                <c:pt idx="9">
                  <c:v>2.0940578566854367E-4</c:v>
                </c:pt>
                <c:pt idx="10">
                  <c:v>2.18988629293548E-2</c:v>
                </c:pt>
                <c:pt idx="11">
                  <c:v>0.23770665911175085</c:v>
                </c:pt>
                <c:pt idx="12">
                  <c:v>1.5647956793814526E-2</c:v>
                </c:pt>
                <c:pt idx="13">
                  <c:v>4.7583522444888756E-4</c:v>
                </c:pt>
                <c:pt idx="14">
                  <c:v>5.4485567285191376E-3</c:v>
                </c:pt>
                <c:pt idx="15">
                  <c:v>1.3108257378491169E-3</c:v>
                </c:pt>
                <c:pt idx="16">
                  <c:v>3.4326785748877797E-5</c:v>
                </c:pt>
                <c:pt idx="17">
                  <c:v>0.11666525833845616</c:v>
                </c:pt>
                <c:pt idx="18">
                  <c:v>1.4349649298199812E-5</c:v>
                </c:pt>
                <c:pt idx="19">
                  <c:v>1.5118803630421977E-4</c:v>
                </c:pt>
                <c:pt idx="20">
                  <c:v>1.467044185756868E-4</c:v>
                </c:pt>
                <c:pt idx="21">
                  <c:v>6.5586913051112602E-3</c:v>
                </c:pt>
                <c:pt idx="22">
                  <c:v>2.7389087365162256E-4</c:v>
                </c:pt>
                <c:pt idx="23">
                  <c:v>1.0114605299841623E-4</c:v>
                </c:pt>
                <c:pt idx="24">
                  <c:v>0</c:v>
                </c:pt>
                <c:pt idx="25">
                  <c:v>1.8338052321967567E-4</c:v>
                </c:pt>
                <c:pt idx="26">
                  <c:v>1.467044185756868E-4</c:v>
                </c:pt>
                <c:pt idx="27">
                  <c:v>0</c:v>
                </c:pt>
                <c:pt idx="28">
                  <c:v>4.7916494125777986E-4</c:v>
                </c:pt>
                <c:pt idx="29">
                  <c:v>2.1290788714641674E-2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B0-4F2C-A62A-DC5CCAF27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938544"/>
        <c:axId val="1961926896"/>
      </c:barChart>
      <c:catAx>
        <c:axId val="1961938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26896"/>
        <c:crosses val="autoZero"/>
        <c:auto val="1"/>
        <c:lblAlgn val="ctr"/>
        <c:lblOffset val="100"/>
        <c:noMultiLvlLbl val="0"/>
      </c:catAx>
      <c:valAx>
        <c:axId val="19619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Why Temperature has positive</a:t>
            </a:r>
            <a:r>
              <a:rPr lang="en-US" baseline="0"/>
              <a:t> sensitivity for both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'Sensitivity Analysis'!$S$172</c:f>
              <c:strCache>
                <c:ptCount val="1"/>
                <c:pt idx="0">
                  <c:v>HVAC_heating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Analysis'!$T$172,'Sensitivity Analysis'!$X$172,'Sensitivity Analysis'!$AB$172)</c:f>
              <c:numCache>
                <c:formatCode>General</c:formatCode>
                <c:ptCount val="3"/>
                <c:pt idx="0">
                  <c:v>1283073410.556726</c:v>
                </c:pt>
                <c:pt idx="1">
                  <c:v>1112936421.8610601</c:v>
                </c:pt>
                <c:pt idx="2">
                  <c:v>1276618886.0106511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3-4999-A189-34DD03A2EA70}"/>
            </c:ext>
          </c:extLst>
        </c:ser>
        <c:ser>
          <c:idx val="1"/>
          <c:order val="1"/>
          <c:tx>
            <c:strRef>
              <c:f>'Sensitivity Analysis'!$S$173</c:f>
              <c:strCache>
                <c:ptCount val="1"/>
                <c:pt idx="0">
                  <c:v>HVAC_cooling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Analysis'!$T$173,'Sensitivity Analysis'!$X$173,'Sensitivity Analysis'!$AB$173)</c:f>
              <c:numCache>
                <c:formatCode>General</c:formatCode>
                <c:ptCount val="3"/>
                <c:pt idx="0">
                  <c:v>9463525.2619786691</c:v>
                </c:pt>
                <c:pt idx="1">
                  <c:v>94670384.862931252</c:v>
                </c:pt>
                <c:pt idx="2">
                  <c:v>35315496.764537401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3-4999-A189-34DD03A2EA70}"/>
            </c:ext>
          </c:extLst>
        </c:ser>
        <c:ser>
          <c:idx val="2"/>
          <c:order val="2"/>
          <c:tx>
            <c:strRef>
              <c:f>'Sensitivity Analysis'!$S$174</c:f>
              <c:strCache>
                <c:ptCount val="1"/>
                <c:pt idx="0">
                  <c:v>HVAC_hh_heat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Analysis'!$T$174,'Sensitivity Analysis'!$X$174,'Sensitivity Analysis'!$AB$174)</c:f>
              <c:numCache>
                <c:formatCode>General</c:formatCode>
                <c:ptCount val="3"/>
                <c:pt idx="0">
                  <c:v>11121494565.453749</c:v>
                </c:pt>
                <c:pt idx="1">
                  <c:v>5681062640.1114492</c:v>
                </c:pt>
                <c:pt idx="2">
                  <c:v>8197366168.7171659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93-4999-A189-34DD03A2EA70}"/>
            </c:ext>
          </c:extLst>
        </c:ser>
        <c:ser>
          <c:idx val="3"/>
          <c:order val="3"/>
          <c:tx>
            <c:strRef>
              <c:f>'Sensitivity Analysis'!$S$175</c:f>
              <c:strCache>
                <c:ptCount val="1"/>
                <c:pt idx="0">
                  <c:v>HVAC_hh_vap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Analysis'!$T$175,'Sensitivity Analysis'!$X$175,'Sensitivity Analysis'!$AB$175)</c:f>
              <c:numCache>
                <c:formatCode>General</c:formatCode>
                <c:ptCount val="3"/>
                <c:pt idx="0">
                  <c:v>8752545402.2193298</c:v>
                </c:pt>
                <c:pt idx="1">
                  <c:v>2741516658.7771707</c:v>
                </c:pt>
                <c:pt idx="2">
                  <c:v>5119125701.5336151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93-4999-A189-34DD03A2EA70}"/>
            </c:ext>
          </c:extLst>
        </c:ser>
        <c:ser>
          <c:idx val="4"/>
          <c:order val="4"/>
          <c:tx>
            <c:strRef>
              <c:f>'Sensitivity Analysis'!$S$176</c:f>
              <c:strCache>
                <c:ptCount val="1"/>
                <c:pt idx="0">
                  <c:v>HVAC_humid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Analysis'!$T$176,'Sensitivity Analysis'!$X$176,'Sensitivity Analysis'!$AB$176)</c:f>
              <c:numCache>
                <c:formatCode>General</c:formatCode>
                <c:ptCount val="3"/>
                <c:pt idx="0">
                  <c:v>110135766.78748821</c:v>
                </c:pt>
                <c:pt idx="1">
                  <c:v>74671462.535468027</c:v>
                </c:pt>
                <c:pt idx="2">
                  <c:v>96948607.568495855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93-4999-A189-34DD03A2EA70}"/>
            </c:ext>
          </c:extLst>
        </c:ser>
        <c:ser>
          <c:idx val="5"/>
          <c:order val="5"/>
          <c:tx>
            <c:strRef>
              <c:f>'Sensitivity Analysis'!$S$177</c:f>
              <c:strCache>
                <c:ptCount val="1"/>
                <c:pt idx="0">
                  <c:v>HVAC_hc_humid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Analysis'!$T$177,'Sensitivity Analysis'!$X$177,'Sensitivity Analysis'!$AB$177)</c:f>
              <c:numCache>
                <c:formatCode>General</c:formatCode>
                <c:ptCount val="3"/>
                <c:pt idx="0">
                  <c:v>100964707.25162819</c:v>
                </c:pt>
                <c:pt idx="1">
                  <c:v>130409923.93420169</c:v>
                </c:pt>
                <c:pt idx="2">
                  <c:v>151014571.98769286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93-4999-A189-34DD03A2EA70}"/>
            </c:ext>
          </c:extLst>
        </c:ser>
        <c:ser>
          <c:idx val="6"/>
          <c:order val="6"/>
          <c:tx>
            <c:strRef>
              <c:f>'Sensitivity Analysis'!$S$178</c:f>
              <c:strCache>
                <c:ptCount val="1"/>
                <c:pt idx="0">
                  <c:v>HVAC_hc_cool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Analysis'!$T$178,'Sensitivity Analysis'!$X$178,'Sensitivity Analysis'!$AB$178)</c:f>
              <c:numCache>
                <c:formatCode>General</c:formatCode>
                <c:ptCount val="3"/>
                <c:pt idx="0">
                  <c:v>83294740.431548715</c:v>
                </c:pt>
                <c:pt idx="1">
                  <c:v>205813417.58036256</c:v>
                </c:pt>
                <c:pt idx="2">
                  <c:v>167248201.86354053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93-4999-A189-34DD03A2EA70}"/>
            </c:ext>
          </c:extLst>
        </c:ser>
        <c:ser>
          <c:idx val="7"/>
          <c:order val="7"/>
          <c:tx>
            <c:strRef>
              <c:f>'Sensitivity Analysis'!$S$179</c:f>
              <c:strCache>
                <c:ptCount val="1"/>
                <c:pt idx="0">
                  <c:v>HVAC_dehum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Analysis'!$T$179,'Sensitivity Analysis'!$X$179,'Sensitivity Analysis'!$AB$179)</c:f>
              <c:numCache>
                <c:formatCode>General</c:formatCode>
                <c:ptCount val="3"/>
                <c:pt idx="0">
                  <c:v>12242987.251292123</c:v>
                </c:pt>
                <c:pt idx="1">
                  <c:v>362381132.80117619</c:v>
                </c:pt>
                <c:pt idx="2">
                  <c:v>85752055.904711172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93-4999-A189-34DD03A2EA70}"/>
            </c:ext>
          </c:extLst>
        </c:ser>
        <c:ser>
          <c:idx val="8"/>
          <c:order val="8"/>
          <c:tx>
            <c:strRef>
              <c:f>'Sensitivity Analysis'!$S$180</c:f>
              <c:strCache>
                <c:ptCount val="1"/>
                <c:pt idx="0">
                  <c:v>HVAC_reheat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Analysis'!$AD$182:$AD$184</c:f>
              <c:strCache>
                <c:ptCount val="3"/>
                <c:pt idx="0">
                  <c:v>Increase Temps 20%</c:v>
                </c:pt>
                <c:pt idx="1">
                  <c:v>Decrease Temps 20%</c:v>
                </c:pt>
                <c:pt idx="2">
                  <c:v>Baseline Temps</c:v>
                </c:pt>
              </c:strCache>
            </c:strRef>
          </c:cat>
          <c:val>
            <c:numRef>
              <c:f>('Sensitivity Analysis'!$T$180,'Sensitivity Analysis'!$X$180,'Sensitivity Analysis'!$AB$180)</c:f>
              <c:numCache>
                <c:formatCode>General</c:formatCode>
                <c:ptCount val="3"/>
                <c:pt idx="0">
                  <c:v>29202523.897989742</c:v>
                </c:pt>
                <c:pt idx="1">
                  <c:v>761847407.71775937</c:v>
                </c:pt>
                <c:pt idx="2">
                  <c:v>206375843.63396403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93-4999-A189-34DD03A2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872848"/>
        <c:axId val="1981872432"/>
      </c:barChart>
      <c:catAx>
        <c:axId val="19818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72432"/>
        <c:crosses val="autoZero"/>
        <c:auto val="1"/>
        <c:lblAlgn val="ctr"/>
        <c:lblOffset val="100"/>
        <c:noMultiLvlLbl val="0"/>
      </c:catAx>
      <c:valAx>
        <c:axId val="19818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GWP for Temperature Scenarios (Denver, CO)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'Sensitivity Analysis'!$O$163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Analysis'!$P$163:$R$163</c:f>
              <c:numCache>
                <c:formatCode>General</c:formatCode>
                <c:ptCount val="3"/>
                <c:pt idx="0">
                  <c:v>131.77426046209001</c:v>
                </c:pt>
                <c:pt idx="1">
                  <c:v>151.91887557418099</c:v>
                </c:pt>
                <c:pt idx="2">
                  <c:v>151.15464485804401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4-4D4A-A3D5-2A2B9B16322D}"/>
            </c:ext>
          </c:extLst>
        </c:ser>
        <c:ser>
          <c:idx val="1"/>
          <c:order val="1"/>
          <c:tx>
            <c:strRef>
              <c:f>'Sensitivity Analysis'!$O$164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Analysis'!$P$164:$R$164</c:f>
              <c:numCache>
                <c:formatCode>General</c:formatCode>
                <c:ptCount val="3"/>
                <c:pt idx="0">
                  <c:v>35.096937082053699</c:v>
                </c:pt>
                <c:pt idx="1">
                  <c:v>3.5083912585227299</c:v>
                </c:pt>
                <c:pt idx="2">
                  <c:v>13.092434025286799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4-4D4A-A3D5-2A2B9B16322D}"/>
            </c:ext>
          </c:extLst>
        </c:ser>
        <c:ser>
          <c:idx val="2"/>
          <c:order val="2"/>
          <c:tx>
            <c:strRef>
              <c:f>'Sensitivity Analysis'!$O$165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Analysis'!$P$165:$R$165</c:f>
              <c:numCache>
                <c:formatCode>General</c:formatCode>
                <c:ptCount val="3"/>
                <c:pt idx="0">
                  <c:v>672.65102779874201</c:v>
                </c:pt>
                <c:pt idx="1">
                  <c:v>1316.81081938639</c:v>
                </c:pt>
                <c:pt idx="2">
                  <c:v>970.58721720450399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14-4D4A-A3D5-2A2B9B16322D}"/>
            </c:ext>
          </c:extLst>
        </c:ser>
        <c:ser>
          <c:idx val="3"/>
          <c:order val="3"/>
          <c:tx>
            <c:strRef>
              <c:f>'Sensitivity Analysis'!$O$166</c:f>
              <c:strCache>
                <c:ptCount val="1"/>
                <c:pt idx="0">
                  <c:v>Humidification (Heat+Hum)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Analysis'!$P$166:$R$166</c:f>
              <c:numCache>
                <c:formatCode>General</c:formatCode>
                <c:ptCount val="3"/>
                <c:pt idx="0">
                  <c:v>324.601947747167</c:v>
                </c:pt>
                <c:pt idx="1">
                  <c:v>1036.3217295105401</c:v>
                </c:pt>
                <c:pt idx="2">
                  <c:v>606.116387496828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14-4D4A-A3D5-2A2B9B16322D}"/>
            </c:ext>
          </c:extLst>
        </c:ser>
        <c:ser>
          <c:idx val="4"/>
          <c:order val="4"/>
          <c:tx>
            <c:strRef>
              <c:f>'Sensitivity Analysis'!$O$167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Analysis'!$P$167:$R$167</c:f>
              <c:numCache>
                <c:formatCode>General</c:formatCode>
                <c:ptCount val="3"/>
                <c:pt idx="0">
                  <c:v>8.8412748113498303</c:v>
                </c:pt>
                <c:pt idx="1">
                  <c:v>13.0403309063942</c:v>
                </c:pt>
                <c:pt idx="2">
                  <c:v>11.478940588362599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14-4D4A-A3D5-2A2B9B16322D}"/>
            </c:ext>
          </c:extLst>
        </c:ser>
        <c:ser>
          <c:idx val="5"/>
          <c:order val="5"/>
          <c:tx>
            <c:strRef>
              <c:f>'Sensitivity Analysis'!$O$168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Analysis'!$P$168:$R$168</c:f>
              <c:numCache>
                <c:formatCode>General</c:formatCode>
                <c:ptCount val="3"/>
                <c:pt idx="0">
                  <c:v>15.4408382597549</c:v>
                </c:pt>
                <c:pt idx="1">
                  <c:v>11.9544561302134</c:v>
                </c:pt>
                <c:pt idx="2">
                  <c:v>17.8804765050286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14-4D4A-A3D5-2A2B9B16322D}"/>
            </c:ext>
          </c:extLst>
        </c:ser>
        <c:ser>
          <c:idx val="6"/>
          <c:order val="6"/>
          <c:tx>
            <c:strRef>
              <c:f>'Sensitivity Analysis'!$O$169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Analysis'!$P$169:$R$169</c:f>
              <c:numCache>
                <c:formatCode>General</c:formatCode>
                <c:ptCount val="3"/>
                <c:pt idx="0">
                  <c:v>76.300741545720797</c:v>
                </c:pt>
                <c:pt idx="1">
                  <c:v>30.879670220256301</c:v>
                </c:pt>
                <c:pt idx="2">
                  <c:v>62.003546583126798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14-4D4A-A3D5-2A2B9B16322D}"/>
            </c:ext>
          </c:extLst>
        </c:ser>
        <c:ser>
          <c:idx val="7"/>
          <c:order val="7"/>
          <c:tx>
            <c:strRef>
              <c:f>'Sensitivity Analysis'!$O$170</c:f>
              <c:strCache>
                <c:ptCount val="1"/>
                <c:pt idx="0">
                  <c:v>Dehumidification (Electric)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Analysis'!$P$170:$R$170</c:f>
              <c:numCache>
                <c:formatCode>General</c:formatCode>
                <c:ptCount val="3"/>
                <c:pt idx="0">
                  <c:v>134.344735537525</c:v>
                </c:pt>
                <c:pt idx="1">
                  <c:v>4.5388148984195498</c:v>
                </c:pt>
                <c:pt idx="2">
                  <c:v>31.790665212800199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14-4D4A-A3D5-2A2B9B16322D}"/>
            </c:ext>
          </c:extLst>
        </c:ser>
        <c:ser>
          <c:idx val="8"/>
          <c:order val="8"/>
          <c:tx>
            <c:strRef>
              <c:f>'Sensitivity Analysis'!$O$171</c:f>
              <c:strCache>
                <c:ptCount val="1"/>
                <c:pt idx="0">
                  <c:v>Dehumidification Reheat (NG)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Analysis'!$P$171:$R$171</c:f>
              <c:numCache>
                <c:formatCode>General</c:formatCode>
                <c:ptCount val="3"/>
                <c:pt idx="0">
                  <c:v>90.204504736301402</c:v>
                </c:pt>
                <c:pt idx="1">
                  <c:v>3.4576467394689301</c:v>
                </c:pt>
                <c:pt idx="2">
                  <c:v>24.435379809594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14-4D4A-A3D5-2A2B9B16322D}"/>
            </c:ext>
          </c:extLst>
        </c:ser>
        <c:ser>
          <c:idx val="9"/>
          <c:order val="9"/>
          <c:tx>
            <c:strRef>
              <c:f>'Sensitivity Analysis'!$O$172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Analysis'!$P$172:$R$172</c:f>
              <c:numCache>
                <c:formatCode>General</c:formatCode>
                <c:ptCount val="3"/>
                <c:pt idx="0">
                  <c:v>1071.68043816161</c:v>
                </c:pt>
                <c:pt idx="1">
                  <c:v>1071.68043816161</c:v>
                </c:pt>
                <c:pt idx="2">
                  <c:v>1071.68043816161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14-4D4A-A3D5-2A2B9B16322D}"/>
            </c:ext>
          </c:extLst>
        </c:ser>
        <c:ser>
          <c:idx val="10"/>
          <c:order val="10"/>
          <c:tx>
            <c:strRef>
              <c:f>'Sensitivity Analysis'!$O$173</c:f>
              <c:strCache>
                <c:ptCount val="1"/>
                <c:pt idx="0">
                  <c:v>Water for Plants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Analysis'!$P$173:$R$173</c:f>
              <c:numCache>
                <c:formatCode>General</c:formatCode>
                <c:ptCount val="3"/>
                <c:pt idx="0">
                  <c:v>0.83282183482934602</c:v>
                </c:pt>
                <c:pt idx="1">
                  <c:v>0.83282183482934602</c:v>
                </c:pt>
                <c:pt idx="2">
                  <c:v>0.83282183482934602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14-4D4A-A3D5-2A2B9B16322D}"/>
            </c:ext>
          </c:extLst>
        </c:ser>
        <c:ser>
          <c:idx val="11"/>
          <c:order val="11"/>
          <c:tx>
            <c:strRef>
              <c:f>'Sensitivity Analysis'!$O$174</c:f>
              <c:strCache>
                <c:ptCount val="1"/>
                <c:pt idx="0">
                  <c:v>Irrigation Pumping Load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Analysis'!$P$174:$R$174</c:f>
              <c:numCache>
                <c:formatCode>General</c:formatCode>
                <c:ptCount val="3"/>
                <c:pt idx="0">
                  <c:v>0.69148828130396001</c:v>
                </c:pt>
                <c:pt idx="1">
                  <c:v>0.69148828130396001</c:v>
                </c:pt>
                <c:pt idx="2">
                  <c:v>0.69148828130396001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14-4D4A-A3D5-2A2B9B16322D}"/>
            </c:ext>
          </c:extLst>
        </c:ser>
        <c:ser>
          <c:idx val="12"/>
          <c:order val="12"/>
          <c:tx>
            <c:strRef>
              <c:f>'Sensitivity Analysis'!$O$175</c:f>
              <c:strCache>
                <c:ptCount val="1"/>
                <c:pt idx="0">
                  <c:v>Water Heating Load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Analysis'!$P$175:$R$175</c:f>
              <c:numCache>
                <c:formatCode>General</c:formatCode>
                <c:ptCount val="3"/>
                <c:pt idx="0">
                  <c:v>0.91616252008096899</c:v>
                </c:pt>
                <c:pt idx="1">
                  <c:v>0.91616252008096899</c:v>
                </c:pt>
                <c:pt idx="2">
                  <c:v>0.91616252008096899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14-4D4A-A3D5-2A2B9B16322D}"/>
            </c:ext>
          </c:extLst>
        </c:ser>
        <c:ser>
          <c:idx val="13"/>
          <c:order val="13"/>
          <c:tx>
            <c:strRef>
              <c:f>'Sensitivity Analysis'!$O$176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Analysis'!$P$176:$R$176</c:f>
              <c:numCache>
                <c:formatCode>General</c:formatCode>
                <c:ptCount val="3"/>
                <c:pt idx="0">
                  <c:v>730.25861232998102</c:v>
                </c:pt>
                <c:pt idx="1">
                  <c:v>730.25861232998102</c:v>
                </c:pt>
                <c:pt idx="2">
                  <c:v>730.25861232998102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14-4D4A-A3D5-2A2B9B16322D}"/>
            </c:ext>
          </c:extLst>
        </c:ser>
        <c:ser>
          <c:idx val="14"/>
          <c:order val="14"/>
          <c:tx>
            <c:strRef>
              <c:f>'Sensitivity Analysis'!$O$177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Analysis'!$P$177:$R$177</c:f>
              <c:numCache>
                <c:formatCode>General</c:formatCode>
                <c:ptCount val="3"/>
                <c:pt idx="0">
                  <c:v>0.93185398827924704</c:v>
                </c:pt>
                <c:pt idx="1">
                  <c:v>0.93185398827924704</c:v>
                </c:pt>
                <c:pt idx="2">
                  <c:v>0.93185398827924704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A14-4D4A-A3D5-2A2B9B16322D}"/>
            </c:ext>
          </c:extLst>
        </c:ser>
        <c:ser>
          <c:idx val="15"/>
          <c:order val="15"/>
          <c:tx>
            <c:strRef>
              <c:f>'Sensitivity Analysis'!$O$178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Analysis'!$P$178:$R$178</c:f>
              <c:numCache>
                <c:formatCode>General</c:formatCode>
                <c:ptCount val="3"/>
                <c:pt idx="0">
                  <c:v>0.45626567994675898</c:v>
                </c:pt>
                <c:pt idx="1">
                  <c:v>0.45626567994675898</c:v>
                </c:pt>
                <c:pt idx="2">
                  <c:v>0.45626567994675898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A14-4D4A-A3D5-2A2B9B16322D}"/>
            </c:ext>
          </c:extLst>
        </c:ser>
        <c:ser>
          <c:idx val="16"/>
          <c:order val="16"/>
          <c:tx>
            <c:strRef>
              <c:f>'Sensitivity Analysis'!$O$179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Analysis'!$P$179:$R$179</c:f>
              <c:numCache>
                <c:formatCode>General</c:formatCode>
                <c:ptCount val="3"/>
                <c:pt idx="0">
                  <c:v>8.3979425290828594E-2</c:v>
                </c:pt>
                <c:pt idx="1">
                  <c:v>8.3979425290828594E-2</c:v>
                </c:pt>
                <c:pt idx="2">
                  <c:v>8.3979425290828594E-2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A14-4D4A-A3D5-2A2B9B16322D}"/>
            </c:ext>
          </c:extLst>
        </c:ser>
        <c:ser>
          <c:idx val="17"/>
          <c:order val="17"/>
          <c:tx>
            <c:strRef>
              <c:f>'Sensitivity Analysis'!$O$180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Analysis'!$P$180:$R$180</c:f>
              <c:numCache>
                <c:formatCode>General</c:formatCode>
                <c:ptCount val="3"/>
                <c:pt idx="0">
                  <c:v>1.7325455336758899</c:v>
                </c:pt>
                <c:pt idx="1">
                  <c:v>1.7325455336758899</c:v>
                </c:pt>
                <c:pt idx="2">
                  <c:v>1.7325455336758899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A14-4D4A-A3D5-2A2B9B16322D}"/>
            </c:ext>
          </c:extLst>
        </c:ser>
        <c:ser>
          <c:idx val="18"/>
          <c:order val="18"/>
          <c:tx>
            <c:strRef>
              <c:f>'Sensitivity Analysis'!$O$181</c:f>
              <c:strCache>
                <c:ptCount val="1"/>
                <c:pt idx="0">
                  <c:v>Soil Amendments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Analysis'!$P$181:$R$181</c:f>
              <c:numCache>
                <c:formatCode>General</c:formatCode>
                <c:ptCount val="3"/>
                <c:pt idx="0">
                  <c:v>59.259947853335198</c:v>
                </c:pt>
                <c:pt idx="1">
                  <c:v>59.259947853335198</c:v>
                </c:pt>
                <c:pt idx="2">
                  <c:v>59.259947853335198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14-4D4A-A3D5-2A2B9B16322D}"/>
            </c:ext>
          </c:extLst>
        </c:ser>
        <c:ser>
          <c:idx val="19"/>
          <c:order val="19"/>
          <c:tx>
            <c:strRef>
              <c:f>'Sensitivity Analysis'!$O$182</c:f>
              <c:strCache>
                <c:ptCount val="1"/>
                <c:pt idx="0">
                  <c:v>Neem Oil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Analysis'!$P$182:$R$182</c:f>
              <c:numCache>
                <c:formatCode>General</c:formatCode>
                <c:ptCount val="3"/>
                <c:pt idx="0">
                  <c:v>0.539571426439167</c:v>
                </c:pt>
                <c:pt idx="1">
                  <c:v>0.539571426439167</c:v>
                </c:pt>
                <c:pt idx="2">
                  <c:v>0.539571426439167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14-4D4A-A3D5-2A2B9B16322D}"/>
            </c:ext>
          </c:extLst>
        </c:ser>
        <c:ser>
          <c:idx val="20"/>
          <c:order val="20"/>
          <c:tx>
            <c:strRef>
              <c:f>'Sensitivity Analysis'!$O$183</c:f>
              <c:strCache>
                <c:ptCount val="1"/>
                <c:pt idx="0">
                  <c:v>Neem Oil (water)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Analysis'!$P$183:$R$183</c:f>
              <c:numCache>
                <c:formatCode>General</c:formatCode>
                <c:ptCount val="3"/>
                <c:pt idx="0">
                  <c:v>3.6083076300269501E-3</c:v>
                </c:pt>
                <c:pt idx="1">
                  <c:v>3.6083076300269501E-3</c:v>
                </c:pt>
                <c:pt idx="2">
                  <c:v>3.6083076300269501E-3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A14-4D4A-A3D5-2A2B9B16322D}"/>
            </c:ext>
          </c:extLst>
        </c:ser>
        <c:ser>
          <c:idx val="21"/>
          <c:order val="21"/>
          <c:tx>
            <c:strRef>
              <c:f>'Sensitivity Analysis'!$O$184</c:f>
              <c:strCache>
                <c:ptCount val="1"/>
                <c:pt idx="0">
                  <c:v>Neem Oil (Soap)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Analysis'!$P$184:$R$184</c:f>
              <c:numCache>
                <c:formatCode>General</c:formatCode>
                <c:ptCount val="3"/>
                <c:pt idx="0">
                  <c:v>8.7239995843643101E-2</c:v>
                </c:pt>
                <c:pt idx="1">
                  <c:v>8.7239995843643101E-2</c:v>
                </c:pt>
                <c:pt idx="2">
                  <c:v>8.7239995843643101E-2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A14-4D4A-A3D5-2A2B9B16322D}"/>
            </c:ext>
          </c:extLst>
        </c:ser>
        <c:ser>
          <c:idx val="22"/>
          <c:order val="22"/>
          <c:tx>
            <c:strRef>
              <c:f>'Sensitivity Analysis'!$O$185</c:f>
              <c:strCache>
                <c:ptCount val="1"/>
                <c:pt idx="0">
                  <c:v>Fungicides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Analysis'!$P$185:$R$185</c:f>
              <c:numCache>
                <c:formatCode>General</c:formatCode>
                <c:ptCount val="3"/>
                <c:pt idx="0">
                  <c:v>7.3918207234744404</c:v>
                </c:pt>
                <c:pt idx="1">
                  <c:v>7.3918207234744404</c:v>
                </c:pt>
                <c:pt idx="2">
                  <c:v>7.3918207234744404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A14-4D4A-A3D5-2A2B9B16322D}"/>
            </c:ext>
          </c:extLst>
        </c:ser>
        <c:ser>
          <c:idx val="23"/>
          <c:order val="23"/>
          <c:tx>
            <c:strRef>
              <c:f>'Sensitivity Analysis'!$O$186</c:f>
              <c:strCache>
                <c:ptCount val="1"/>
                <c:pt idx="0">
                  <c:v>Extractor Fan Electricity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Analysis'!$P$186:$R$186</c:f>
              <c:numCache>
                <c:formatCode>General</c:formatCode>
                <c:ptCount val="3"/>
                <c:pt idx="0">
                  <c:v>70.129942026203807</c:v>
                </c:pt>
                <c:pt idx="1">
                  <c:v>70.129942026203807</c:v>
                </c:pt>
                <c:pt idx="2">
                  <c:v>70.129942026203807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A14-4D4A-A3D5-2A2B9B16322D}"/>
            </c:ext>
          </c:extLst>
        </c:ser>
        <c:ser>
          <c:idx val="24"/>
          <c:order val="24"/>
          <c:tx>
            <c:strRef>
              <c:f>'Sensitivity Analysis'!$O$187</c:f>
              <c:strCache>
                <c:ptCount val="1"/>
                <c:pt idx="0">
                  <c:v>Intake Fan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Analysis'!$P$187:$R$187</c:f>
              <c:numCache>
                <c:formatCode>General</c:formatCode>
                <c:ptCount val="3"/>
                <c:pt idx="0">
                  <c:v>70.129942026203807</c:v>
                </c:pt>
                <c:pt idx="1">
                  <c:v>70.129942026203807</c:v>
                </c:pt>
                <c:pt idx="2">
                  <c:v>70.129942026203807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A14-4D4A-A3D5-2A2B9B16322D}"/>
            </c:ext>
          </c:extLst>
        </c:ser>
        <c:ser>
          <c:idx val="25"/>
          <c:order val="25"/>
          <c:tx>
            <c:strRef>
              <c:f>'Sensitivity Analysis'!$O$188</c:f>
              <c:strCache>
                <c:ptCount val="1"/>
                <c:pt idx="0">
                  <c:v>Circulation Fan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Analysis'!$P$188:$R$188</c:f>
              <c:numCache>
                <c:formatCode>General</c:formatCode>
                <c:ptCount val="3"/>
                <c:pt idx="0">
                  <c:v>87.385019584296799</c:v>
                </c:pt>
                <c:pt idx="1">
                  <c:v>87.385019584296799</c:v>
                </c:pt>
                <c:pt idx="2">
                  <c:v>87.385019584296799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A14-4D4A-A3D5-2A2B9B16322D}"/>
            </c:ext>
          </c:extLst>
        </c:ser>
        <c:ser>
          <c:idx val="26"/>
          <c:order val="26"/>
          <c:tx>
            <c:strRef>
              <c:f>'Sensitivity Analysis'!$O$189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Analysis'!$P$189:$R$189</c:f>
              <c:numCache>
                <c:formatCode>General</c:formatCode>
                <c:ptCount val="3"/>
                <c:pt idx="0">
                  <c:v>0.60331251117064499</c:v>
                </c:pt>
                <c:pt idx="1">
                  <c:v>0.60331251117064499</c:v>
                </c:pt>
                <c:pt idx="2">
                  <c:v>0.60331251117064499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A14-4D4A-A3D5-2A2B9B16322D}"/>
            </c:ext>
          </c:extLst>
        </c:ser>
        <c:ser>
          <c:idx val="27"/>
          <c:order val="27"/>
          <c:tx>
            <c:strRef>
              <c:f>'Sensitivity Analysis'!$O$190</c:f>
              <c:strCache>
                <c:ptCount val="1"/>
                <c:pt idx="0">
                  <c:v>Secondary Air Conditioning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Analysis'!$P$190:$R$190</c:f>
              <c:numCache>
                <c:formatCode>General</c:formatCode>
                <c:ptCount val="3"/>
                <c:pt idx="0">
                  <c:v>82.754538489148402</c:v>
                </c:pt>
                <c:pt idx="1">
                  <c:v>76.551947839849902</c:v>
                </c:pt>
                <c:pt idx="2">
                  <c:v>79.667958504907503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A14-4D4A-A3D5-2A2B9B16322D}"/>
            </c:ext>
          </c:extLst>
        </c:ser>
        <c:ser>
          <c:idx val="28"/>
          <c:order val="28"/>
          <c:tx>
            <c:strRef>
              <c:f>'Sensitivity Analysis'!$O$191</c:f>
              <c:strCache>
                <c:ptCount val="1"/>
                <c:pt idx="0">
                  <c:v>Secondary Dehumidification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Analysis'!$P$191:$R$191</c:f>
              <c:numCache>
                <c:formatCode>General</c:formatCode>
                <c:ptCount val="3"/>
                <c:pt idx="0">
                  <c:v>616.37756635971402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A14-4D4A-A3D5-2A2B9B16322D}"/>
            </c:ext>
          </c:extLst>
        </c:ser>
        <c:ser>
          <c:idx val="29"/>
          <c:order val="29"/>
          <c:tx>
            <c:strRef>
              <c:f>'Sensitivity Analysis'!$O$192</c:f>
              <c:strCache>
                <c:ptCount val="1"/>
                <c:pt idx="0">
                  <c:v>Secondary Heating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Analysis'!$P$162:$R$162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Analysis'!$P$192:$R$192</c:f>
              <c:numCache>
                <c:formatCode>General</c:formatCode>
                <c:ptCount val="3"/>
                <c:pt idx="0">
                  <c:v>6.2919310922425504</c:v>
                </c:pt>
                <c:pt idx="1">
                  <c:v>12.7473538969214</c:v>
                </c:pt>
                <c:pt idx="2">
                  <c:v>9.1704353680592607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A14-4D4A-A3D5-2A2B9B163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272928"/>
        <c:axId val="77267936"/>
      </c:barChart>
      <c:catAx>
        <c:axId val="772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7936"/>
        <c:crosses val="autoZero"/>
        <c:auto val="1"/>
        <c:lblAlgn val="ctr"/>
        <c:lblOffset val="100"/>
        <c:noMultiLvlLbl val="0"/>
      </c:catAx>
      <c:valAx>
        <c:axId val="77267936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GWP (kg CO2e/kg-bud)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69033881979773126"/>
          <c:y val="9.8608846507444753E-2"/>
          <c:w val="0.29637214597498346"/>
          <c:h val="0.842500187555795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GWP Sensitivity Analysis for Denver, 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Analysis'!$G$161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Analysis'!$C$162:$C$175</c:f>
              <c:strCache>
                <c:ptCount val="14"/>
                <c:pt idx="0">
                  <c:v>Plant Yield (kg/plant)</c:v>
                </c:pt>
                <c:pt idx="1">
                  <c:v>Harvest Quantity (cycles per year)</c:v>
                </c:pt>
                <c:pt idx="2">
                  <c:v>Useable Grow Area (% of facility)</c:v>
                </c:pt>
                <c:pt idx="3">
                  <c:v>Curing Duration (Weeks)</c:v>
                </c:pt>
                <c:pt idx="4">
                  <c:v>Clone Room Duration (Weeks)</c:v>
                </c:pt>
                <c:pt idx="5">
                  <c:v>Soil Amendments (kg/harvest)</c:v>
                </c:pt>
                <c:pt idx="6">
                  <c:v>Days between plant stages (Days)</c:v>
                </c:pt>
                <c:pt idx="7">
                  <c:v>Vegetative Growth Duration (Weeks)</c:v>
                </c:pt>
                <c:pt idx="8">
                  <c:v>Annual CO2 (kg CO2/yr)</c:v>
                </c:pt>
                <c:pt idx="9">
                  <c:v>Annual Lighting Load (Wh/yr)</c:v>
                </c:pt>
                <c:pt idx="10">
                  <c:v>Humidity Range (shift all setpoints up or down)</c:v>
                </c:pt>
                <c:pt idx="11">
                  <c:v>Air Changes Per Hour</c:v>
                </c:pt>
                <c:pt idx="12">
                  <c:v>Flowering Duration (Weeks)</c:v>
                </c:pt>
                <c:pt idx="13">
                  <c:v>Temperature Range (shift all setpoints up or down)</c:v>
                </c:pt>
              </c:strCache>
            </c:strRef>
          </c:cat>
          <c:val>
            <c:numRef>
              <c:f>'Sensitivity Analysis'!$G$162:$G$175</c:f>
              <c:numCache>
                <c:formatCode>General</c:formatCode>
                <c:ptCount val="14"/>
                <c:pt idx="0">
                  <c:v>4896.0082742919785</c:v>
                </c:pt>
                <c:pt idx="1">
                  <c:v>4858.7089675145371</c:v>
                </c:pt>
                <c:pt idx="2">
                  <c:v>4563.4021952000066</c:v>
                </c:pt>
                <c:pt idx="3">
                  <c:v>3915.269250579212</c:v>
                </c:pt>
                <c:pt idx="4">
                  <c:v>3910.528295036861</c:v>
                </c:pt>
                <c:pt idx="5">
                  <c:v>3890.1482988858043</c:v>
                </c:pt>
                <c:pt idx="6">
                  <c:v>3899.368414826642</c:v>
                </c:pt>
                <c:pt idx="7">
                  <c:v>3800.9232492502697</c:v>
                </c:pt>
                <c:pt idx="8">
                  <c:v>3770.7635529538093</c:v>
                </c:pt>
                <c:pt idx="9">
                  <c:v>3745.6940086847653</c:v>
                </c:pt>
                <c:pt idx="10">
                  <c:v>3772.9909211311483</c:v>
                </c:pt>
                <c:pt idx="11">
                  <c:v>3366.2160909886734</c:v>
                </c:pt>
                <c:pt idx="12">
                  <c:v>3280.4976503196795</c:v>
                </c:pt>
                <c:pt idx="13">
                  <c:v>3518.8404051435141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D-4BE9-8241-463E2504C24F}"/>
            </c:ext>
          </c:extLst>
        </c:ser>
        <c:ser>
          <c:idx val="2"/>
          <c:order val="2"/>
          <c:tx>
            <c:strRef>
              <c:f>'Sensitivity Analysis'!$I$161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'Sensitivity Analysis'!$C$162:$C$175</c:f>
              <c:strCache>
                <c:ptCount val="14"/>
                <c:pt idx="0">
                  <c:v>Plant Yield (kg/plant)</c:v>
                </c:pt>
                <c:pt idx="1">
                  <c:v>Harvest Quantity (cycles per year)</c:v>
                </c:pt>
                <c:pt idx="2">
                  <c:v>Useable Grow Area (% of facility)</c:v>
                </c:pt>
                <c:pt idx="3">
                  <c:v>Curing Duration (Weeks)</c:v>
                </c:pt>
                <c:pt idx="4">
                  <c:v>Clone Room Duration (Weeks)</c:v>
                </c:pt>
                <c:pt idx="5">
                  <c:v>Soil Amendments (kg/harvest)</c:v>
                </c:pt>
                <c:pt idx="6">
                  <c:v>Days between plant stages (Days)</c:v>
                </c:pt>
                <c:pt idx="7">
                  <c:v>Vegetative Growth Duration (Weeks)</c:v>
                </c:pt>
                <c:pt idx="8">
                  <c:v>Annual CO2 (kg CO2/yr)</c:v>
                </c:pt>
                <c:pt idx="9">
                  <c:v>Annual Lighting Load (Wh/yr)</c:v>
                </c:pt>
                <c:pt idx="10">
                  <c:v>Humidity Range (shift all setpoints up or down)</c:v>
                </c:pt>
                <c:pt idx="11">
                  <c:v>Air Changes Per Hour</c:v>
                </c:pt>
                <c:pt idx="12">
                  <c:v>Flowering Duration (Weeks)</c:v>
                </c:pt>
                <c:pt idx="13">
                  <c:v>Temperature Range (shift all setpoints up or down)</c:v>
                </c:pt>
              </c:strCache>
            </c:strRef>
          </c:cat>
          <c:val>
            <c:numRef>
              <c:f>'Sensitivity Analysis'!$I$162:$I$175</c:f>
              <c:numCache>
                <c:formatCode>General</c:formatCode>
                <c:ptCount val="14"/>
                <c:pt idx="0">
                  <c:v>3264.0199428383594</c:v>
                </c:pt>
                <c:pt idx="1">
                  <c:v>3288.8861473566521</c:v>
                </c:pt>
                <c:pt idx="2">
                  <c:v>3481.206618501441</c:v>
                </c:pt>
                <c:pt idx="3">
                  <c:v>3918.2907618242248</c:v>
                </c:pt>
                <c:pt idx="4">
                  <c:v>3922.8337668269578</c:v>
                </c:pt>
                <c:pt idx="5">
                  <c:v>3943.4822519538066</c:v>
                </c:pt>
                <c:pt idx="6">
                  <c:v>3944.6742188289686</c:v>
                </c:pt>
                <c:pt idx="7">
                  <c:v>4026.5220302793159</c:v>
                </c:pt>
                <c:pt idx="8">
                  <c:v>4062.8669978858011</c:v>
                </c:pt>
                <c:pt idx="9">
                  <c:v>4087.9365421548455</c:v>
                </c:pt>
                <c:pt idx="10">
                  <c:v>4172.1038929493625</c:v>
                </c:pt>
                <c:pt idx="11">
                  <c:v>4463.6202439983663</c:v>
                </c:pt>
                <c:pt idx="12">
                  <c:v>4543.2465387016873</c:v>
                </c:pt>
                <c:pt idx="13">
                  <c:v>4589.5937182696407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D-4BE9-8241-463E2504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overlap val="60"/>
        <c:axId val="518352624"/>
        <c:axId val="51835844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'Sensitivity Analysis'!$C$162:$C$175</c15:sqref>
                        </c15:formulaRef>
                      </c:ext>
                    </c:extLst>
                    <c:strCache>
                      <c:ptCount val="14"/>
                      <c:pt idx="0">
                        <c:v>Plant Yield (kg/plant)</c:v>
                      </c:pt>
                      <c:pt idx="1">
                        <c:v>Harvest Quantity (cycles per year)</c:v>
                      </c:pt>
                      <c:pt idx="2">
                        <c:v>Useable Grow Area (% of facility)</c:v>
                      </c:pt>
                      <c:pt idx="3">
                        <c:v>Curing Duration (Weeks)</c:v>
                      </c:pt>
                      <c:pt idx="4">
                        <c:v>Clone Room Duration (Weeks)</c:v>
                      </c:pt>
                      <c:pt idx="5">
                        <c:v>Soil Amendments (kg/harvest)</c:v>
                      </c:pt>
                      <c:pt idx="6">
                        <c:v>Days between plant stages (Days)</c:v>
                      </c:pt>
                      <c:pt idx="7">
                        <c:v>Vegetative Growth Duration (Weeks)</c:v>
                      </c:pt>
                      <c:pt idx="8">
                        <c:v>Annual CO2 (kg CO2/yr)</c:v>
                      </c:pt>
                      <c:pt idx="9">
                        <c:v>Annual Lighting Load (Wh/yr)</c:v>
                      </c:pt>
                      <c:pt idx="10">
                        <c:v>Humidity Range (shift all setpoints up or down)</c:v>
                      </c:pt>
                      <c:pt idx="11">
                        <c:v>Air Changes Per Hour</c:v>
                      </c:pt>
                      <c:pt idx="12">
                        <c:v>Flowering Duration (Weeks)</c:v>
                      </c:pt>
                      <c:pt idx="13">
                        <c:v>Temperature Range (shift all setpoints up or down)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'Sensitivity Analysis'!$H$162:$H$175</c15:sqref>
                        </c15:formulaRef>
                      </c:ext>
                    </c:extLst>
                    <c:numCache>
                      <c:formatCode>0.00</c:formatCode>
                      <c:ptCount val="14"/>
                      <c:pt idx="0">
                        <c:v>4239.2093596354671</c:v>
                      </c:pt>
                      <c:pt idx="1">
                        <c:v>4239.2093596354671</c:v>
                      </c:pt>
                      <c:pt idx="2">
                        <c:v>4239.2093596354671</c:v>
                      </c:pt>
                      <c:pt idx="3">
                        <c:v>4239.2093596354671</c:v>
                      </c:pt>
                      <c:pt idx="4">
                        <c:v>4239.2093596354671</c:v>
                      </c:pt>
                      <c:pt idx="5">
                        <c:v>4239.2093596354671</c:v>
                      </c:pt>
                      <c:pt idx="6">
                        <c:v>4239.2093596354671</c:v>
                      </c:pt>
                      <c:pt idx="7">
                        <c:v>4239.2093596354671</c:v>
                      </c:pt>
                      <c:pt idx="8">
                        <c:v>4239.2093596354671</c:v>
                      </c:pt>
                      <c:pt idx="9">
                        <c:v>4239.2093596354671</c:v>
                      </c:pt>
                      <c:pt idx="10">
                        <c:v>4239.2093596354671</c:v>
                      </c:pt>
                      <c:pt idx="11">
                        <c:v>4239.2093596354671</c:v>
                      </c:pt>
                      <c:pt idx="12">
                        <c:v>4239.2093596354671</c:v>
                      </c:pt>
                      <c:pt idx="13">
                        <c:v>4239.2093596354671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FDD-4BE9-8241-463E2504C24F}"/>
                  </c:ext>
                </c:extLst>
              </c15:ser>
            </c15:filteredBarSeries>
          </c:ext>
        </c:extLst>
      </c:barChart>
      <c:catAx>
        <c:axId val="51835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58448"/>
        <c:crossesAt val="3916.82"/>
        <c:auto val="1"/>
        <c:lblAlgn val="ctr"/>
        <c:lblOffset val="100"/>
        <c:noMultiLvlLbl val="0"/>
      </c:catAx>
      <c:valAx>
        <c:axId val="518358448"/>
        <c:scaling>
          <c:orientation val="minMax"/>
          <c:max val="5250"/>
          <c:min val="3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5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</a:t>
            </a:r>
            <a:r>
              <a:rPr lang="en-US" baseline="0"/>
              <a:t> Beach, CA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Analysis'!$F$205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Analysis'!$F$206</c:f>
              <c:numCache>
                <c:formatCode>General</c:formatCode>
                <c:ptCount val="1"/>
                <c:pt idx="0">
                  <c:v>2637.5843211396686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A-4F1E-84E1-6985223E428D}"/>
            </c:ext>
          </c:extLst>
        </c:ser>
        <c:ser>
          <c:idx val="1"/>
          <c:order val="1"/>
          <c:tx>
            <c:strRef>
              <c:f>'Sensitivity Analysis'!$H$205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Analysis'!$H$206</c:f>
              <c:numCache>
                <c:formatCode>General</c:formatCode>
                <c:ptCount val="1"/>
                <c:pt idx="0">
                  <c:v>2467.8249111713058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FA-4F1E-84E1-6985223E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60"/>
        <c:axId val="1981455616"/>
        <c:axId val="1981454368"/>
      </c:barChart>
      <c:catAx>
        <c:axId val="198145561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low"/>
        <c:crossAx val="1981454368"/>
        <c:crossesAt val="2233.5700000000002"/>
        <c:auto val="1"/>
        <c:lblAlgn val="ctr"/>
        <c:lblOffset val="100"/>
        <c:noMultiLvlLbl val="0"/>
      </c:catAx>
      <c:valAx>
        <c:axId val="1981454368"/>
        <c:scaling>
          <c:orientation val="minMax"/>
          <c:max val="2800"/>
          <c:min val="2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Portland, 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Analysis'!$F$205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Analysis'!$F$207</c:f>
              <c:numCache>
                <c:formatCode>General</c:formatCode>
                <c:ptCount val="1"/>
                <c:pt idx="0">
                  <c:v>3182.0180088471143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9-4E55-8273-B2C23F5DA66E}"/>
            </c:ext>
          </c:extLst>
        </c:ser>
        <c:ser>
          <c:idx val="1"/>
          <c:order val="1"/>
          <c:tx>
            <c:strRef>
              <c:f>'Sensitivity Analysis'!$H$205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Analysis'!$H$207</c:f>
              <c:numCache>
                <c:formatCode>General</c:formatCode>
                <c:ptCount val="1"/>
                <c:pt idx="0">
                  <c:v>3777.9032281280329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69-4E55-8273-B2C23F5D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81455616"/>
        <c:axId val="1981454368"/>
      </c:barChart>
      <c:catAx>
        <c:axId val="198145561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low"/>
        <c:crossAx val="1981454368"/>
        <c:crossesAt val="3261.7799999999997"/>
        <c:auto val="1"/>
        <c:lblAlgn val="ctr"/>
        <c:lblOffset val="100"/>
        <c:noMultiLvlLbl val="0"/>
      </c:catAx>
      <c:valAx>
        <c:axId val="1981454368"/>
        <c:scaling>
          <c:orientation val="minMax"/>
          <c:max val="38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Portland, 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Analysis'!$F$205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Analysis'!$F$208</c:f>
              <c:numCache>
                <c:formatCode>General</c:formatCode>
                <c:ptCount val="1"/>
                <c:pt idx="0">
                  <c:v>2751.100041918633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3-45B8-9266-5D7BE48D03DE}"/>
            </c:ext>
          </c:extLst>
        </c:ser>
        <c:ser>
          <c:idx val="1"/>
          <c:order val="1"/>
          <c:tx>
            <c:strRef>
              <c:f>'Sensitivity Analysis'!$H$205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Analysis'!$H$208</c:f>
              <c:numCache>
                <c:formatCode>General</c:formatCode>
                <c:ptCount val="1"/>
                <c:pt idx="0">
                  <c:v>3301.5299444542839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3-45B8-9266-5D7BE48D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60"/>
        <c:axId val="1981455616"/>
        <c:axId val="1981454368"/>
      </c:barChart>
      <c:catAx>
        <c:axId val="198145561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low"/>
        <c:crossAx val="1981454368"/>
        <c:crossesAt val="2748.64"/>
        <c:auto val="1"/>
        <c:lblAlgn val="ctr"/>
        <c:lblOffset val="100"/>
        <c:noMultiLvlLbl val="0"/>
      </c:catAx>
      <c:valAx>
        <c:axId val="1981454368"/>
        <c:scaling>
          <c:orientation val="minMax"/>
          <c:max val="34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Denver, CO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Analysis'!$F$205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Analysis'!$F$209</c:f>
              <c:numCache>
                <c:formatCode>General</c:formatCode>
                <c:ptCount val="1"/>
                <c:pt idx="0">
                  <c:v>3518.8404051435141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5-482E-AC8A-2061DB626558}"/>
            </c:ext>
          </c:extLst>
        </c:ser>
        <c:ser>
          <c:idx val="1"/>
          <c:order val="1"/>
          <c:tx>
            <c:strRef>
              <c:f>'Sensitivity Analysis'!$H$205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Analysis'!$H$209</c:f>
              <c:numCache>
                <c:formatCode>General</c:formatCode>
                <c:ptCount val="1"/>
                <c:pt idx="0">
                  <c:v>4589.5937182696407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15-482E-AC8A-2061DB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60"/>
        <c:axId val="1981455616"/>
        <c:axId val="1981454368"/>
      </c:barChart>
      <c:catAx>
        <c:axId val="198145561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low"/>
        <c:crossAx val="1981454368"/>
        <c:crossesAt val="3916.82"/>
        <c:auto val="1"/>
        <c:lblAlgn val="ctr"/>
        <c:lblOffset val="100"/>
        <c:noMultiLvlLbl val="0"/>
      </c:catAx>
      <c:valAx>
        <c:axId val="1981454368"/>
        <c:scaling>
          <c:orientation val="minMax"/>
          <c:max val="475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Miami, FL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Analysis'!$F$205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Analysis'!$F$210</c:f>
              <c:numCache>
                <c:formatCode>General</c:formatCode>
                <c:ptCount val="1"/>
                <c:pt idx="0">
                  <c:v>4820.5317133539193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34-4CBE-87F8-AB713D83F2ED}"/>
            </c:ext>
          </c:extLst>
        </c:ser>
        <c:ser>
          <c:idx val="1"/>
          <c:order val="1"/>
          <c:tx>
            <c:strRef>
              <c:f>'Sensitivity Analysis'!$H$205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('Sensitivity Analysis'!$F$205,'Sensitivity Analysis'!$H$205)</c:f>
              <c:numCache>
                <c:formatCode>\+0;\-0;0</c:formatCode>
                <c:ptCount val="2"/>
                <c:pt idx="0" formatCode="0%">
                  <c:v>-0.2</c:v>
                </c:pt>
                <c:pt idx="1">
                  <c:v>20</c:v>
                </c:pt>
              </c:numCache>
            </c:numRef>
          </c:cat>
          <c:val>
            <c:numRef>
              <c:f>'Sensitivity Analysis'!$H$210</c:f>
              <c:numCache>
                <c:formatCode>General</c:formatCode>
                <c:ptCount val="1"/>
                <c:pt idx="0">
                  <c:v>3161.9129308019114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34-4CBE-87F8-AB713D83F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81455616"/>
        <c:axId val="1981454368"/>
      </c:barChart>
      <c:catAx>
        <c:axId val="198145561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low"/>
        <c:crossAx val="1981454368"/>
        <c:crossesAt val="3839.05"/>
        <c:auto val="1"/>
        <c:lblAlgn val="ctr"/>
        <c:lblOffset val="100"/>
        <c:noMultiLvlLbl val="0"/>
      </c:catAx>
      <c:valAx>
        <c:axId val="1981454368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GWP</a:t>
            </a:r>
            <a:r>
              <a:rPr lang="en-US" baseline="0"/>
              <a:t> for Temperature Scenarios (Miami, FL)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'Sensitivity Analysis'!$O$211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Analysis'!$P$211:$R$211</c:f>
              <c:numCache>
                <c:formatCode>General</c:formatCode>
                <c:ptCount val="3"/>
                <c:pt idx="0">
                  <c:v>15.9749765275801</c:v>
                </c:pt>
                <c:pt idx="1">
                  <c:v>164.15236302963999</c:v>
                </c:pt>
                <c:pt idx="2">
                  <c:v>46.428848158563902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C-492D-819A-369D081D9ED2}"/>
            </c:ext>
          </c:extLst>
        </c:ser>
        <c:ser>
          <c:idx val="1"/>
          <c:order val="1"/>
          <c:tx>
            <c:strRef>
              <c:f>'Sensitivity Analysis'!$O$212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Analysis'!$P$212:$R$212</c:f>
              <c:numCache>
                <c:formatCode>General</c:formatCode>
                <c:ptCount val="3"/>
                <c:pt idx="0">
                  <c:v>4.5158914972813404</c:v>
                </c:pt>
                <c:pt idx="1">
                  <c:v>7.1478592096331104</c:v>
                </c:pt>
                <c:pt idx="2">
                  <c:v>5.4897984562921902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C-492D-819A-369D081D9ED2}"/>
            </c:ext>
          </c:extLst>
        </c:ser>
        <c:ser>
          <c:idx val="2"/>
          <c:order val="2"/>
          <c:tx>
            <c:strRef>
              <c:f>'Sensitivity Analysis'!$O$213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Analysis'!$P$213:$R$213</c:f>
              <c:numCache>
                <c:formatCode>General</c:formatCode>
                <c:ptCount val="3"/>
                <c:pt idx="0">
                  <c:v>12.3685741707987</c:v>
                </c:pt>
                <c:pt idx="1">
                  <c:v>117.99279689391</c:v>
                </c:pt>
                <c:pt idx="2">
                  <c:v>44.509610272558497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8C-492D-819A-369D081D9ED2}"/>
            </c:ext>
          </c:extLst>
        </c:ser>
        <c:ser>
          <c:idx val="3"/>
          <c:order val="3"/>
          <c:tx>
            <c:strRef>
              <c:f>'Sensitivity Analysis'!$O$214</c:f>
              <c:strCache>
                <c:ptCount val="1"/>
                <c:pt idx="0">
                  <c:v>Humidification (Heat+Hum)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Analysis'!$P$214:$R$214</c:f>
              <c:numCache>
                <c:formatCode>General</c:formatCode>
                <c:ptCount val="3"/>
                <c:pt idx="0">
                  <c:v>4.6248549474446197</c:v>
                </c:pt>
                <c:pt idx="1">
                  <c:v>61.167603247478198</c:v>
                </c:pt>
                <c:pt idx="2">
                  <c:v>19.636439985202401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C-492D-819A-369D081D9ED2}"/>
            </c:ext>
          </c:extLst>
        </c:ser>
        <c:ser>
          <c:idx val="4"/>
          <c:order val="4"/>
          <c:tx>
            <c:strRef>
              <c:f>'Sensitivity Analysis'!$O$215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Analysis'!$P$215:$R$215</c:f>
              <c:numCache>
                <c:formatCode>General</c:formatCode>
                <c:ptCount val="3"/>
                <c:pt idx="0">
                  <c:v>0.420499160765683</c:v>
                </c:pt>
                <c:pt idx="1">
                  <c:v>0.52854754597693698</c:v>
                </c:pt>
                <c:pt idx="2">
                  <c:v>0.20622565441725399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8C-492D-819A-369D081D9ED2}"/>
            </c:ext>
          </c:extLst>
        </c:ser>
        <c:ser>
          <c:idx val="5"/>
          <c:order val="5"/>
          <c:tx>
            <c:strRef>
              <c:f>'Sensitivity Analysis'!$O$216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Analysis'!$P$216:$R$216</c:f>
              <c:numCache>
                <c:formatCode>General</c:formatCode>
                <c:ptCount val="3"/>
                <c:pt idx="0">
                  <c:v>0.13872412846585999</c:v>
                </c:pt>
                <c:pt idx="1">
                  <c:v>3.8837476488868302E-4</c:v>
                </c:pt>
                <c:pt idx="2">
                  <c:v>0.39788967079321402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8C-492D-819A-369D081D9ED2}"/>
            </c:ext>
          </c:extLst>
        </c:ser>
        <c:ser>
          <c:idx val="6"/>
          <c:order val="6"/>
          <c:tx>
            <c:strRef>
              <c:f>'Sensitivity Analysis'!$O$217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Analysis'!$P$217:$R$217</c:f>
              <c:numCache>
                <c:formatCode>General</c:formatCode>
                <c:ptCount val="3"/>
                <c:pt idx="0">
                  <c:v>1.13605145899382</c:v>
                </c:pt>
                <c:pt idx="1">
                  <c:v>3.6433665455520101E-3</c:v>
                </c:pt>
                <c:pt idx="2">
                  <c:v>1.0072956849207699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8C-492D-819A-369D081D9ED2}"/>
            </c:ext>
          </c:extLst>
        </c:ser>
        <c:ser>
          <c:idx val="7"/>
          <c:order val="7"/>
          <c:tx>
            <c:strRef>
              <c:f>'Sensitivity Analysis'!$O$218</c:f>
              <c:strCache>
                <c:ptCount val="1"/>
                <c:pt idx="0">
                  <c:v>Dehumidification (Electric)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Analysis'!$P$218:$R$218</c:f>
              <c:numCache>
                <c:formatCode>General</c:formatCode>
                <c:ptCount val="3"/>
                <c:pt idx="0">
                  <c:v>1764.0033846203801</c:v>
                </c:pt>
                <c:pt idx="1">
                  <c:v>633.45796164206604</c:v>
                </c:pt>
                <c:pt idx="2">
                  <c:v>1257.0976362246199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8C-492D-819A-369D081D9ED2}"/>
            </c:ext>
          </c:extLst>
        </c:ser>
        <c:ser>
          <c:idx val="8"/>
          <c:order val="8"/>
          <c:tx>
            <c:strRef>
              <c:f>'Sensitivity Analysis'!$O$219</c:f>
              <c:strCache>
                <c:ptCount val="1"/>
                <c:pt idx="0">
                  <c:v>Dehumidification Reheat (NG)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Analysis'!$P$219:$R$219</c:f>
              <c:numCache>
                <c:formatCode>General</c:formatCode>
                <c:ptCount val="3"/>
                <c:pt idx="0">
                  <c:v>836.33360361921996</c:v>
                </c:pt>
                <c:pt idx="1">
                  <c:v>450.610009107753</c:v>
                </c:pt>
                <c:pt idx="2">
                  <c:v>735.33121511597597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8C-492D-819A-369D081D9ED2}"/>
            </c:ext>
          </c:extLst>
        </c:ser>
        <c:ser>
          <c:idx val="9"/>
          <c:order val="9"/>
          <c:tx>
            <c:strRef>
              <c:f>'Sensitivity Analysis'!$O$220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Analysis'!$P$220:$R$220</c:f>
              <c:numCache>
                <c:formatCode>General</c:formatCode>
                <c:ptCount val="3"/>
                <c:pt idx="0">
                  <c:v>791.12827322319799</c:v>
                </c:pt>
                <c:pt idx="1">
                  <c:v>791.12827322319799</c:v>
                </c:pt>
                <c:pt idx="2">
                  <c:v>791.12827322319799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8C-492D-819A-369D081D9ED2}"/>
            </c:ext>
          </c:extLst>
        </c:ser>
        <c:ser>
          <c:idx val="10"/>
          <c:order val="10"/>
          <c:tx>
            <c:strRef>
              <c:f>'Sensitivity Analysis'!$O$221</c:f>
              <c:strCache>
                <c:ptCount val="1"/>
                <c:pt idx="0">
                  <c:v>Water for Plants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Analysis'!$P$221:$R$221</c:f>
              <c:numCache>
                <c:formatCode>General</c:formatCode>
                <c:ptCount val="3"/>
                <c:pt idx="0">
                  <c:v>0.83282183482934602</c:v>
                </c:pt>
                <c:pt idx="1">
                  <c:v>0.83282183482934602</c:v>
                </c:pt>
                <c:pt idx="2">
                  <c:v>0.83282183482934602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8C-492D-819A-369D081D9ED2}"/>
            </c:ext>
          </c:extLst>
        </c:ser>
        <c:ser>
          <c:idx val="11"/>
          <c:order val="11"/>
          <c:tx>
            <c:strRef>
              <c:f>'Sensitivity Analysis'!$O$226</c:f>
              <c:strCache>
                <c:ptCount val="1"/>
                <c:pt idx="0">
                  <c:v>Irrigation Pumping Load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Analysis'!$P$226:$R$226</c:f>
              <c:numCache>
                <c:formatCode>General</c:formatCode>
                <c:ptCount val="3"/>
                <c:pt idx="0">
                  <c:v>0.51046553661137395</c:v>
                </c:pt>
                <c:pt idx="1">
                  <c:v>0.51046553661137395</c:v>
                </c:pt>
                <c:pt idx="2">
                  <c:v>0.51046553661137395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8C-492D-819A-369D081D9ED2}"/>
            </c:ext>
          </c:extLst>
        </c:ser>
        <c:ser>
          <c:idx val="12"/>
          <c:order val="12"/>
          <c:tx>
            <c:strRef>
              <c:f>'Sensitivity Analysis'!$O$227</c:f>
              <c:strCache>
                <c:ptCount val="1"/>
                <c:pt idx="0">
                  <c:v>Water Heating Load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Analysis'!$P$227:$R$227</c:f>
              <c:numCache>
                <c:formatCode>General</c:formatCode>
                <c:ptCount val="3"/>
                <c:pt idx="0">
                  <c:v>0.67632294730210296</c:v>
                </c:pt>
                <c:pt idx="1">
                  <c:v>0.67632294730210296</c:v>
                </c:pt>
                <c:pt idx="2">
                  <c:v>0.67632294730210296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8C-492D-819A-369D081D9ED2}"/>
            </c:ext>
          </c:extLst>
        </c:ser>
        <c:ser>
          <c:idx val="13"/>
          <c:order val="13"/>
          <c:tx>
            <c:strRef>
              <c:f>'Sensitivity Analysis'!$O$228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Analysis'!$P$228:$R$228</c:f>
              <c:numCache>
                <c:formatCode>General</c:formatCode>
                <c:ptCount val="3"/>
                <c:pt idx="0">
                  <c:v>730.25861232998102</c:v>
                </c:pt>
                <c:pt idx="1">
                  <c:v>730.25861232998102</c:v>
                </c:pt>
                <c:pt idx="2">
                  <c:v>730.25861232998102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E8C-492D-819A-369D081D9ED2}"/>
            </c:ext>
          </c:extLst>
        </c:ser>
        <c:ser>
          <c:idx val="14"/>
          <c:order val="14"/>
          <c:tx>
            <c:strRef>
              <c:f>'Sensitivity Analysis'!$O$229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Analysis'!$P$229:$R$229</c:f>
              <c:numCache>
                <c:formatCode>General</c:formatCode>
                <c:ptCount val="3"/>
                <c:pt idx="0">
                  <c:v>0.93185398827924704</c:v>
                </c:pt>
                <c:pt idx="1">
                  <c:v>0.93185398827924704</c:v>
                </c:pt>
                <c:pt idx="2">
                  <c:v>0.93185398827924704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8C-492D-819A-369D081D9ED2}"/>
            </c:ext>
          </c:extLst>
        </c:ser>
        <c:ser>
          <c:idx val="15"/>
          <c:order val="15"/>
          <c:tx>
            <c:strRef>
              <c:f>'Sensitivity Analysis'!$O$230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Analysis'!$P$230:$R$230</c:f>
              <c:numCache>
                <c:formatCode>General</c:formatCode>
                <c:ptCount val="3"/>
                <c:pt idx="0">
                  <c:v>0.45626567994675898</c:v>
                </c:pt>
                <c:pt idx="1">
                  <c:v>0.45626567994675898</c:v>
                </c:pt>
                <c:pt idx="2">
                  <c:v>0.45626567994675898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E8C-492D-819A-369D081D9ED2}"/>
            </c:ext>
          </c:extLst>
        </c:ser>
        <c:ser>
          <c:idx val="16"/>
          <c:order val="16"/>
          <c:tx>
            <c:strRef>
              <c:f>'Sensitivity Analysis'!$O$231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Analysis'!$P$231:$R$231</c:f>
              <c:numCache>
                <c:formatCode>General</c:formatCode>
                <c:ptCount val="3"/>
                <c:pt idx="0">
                  <c:v>8.3979425290828594E-2</c:v>
                </c:pt>
                <c:pt idx="1">
                  <c:v>8.3979425290828594E-2</c:v>
                </c:pt>
                <c:pt idx="2">
                  <c:v>8.3979425290828594E-2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E8C-492D-819A-369D081D9ED2}"/>
            </c:ext>
          </c:extLst>
        </c:ser>
        <c:ser>
          <c:idx val="17"/>
          <c:order val="17"/>
          <c:tx>
            <c:strRef>
              <c:f>'Sensitivity Analysis'!$O$232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Analysis'!$P$232:$R$232</c:f>
              <c:numCache>
                <c:formatCode>General</c:formatCode>
                <c:ptCount val="3"/>
                <c:pt idx="0">
                  <c:v>1.7325455336758899</c:v>
                </c:pt>
                <c:pt idx="1">
                  <c:v>1.7325455336758899</c:v>
                </c:pt>
                <c:pt idx="2">
                  <c:v>1.7325455336758899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E8C-492D-819A-369D081D9ED2}"/>
            </c:ext>
          </c:extLst>
        </c:ser>
        <c:ser>
          <c:idx val="18"/>
          <c:order val="18"/>
          <c:tx>
            <c:strRef>
              <c:f>'Sensitivity Analysis'!$O$233</c:f>
              <c:strCache>
                <c:ptCount val="1"/>
                <c:pt idx="0">
                  <c:v>Soil Amendments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Analysis'!$P$233:$R$233</c:f>
              <c:numCache>
                <c:formatCode>General</c:formatCode>
                <c:ptCount val="3"/>
                <c:pt idx="0">
                  <c:v>59.259947853335198</c:v>
                </c:pt>
                <c:pt idx="1">
                  <c:v>59.259947853335198</c:v>
                </c:pt>
                <c:pt idx="2">
                  <c:v>59.259947853335198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E8C-492D-819A-369D081D9ED2}"/>
            </c:ext>
          </c:extLst>
        </c:ser>
        <c:ser>
          <c:idx val="19"/>
          <c:order val="19"/>
          <c:tx>
            <c:strRef>
              <c:f>'Sensitivity Analysis'!$O$235</c:f>
              <c:strCache>
                <c:ptCount val="1"/>
                <c:pt idx="0">
                  <c:v>Neem Oil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Analysis'!$P$235:$R$235</c:f>
              <c:numCache>
                <c:formatCode>General</c:formatCode>
                <c:ptCount val="3"/>
                <c:pt idx="0">
                  <c:v>0.539571426439167</c:v>
                </c:pt>
                <c:pt idx="1">
                  <c:v>0.539571426439167</c:v>
                </c:pt>
                <c:pt idx="2">
                  <c:v>0.539571426439167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E8C-492D-819A-369D081D9ED2}"/>
            </c:ext>
          </c:extLst>
        </c:ser>
        <c:ser>
          <c:idx val="20"/>
          <c:order val="20"/>
          <c:tx>
            <c:strRef>
              <c:f>'Sensitivity Analysis'!$O$236</c:f>
              <c:strCache>
                <c:ptCount val="1"/>
                <c:pt idx="0">
                  <c:v>Neem Oil (water)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Analysis'!$P$236:$R$236</c:f>
              <c:numCache>
                <c:formatCode>General</c:formatCode>
                <c:ptCount val="3"/>
                <c:pt idx="0">
                  <c:v>3.6083076300269501E-3</c:v>
                </c:pt>
                <c:pt idx="1">
                  <c:v>3.6083076300269501E-3</c:v>
                </c:pt>
                <c:pt idx="2">
                  <c:v>3.6083076300269501E-3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8C-492D-819A-369D081D9ED2}"/>
            </c:ext>
          </c:extLst>
        </c:ser>
        <c:ser>
          <c:idx val="21"/>
          <c:order val="21"/>
          <c:tx>
            <c:strRef>
              <c:f>'Sensitivity Analysis'!$O$237</c:f>
              <c:strCache>
                <c:ptCount val="1"/>
                <c:pt idx="0">
                  <c:v>Neem Oil (Soap)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Analysis'!$P$237:$R$237</c:f>
              <c:numCache>
                <c:formatCode>General</c:formatCode>
                <c:ptCount val="3"/>
                <c:pt idx="0">
                  <c:v>8.7239995843643101E-2</c:v>
                </c:pt>
                <c:pt idx="1">
                  <c:v>8.7239995843643101E-2</c:v>
                </c:pt>
                <c:pt idx="2">
                  <c:v>8.7239995843643101E-2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E8C-492D-819A-369D081D9ED2}"/>
            </c:ext>
          </c:extLst>
        </c:ser>
        <c:ser>
          <c:idx val="22"/>
          <c:order val="22"/>
          <c:tx>
            <c:strRef>
              <c:f>'Sensitivity Analysis'!$O$238</c:f>
              <c:strCache>
                <c:ptCount val="1"/>
                <c:pt idx="0">
                  <c:v>Fungicides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Analysis'!$P$238:$R$238</c:f>
              <c:numCache>
                <c:formatCode>General</c:formatCode>
                <c:ptCount val="3"/>
                <c:pt idx="0">
                  <c:v>7.3918207234744404</c:v>
                </c:pt>
                <c:pt idx="1">
                  <c:v>7.3918207234744404</c:v>
                </c:pt>
                <c:pt idx="2">
                  <c:v>7.3918207234744404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8C-492D-819A-369D081D9ED2}"/>
            </c:ext>
          </c:extLst>
        </c:ser>
        <c:ser>
          <c:idx val="23"/>
          <c:order val="23"/>
          <c:tx>
            <c:strRef>
              <c:f>'Sensitivity Analysis'!$O$239</c:f>
              <c:strCache>
                <c:ptCount val="1"/>
                <c:pt idx="0">
                  <c:v>Extractor Fan Electricity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Analysis'!$P$239:$R$239</c:f>
              <c:numCache>
                <c:formatCode>General</c:formatCode>
                <c:ptCount val="3"/>
                <c:pt idx="0">
                  <c:v>51.770824548788497</c:v>
                </c:pt>
                <c:pt idx="1">
                  <c:v>51.770824548788497</c:v>
                </c:pt>
                <c:pt idx="2">
                  <c:v>51.770824548788497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E8C-492D-819A-369D081D9ED2}"/>
            </c:ext>
          </c:extLst>
        </c:ser>
        <c:ser>
          <c:idx val="24"/>
          <c:order val="24"/>
          <c:tx>
            <c:strRef>
              <c:f>'Sensitivity Analysis'!$O$240</c:f>
              <c:strCache>
                <c:ptCount val="1"/>
                <c:pt idx="0">
                  <c:v>Intake Fan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Analysis'!$P$240:$R$240</c:f>
              <c:numCache>
                <c:formatCode>General</c:formatCode>
                <c:ptCount val="3"/>
                <c:pt idx="0">
                  <c:v>51.770824548788497</c:v>
                </c:pt>
                <c:pt idx="1">
                  <c:v>51.770824548788497</c:v>
                </c:pt>
                <c:pt idx="2">
                  <c:v>51.770824548788497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8C-492D-819A-369D081D9ED2}"/>
            </c:ext>
          </c:extLst>
        </c:ser>
        <c:ser>
          <c:idx val="25"/>
          <c:order val="25"/>
          <c:tx>
            <c:strRef>
              <c:f>'Sensitivity Analysis'!$O$241</c:f>
              <c:strCache>
                <c:ptCount val="1"/>
                <c:pt idx="0">
                  <c:v>Circulation Fan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Analysis'!$P$241:$R$241</c:f>
              <c:numCache>
                <c:formatCode>General</c:formatCode>
                <c:ptCount val="3"/>
                <c:pt idx="0">
                  <c:v>64.508744573048403</c:v>
                </c:pt>
                <c:pt idx="1">
                  <c:v>64.508744573048403</c:v>
                </c:pt>
                <c:pt idx="2">
                  <c:v>64.508744573048403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E8C-492D-819A-369D081D9ED2}"/>
            </c:ext>
          </c:extLst>
        </c:ser>
        <c:ser>
          <c:idx val="26"/>
          <c:order val="26"/>
          <c:tx>
            <c:strRef>
              <c:f>'Sensitivity Analysis'!$O$242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Analysis'!$P$242:$R$242</c:f>
              <c:numCache>
                <c:formatCode>General</c:formatCode>
                <c:ptCount val="3"/>
                <c:pt idx="0">
                  <c:v>0.60331251117064499</c:v>
                </c:pt>
                <c:pt idx="1">
                  <c:v>0.60331251117064499</c:v>
                </c:pt>
                <c:pt idx="2">
                  <c:v>0.60331251117064499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E8C-492D-819A-369D081D9ED2}"/>
            </c:ext>
          </c:extLst>
        </c:ser>
        <c:ser>
          <c:idx val="27"/>
          <c:order val="27"/>
          <c:tx>
            <c:strRef>
              <c:f>'Sensitivity Analysis'!$O$243</c:f>
              <c:strCache>
                <c:ptCount val="1"/>
                <c:pt idx="0">
                  <c:v>Secondary Air Conditioning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Analysis'!$P$243:$R$243</c:f>
              <c:numCache>
                <c:formatCode>General</c:formatCode>
                <c:ptCount val="3"/>
                <c:pt idx="0">
                  <c:v>67.436669245174201</c:v>
                </c:pt>
                <c:pt idx="1">
                  <c:v>62.8815345210567</c:v>
                </c:pt>
                <c:pt idx="2">
                  <c:v>65.159486023636205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E8C-492D-819A-369D081D9ED2}"/>
            </c:ext>
          </c:extLst>
        </c:ser>
        <c:ser>
          <c:idx val="28"/>
          <c:order val="28"/>
          <c:tx>
            <c:strRef>
              <c:f>'Sensitivity Analysis'!$O$245</c:f>
              <c:strCache>
                <c:ptCount val="1"/>
                <c:pt idx="0">
                  <c:v>Secondary Dehumidification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Analysis'!$P$245:$R$245</c:f>
              <c:numCache>
                <c:formatCode>General</c:formatCode>
                <c:ptCount val="3"/>
                <c:pt idx="0">
                  <c:v>477.35962706511299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E8C-492D-819A-369D081D9ED2}"/>
            </c:ext>
          </c:extLst>
        </c:ser>
        <c:ser>
          <c:idx val="29"/>
          <c:order val="29"/>
          <c:tx>
            <c:strRef>
              <c:f>'Sensitivity Analysis'!$O$246</c:f>
              <c:strCache>
                <c:ptCount val="1"/>
                <c:pt idx="0">
                  <c:v>Secondary Heating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Analysis'!$P$210:$R$210</c:f>
              <c:strCache>
                <c:ptCount val="3"/>
                <c:pt idx="0">
                  <c:v>Temperature Range lower 20%</c:v>
                </c:pt>
                <c:pt idx="1">
                  <c:v>Temperature Range Higher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Analysis'!$P$246:$R$246</c:f>
              <c:numCache>
                <c:formatCode>General</c:formatCode>
                <c:ptCount val="3"/>
                <c:pt idx="0">
                  <c:v>3.8799903118519802E-2</c:v>
                </c:pt>
                <c:pt idx="1">
                  <c:v>0.37023418322482499</c:v>
                </c:pt>
                <c:pt idx="2">
                  <c:v>0.11577019876518201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E8C-492D-819A-369D081D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991391"/>
        <c:axId val="562994719"/>
      </c:barChart>
      <c:catAx>
        <c:axId val="5629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4719"/>
        <c:crosses val="autoZero"/>
        <c:auto val="1"/>
        <c:lblAlgn val="ctr"/>
        <c:lblOffset val="100"/>
        <c:noMultiLvlLbl val="0"/>
      </c:catAx>
      <c:valAx>
        <c:axId val="5629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GWP (kg CO2e/kg-bud)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GWP</a:t>
            </a:r>
            <a:r>
              <a:rPr lang="en-US" baseline="0"/>
              <a:t> for Temperature Scenarios (Miami, FL)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'Sensitivity Analysis'!$AH$211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Analysis'!$AI$211:$AK$211</c:f>
              <c:numCache>
                <c:formatCode>General</c:formatCode>
                <c:ptCount val="3"/>
                <c:pt idx="0">
                  <c:v>43.558798246725097</c:v>
                </c:pt>
                <c:pt idx="1">
                  <c:v>46.736336337692002</c:v>
                </c:pt>
                <c:pt idx="2">
                  <c:v>46.428848158563902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B-466F-853D-BB7E9797A4F5}"/>
            </c:ext>
          </c:extLst>
        </c:ser>
        <c:ser>
          <c:idx val="1"/>
          <c:order val="1"/>
          <c:tx>
            <c:strRef>
              <c:f>'Sensitivity Analysis'!$AH$212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Analysis'!$AI$212:$AK$212</c:f>
              <c:numCache>
                <c:formatCode>General</c:formatCode>
                <c:ptCount val="3"/>
                <c:pt idx="0">
                  <c:v>5.5385132815852796</c:v>
                </c:pt>
                <c:pt idx="1">
                  <c:v>5.9023379594749601</c:v>
                </c:pt>
                <c:pt idx="2">
                  <c:v>5.4897984562921902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8B-466F-853D-BB7E9797A4F5}"/>
            </c:ext>
          </c:extLst>
        </c:ser>
        <c:ser>
          <c:idx val="2"/>
          <c:order val="2"/>
          <c:tx>
            <c:strRef>
              <c:f>'Sensitivity Analysis'!$AH$213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Analysis'!$AI$213:$AK$213</c:f>
              <c:numCache>
                <c:formatCode>General</c:formatCode>
                <c:ptCount val="3"/>
                <c:pt idx="0">
                  <c:v>46.553373216043198</c:v>
                </c:pt>
                <c:pt idx="1">
                  <c:v>41.737052539181903</c:v>
                </c:pt>
                <c:pt idx="2">
                  <c:v>44.509610272558497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8B-466F-853D-BB7E9797A4F5}"/>
            </c:ext>
          </c:extLst>
        </c:ser>
        <c:ser>
          <c:idx val="3"/>
          <c:order val="3"/>
          <c:tx>
            <c:strRef>
              <c:f>'Sensitivity Analysis'!$AH$214</c:f>
              <c:strCache>
                <c:ptCount val="1"/>
                <c:pt idx="0">
                  <c:v>Humidification (Heat+Hum)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Analysis'!$AI$214:$AK$214</c:f>
              <c:numCache>
                <c:formatCode>General</c:formatCode>
                <c:ptCount val="3"/>
                <c:pt idx="0">
                  <c:v>20.953126651411701</c:v>
                </c:pt>
                <c:pt idx="1">
                  <c:v>18.276635633846499</c:v>
                </c:pt>
                <c:pt idx="2">
                  <c:v>19.636439985202401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F8B-466F-853D-BB7E9797A4F5}"/>
            </c:ext>
          </c:extLst>
        </c:ser>
        <c:ser>
          <c:idx val="4"/>
          <c:order val="4"/>
          <c:tx>
            <c:strRef>
              <c:f>'Sensitivity Analysis'!$AH$215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Analysis'!$AI$215:$AK$215</c:f>
              <c:numCache>
                <c:formatCode>General</c:formatCode>
                <c:ptCount val="3"/>
                <c:pt idx="0">
                  <c:v>0.220140494186055</c:v>
                </c:pt>
                <c:pt idx="1">
                  <c:v>0.31095290749404603</c:v>
                </c:pt>
                <c:pt idx="2">
                  <c:v>0.20622565441725399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F8B-466F-853D-BB7E9797A4F5}"/>
            </c:ext>
          </c:extLst>
        </c:ser>
        <c:ser>
          <c:idx val="5"/>
          <c:order val="5"/>
          <c:tx>
            <c:strRef>
              <c:f>'Sensitivity Analysis'!$AH$216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Analysis'!$AI$216:$AK$216</c:f>
              <c:numCache>
                <c:formatCode>General</c:formatCode>
                <c:ptCount val="3"/>
                <c:pt idx="0">
                  <c:v>0.43310042020155298</c:v>
                </c:pt>
                <c:pt idx="1">
                  <c:v>0.33824752560320298</c:v>
                </c:pt>
                <c:pt idx="2">
                  <c:v>0.39788967079321402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F8B-466F-853D-BB7E9797A4F5}"/>
            </c:ext>
          </c:extLst>
        </c:ser>
        <c:ser>
          <c:idx val="6"/>
          <c:order val="6"/>
          <c:tx>
            <c:strRef>
              <c:f>'Sensitivity Analysis'!$AH$217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Analysis'!$AI$217:$AK$217</c:f>
              <c:numCache>
                <c:formatCode>General</c:formatCode>
                <c:ptCount val="3"/>
                <c:pt idx="0">
                  <c:v>1.0615189057064101</c:v>
                </c:pt>
                <c:pt idx="1">
                  <c:v>0.87018343684803801</c:v>
                </c:pt>
                <c:pt idx="2">
                  <c:v>1.0072956849207699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F8B-466F-853D-BB7E9797A4F5}"/>
            </c:ext>
          </c:extLst>
        </c:ser>
        <c:ser>
          <c:idx val="7"/>
          <c:order val="7"/>
          <c:tx>
            <c:strRef>
              <c:f>'Sensitivity Analysis'!$AH$218</c:f>
              <c:strCache>
                <c:ptCount val="1"/>
                <c:pt idx="0">
                  <c:v>Dehumidification (Electric)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Analysis'!$AI$218:$AK$218</c:f>
              <c:numCache>
                <c:formatCode>General</c:formatCode>
                <c:ptCount val="3"/>
                <c:pt idx="0">
                  <c:v>1268.02241525661</c:v>
                </c:pt>
                <c:pt idx="1">
                  <c:v>1249.2624647979101</c:v>
                </c:pt>
                <c:pt idx="2">
                  <c:v>1257.0976362246199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F8B-466F-853D-BB7E9797A4F5}"/>
            </c:ext>
          </c:extLst>
        </c:ser>
        <c:ser>
          <c:idx val="8"/>
          <c:order val="8"/>
          <c:tx>
            <c:strRef>
              <c:f>'Sensitivity Analysis'!$AH$219</c:f>
              <c:strCache>
                <c:ptCount val="1"/>
                <c:pt idx="0">
                  <c:v>Dehumidification Reheat (NG)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Analysis'!$AI$219:$AK$219</c:f>
              <c:numCache>
                <c:formatCode>General</c:formatCode>
                <c:ptCount val="3"/>
                <c:pt idx="0">
                  <c:v>767.40604297318998</c:v>
                </c:pt>
                <c:pt idx="1">
                  <c:v>711.67709292476604</c:v>
                </c:pt>
                <c:pt idx="2">
                  <c:v>735.33121511597597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F8B-466F-853D-BB7E9797A4F5}"/>
            </c:ext>
          </c:extLst>
        </c:ser>
        <c:ser>
          <c:idx val="9"/>
          <c:order val="9"/>
          <c:tx>
            <c:strRef>
              <c:f>'Sensitivity Analysis'!$AH$220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Analysis'!$AI$220:$AK$220</c:f>
              <c:numCache>
                <c:formatCode>General</c:formatCode>
                <c:ptCount val="3"/>
                <c:pt idx="0">
                  <c:v>791.12827322319799</c:v>
                </c:pt>
                <c:pt idx="1">
                  <c:v>791.12827322319799</c:v>
                </c:pt>
                <c:pt idx="2">
                  <c:v>791.12827322319799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F8B-466F-853D-BB7E9797A4F5}"/>
            </c:ext>
          </c:extLst>
        </c:ser>
        <c:ser>
          <c:idx val="10"/>
          <c:order val="10"/>
          <c:tx>
            <c:strRef>
              <c:f>'Sensitivity Analysis'!$AH$221</c:f>
              <c:strCache>
                <c:ptCount val="1"/>
                <c:pt idx="0">
                  <c:v>Water for Plants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Analysis'!$AI$221:$AK$221</c:f>
              <c:numCache>
                <c:formatCode>General</c:formatCode>
                <c:ptCount val="3"/>
                <c:pt idx="0">
                  <c:v>0.83282183482934602</c:v>
                </c:pt>
                <c:pt idx="1">
                  <c:v>0.83282183482934602</c:v>
                </c:pt>
                <c:pt idx="2">
                  <c:v>0.83282183482934602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F8B-466F-853D-BB7E9797A4F5}"/>
            </c:ext>
          </c:extLst>
        </c:ser>
        <c:ser>
          <c:idx val="11"/>
          <c:order val="11"/>
          <c:tx>
            <c:strRef>
              <c:f>'Sensitivity Analysis'!$AH$226</c:f>
              <c:strCache>
                <c:ptCount val="1"/>
                <c:pt idx="0">
                  <c:v>Irrigation Pumping Load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Analysis'!$AI$226:$AK$226</c:f>
              <c:numCache>
                <c:formatCode>General</c:formatCode>
                <c:ptCount val="3"/>
                <c:pt idx="0">
                  <c:v>0.51046553661137395</c:v>
                </c:pt>
                <c:pt idx="1">
                  <c:v>0.51046553661137395</c:v>
                </c:pt>
                <c:pt idx="2">
                  <c:v>0.51046553661137395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F8B-466F-853D-BB7E9797A4F5}"/>
            </c:ext>
          </c:extLst>
        </c:ser>
        <c:ser>
          <c:idx val="12"/>
          <c:order val="12"/>
          <c:tx>
            <c:strRef>
              <c:f>'Sensitivity Analysis'!$AH$227</c:f>
              <c:strCache>
                <c:ptCount val="1"/>
                <c:pt idx="0">
                  <c:v>Water Heating Load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Analysis'!$AI$227:$AK$227</c:f>
              <c:numCache>
                <c:formatCode>General</c:formatCode>
                <c:ptCount val="3"/>
                <c:pt idx="0">
                  <c:v>0.67632294730210296</c:v>
                </c:pt>
                <c:pt idx="1">
                  <c:v>0.67632294730210296</c:v>
                </c:pt>
                <c:pt idx="2">
                  <c:v>0.67632294730210296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F8B-466F-853D-BB7E9797A4F5}"/>
            </c:ext>
          </c:extLst>
        </c:ser>
        <c:ser>
          <c:idx val="13"/>
          <c:order val="13"/>
          <c:tx>
            <c:strRef>
              <c:f>'Sensitivity Analysis'!$AH$228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Analysis'!$AI$228:$AK$228</c:f>
              <c:numCache>
                <c:formatCode>General</c:formatCode>
                <c:ptCount val="3"/>
                <c:pt idx="0">
                  <c:v>730.25861232998102</c:v>
                </c:pt>
                <c:pt idx="1">
                  <c:v>730.25861232998102</c:v>
                </c:pt>
                <c:pt idx="2">
                  <c:v>730.25861232998102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F8B-466F-853D-BB7E9797A4F5}"/>
            </c:ext>
          </c:extLst>
        </c:ser>
        <c:ser>
          <c:idx val="14"/>
          <c:order val="14"/>
          <c:tx>
            <c:strRef>
              <c:f>'Sensitivity Analysis'!$AH$229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Analysis'!$AI$229:$AK$229</c:f>
              <c:numCache>
                <c:formatCode>General</c:formatCode>
                <c:ptCount val="3"/>
                <c:pt idx="0">
                  <c:v>0.93185398827924704</c:v>
                </c:pt>
                <c:pt idx="1">
                  <c:v>0.93185398827924704</c:v>
                </c:pt>
                <c:pt idx="2">
                  <c:v>0.93185398827924704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F8B-466F-853D-BB7E9797A4F5}"/>
            </c:ext>
          </c:extLst>
        </c:ser>
        <c:ser>
          <c:idx val="15"/>
          <c:order val="15"/>
          <c:tx>
            <c:strRef>
              <c:f>'Sensitivity Analysis'!$AH$230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Analysis'!$AI$230:$AK$230</c:f>
              <c:numCache>
                <c:formatCode>General</c:formatCode>
                <c:ptCount val="3"/>
                <c:pt idx="0">
                  <c:v>0.45626567994675898</c:v>
                </c:pt>
                <c:pt idx="1">
                  <c:v>0.45626567994675898</c:v>
                </c:pt>
                <c:pt idx="2">
                  <c:v>0.45626567994675898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F8B-466F-853D-BB7E9797A4F5}"/>
            </c:ext>
          </c:extLst>
        </c:ser>
        <c:ser>
          <c:idx val="16"/>
          <c:order val="16"/>
          <c:tx>
            <c:strRef>
              <c:f>'Sensitivity Analysis'!$AH$231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Analysis'!$AI$231:$AK$231</c:f>
              <c:numCache>
                <c:formatCode>General</c:formatCode>
                <c:ptCount val="3"/>
                <c:pt idx="0">
                  <c:v>8.3979425290828594E-2</c:v>
                </c:pt>
                <c:pt idx="1">
                  <c:v>8.3979425290828594E-2</c:v>
                </c:pt>
                <c:pt idx="2">
                  <c:v>8.3979425290828594E-2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F8B-466F-853D-BB7E9797A4F5}"/>
            </c:ext>
          </c:extLst>
        </c:ser>
        <c:ser>
          <c:idx val="17"/>
          <c:order val="17"/>
          <c:tx>
            <c:strRef>
              <c:f>'Sensitivity Analysis'!$AH$232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Analysis'!$AI$232:$AK$232</c:f>
              <c:numCache>
                <c:formatCode>General</c:formatCode>
                <c:ptCount val="3"/>
                <c:pt idx="0">
                  <c:v>1.7325455336758899</c:v>
                </c:pt>
                <c:pt idx="1">
                  <c:v>1.7325455336758899</c:v>
                </c:pt>
                <c:pt idx="2">
                  <c:v>1.7325455336758899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F8B-466F-853D-BB7E9797A4F5}"/>
            </c:ext>
          </c:extLst>
        </c:ser>
        <c:ser>
          <c:idx val="18"/>
          <c:order val="18"/>
          <c:tx>
            <c:strRef>
              <c:f>'Sensitivity Analysis'!$AH$233</c:f>
              <c:strCache>
                <c:ptCount val="1"/>
                <c:pt idx="0">
                  <c:v>Soil Amendments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Analysis'!$AI$233:$AK$233</c:f>
              <c:numCache>
                <c:formatCode>General</c:formatCode>
                <c:ptCount val="3"/>
                <c:pt idx="0">
                  <c:v>59.259947853335198</c:v>
                </c:pt>
                <c:pt idx="1">
                  <c:v>59.259947853335198</c:v>
                </c:pt>
                <c:pt idx="2">
                  <c:v>59.259947853335198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F8B-466F-853D-BB7E9797A4F5}"/>
            </c:ext>
          </c:extLst>
        </c:ser>
        <c:ser>
          <c:idx val="19"/>
          <c:order val="19"/>
          <c:tx>
            <c:strRef>
              <c:f>'Sensitivity Analysis'!$AH$235</c:f>
              <c:strCache>
                <c:ptCount val="1"/>
                <c:pt idx="0">
                  <c:v>Neem Oil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Analysis'!$AI$235:$AK$235</c:f>
              <c:numCache>
                <c:formatCode>General</c:formatCode>
                <c:ptCount val="3"/>
                <c:pt idx="0">
                  <c:v>0.539571426439167</c:v>
                </c:pt>
                <c:pt idx="1">
                  <c:v>0.539571426439167</c:v>
                </c:pt>
                <c:pt idx="2">
                  <c:v>0.539571426439167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F8B-466F-853D-BB7E9797A4F5}"/>
            </c:ext>
          </c:extLst>
        </c:ser>
        <c:ser>
          <c:idx val="20"/>
          <c:order val="20"/>
          <c:tx>
            <c:strRef>
              <c:f>'Sensitivity Analysis'!$AH$236</c:f>
              <c:strCache>
                <c:ptCount val="1"/>
                <c:pt idx="0">
                  <c:v>Neem Oil (water)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Analysis'!$AI$236:$AK$236</c:f>
              <c:numCache>
                <c:formatCode>General</c:formatCode>
                <c:ptCount val="3"/>
                <c:pt idx="0">
                  <c:v>3.6083076300269501E-3</c:v>
                </c:pt>
                <c:pt idx="1">
                  <c:v>3.6083076300269501E-3</c:v>
                </c:pt>
                <c:pt idx="2">
                  <c:v>3.6083076300269501E-3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F8B-466F-853D-BB7E9797A4F5}"/>
            </c:ext>
          </c:extLst>
        </c:ser>
        <c:ser>
          <c:idx val="21"/>
          <c:order val="21"/>
          <c:tx>
            <c:strRef>
              <c:f>'Sensitivity Analysis'!$AH$237</c:f>
              <c:strCache>
                <c:ptCount val="1"/>
                <c:pt idx="0">
                  <c:v>Neem Oil (Soap)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Analysis'!$AI$237:$AK$237</c:f>
              <c:numCache>
                <c:formatCode>General</c:formatCode>
                <c:ptCount val="3"/>
                <c:pt idx="0">
                  <c:v>8.7239995843643101E-2</c:v>
                </c:pt>
                <c:pt idx="1">
                  <c:v>8.7239995843643101E-2</c:v>
                </c:pt>
                <c:pt idx="2">
                  <c:v>8.7239995843643101E-2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F8B-466F-853D-BB7E9797A4F5}"/>
            </c:ext>
          </c:extLst>
        </c:ser>
        <c:ser>
          <c:idx val="22"/>
          <c:order val="22"/>
          <c:tx>
            <c:strRef>
              <c:f>'Sensitivity Analysis'!$AH$238</c:f>
              <c:strCache>
                <c:ptCount val="1"/>
                <c:pt idx="0">
                  <c:v>Fungicides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Analysis'!$AI$238:$AK$238</c:f>
              <c:numCache>
                <c:formatCode>General</c:formatCode>
                <c:ptCount val="3"/>
                <c:pt idx="0">
                  <c:v>7.3918207234744404</c:v>
                </c:pt>
                <c:pt idx="1">
                  <c:v>7.3918207234744404</c:v>
                </c:pt>
                <c:pt idx="2">
                  <c:v>7.3918207234744404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F8B-466F-853D-BB7E9797A4F5}"/>
            </c:ext>
          </c:extLst>
        </c:ser>
        <c:ser>
          <c:idx val="23"/>
          <c:order val="23"/>
          <c:tx>
            <c:strRef>
              <c:f>'Sensitivity Analysis'!$AH$239</c:f>
              <c:strCache>
                <c:ptCount val="1"/>
                <c:pt idx="0">
                  <c:v>Extractor Fan Electricity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Analysis'!$AI$239:$AK$239</c:f>
              <c:numCache>
                <c:formatCode>General</c:formatCode>
                <c:ptCount val="3"/>
                <c:pt idx="0">
                  <c:v>51.770824548788497</c:v>
                </c:pt>
                <c:pt idx="1">
                  <c:v>51.770824548788497</c:v>
                </c:pt>
                <c:pt idx="2">
                  <c:v>51.770824548788497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F8B-466F-853D-BB7E9797A4F5}"/>
            </c:ext>
          </c:extLst>
        </c:ser>
        <c:ser>
          <c:idx val="24"/>
          <c:order val="24"/>
          <c:tx>
            <c:strRef>
              <c:f>'Sensitivity Analysis'!$AH$240</c:f>
              <c:strCache>
                <c:ptCount val="1"/>
                <c:pt idx="0">
                  <c:v>Intake Fan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Analysis'!$AI$240:$AK$240</c:f>
              <c:numCache>
                <c:formatCode>General</c:formatCode>
                <c:ptCount val="3"/>
                <c:pt idx="0">
                  <c:v>51.770824548788497</c:v>
                </c:pt>
                <c:pt idx="1">
                  <c:v>51.770824548788497</c:v>
                </c:pt>
                <c:pt idx="2">
                  <c:v>51.770824548788497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F8B-466F-853D-BB7E9797A4F5}"/>
            </c:ext>
          </c:extLst>
        </c:ser>
        <c:ser>
          <c:idx val="25"/>
          <c:order val="25"/>
          <c:tx>
            <c:strRef>
              <c:f>'Sensitivity Analysis'!$AH$241</c:f>
              <c:strCache>
                <c:ptCount val="1"/>
                <c:pt idx="0">
                  <c:v>Circulation Fan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Analysis'!$AI$241:$AK$241</c:f>
              <c:numCache>
                <c:formatCode>General</c:formatCode>
                <c:ptCount val="3"/>
                <c:pt idx="0">
                  <c:v>64.508744573048403</c:v>
                </c:pt>
                <c:pt idx="1">
                  <c:v>64.508744573048403</c:v>
                </c:pt>
                <c:pt idx="2">
                  <c:v>64.508744573048403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F8B-466F-853D-BB7E9797A4F5}"/>
            </c:ext>
          </c:extLst>
        </c:ser>
        <c:ser>
          <c:idx val="26"/>
          <c:order val="26"/>
          <c:tx>
            <c:strRef>
              <c:f>'Sensitivity Analysis'!$AH$242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Analysis'!$AI$242:$AK$242</c:f>
              <c:numCache>
                <c:formatCode>General</c:formatCode>
                <c:ptCount val="3"/>
                <c:pt idx="0">
                  <c:v>0.60331251117064499</c:v>
                </c:pt>
                <c:pt idx="1">
                  <c:v>0.60331251117064499</c:v>
                </c:pt>
                <c:pt idx="2">
                  <c:v>0.60331251117064499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F8B-466F-853D-BB7E9797A4F5}"/>
            </c:ext>
          </c:extLst>
        </c:ser>
        <c:ser>
          <c:idx val="27"/>
          <c:order val="27"/>
          <c:tx>
            <c:strRef>
              <c:f>'Sensitivity Analysis'!$AH$243</c:f>
              <c:strCache>
                <c:ptCount val="1"/>
                <c:pt idx="0">
                  <c:v>Secondary Air Conditioning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Analysis'!$AI$243:$AK$243</c:f>
              <c:numCache>
                <c:formatCode>General</c:formatCode>
                <c:ptCount val="3"/>
                <c:pt idx="0">
                  <c:v>65.410414164617706</c:v>
                </c:pt>
                <c:pt idx="1">
                  <c:v>64.908554619258396</c:v>
                </c:pt>
                <c:pt idx="2">
                  <c:v>65.159486023636205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F8B-466F-853D-BB7E9797A4F5}"/>
            </c:ext>
          </c:extLst>
        </c:ser>
        <c:ser>
          <c:idx val="28"/>
          <c:order val="28"/>
          <c:tx>
            <c:strRef>
              <c:f>'Sensitivity Analysis'!$AH$245</c:f>
              <c:strCache>
                <c:ptCount val="1"/>
                <c:pt idx="0">
                  <c:v>Secondary Dehumidification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Analysis'!$AI$245:$AK$245</c:f>
              <c:numCache>
                <c:formatCode>General</c:formatCode>
                <c:ptCount val="3"/>
                <c:pt idx="0">
                  <c:v>433.05373553626401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F8B-466F-853D-BB7E9797A4F5}"/>
            </c:ext>
          </c:extLst>
        </c:ser>
        <c:ser>
          <c:idx val="29"/>
          <c:order val="29"/>
          <c:tx>
            <c:strRef>
              <c:f>'Sensitivity Analysis'!$AH$246</c:f>
              <c:strCache>
                <c:ptCount val="1"/>
                <c:pt idx="0">
                  <c:v>Secondary Heating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Analysis'!$AI$210:$AK$210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Analysis'!$AI$246:$AK$246</c:f>
              <c:numCache>
                <c:formatCode>General</c:formatCode>
                <c:ptCount val="3"/>
                <c:pt idx="0">
                  <c:v>0.114603953104349</c:v>
                </c:pt>
                <c:pt idx="1">
                  <c:v>0.11826667772130001</c:v>
                </c:pt>
                <c:pt idx="2">
                  <c:v>0.11577019876518201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F8B-466F-853D-BB7E9797A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991391"/>
        <c:axId val="562994719"/>
      </c:barChart>
      <c:catAx>
        <c:axId val="5629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4719"/>
        <c:crosses val="autoZero"/>
        <c:auto val="1"/>
        <c:lblAlgn val="ctr"/>
        <c:lblOffset val="100"/>
        <c:noMultiLvlLbl val="0"/>
      </c:catAx>
      <c:valAx>
        <c:axId val="562994719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GWP (kg CO2e/kg-bud)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GWP for Temperature Scenarios (Denver, CO)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'Sensitivity Analysis'!$AH$163</c:f>
              <c:strCache>
                <c:ptCount val="1"/>
                <c:pt idx="0">
                  <c:v>Simple Heating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Analysis'!$AI$163:$AK$163</c:f>
              <c:numCache>
                <c:formatCode>General</c:formatCode>
                <c:ptCount val="3"/>
                <c:pt idx="0">
                  <c:v>144.88949296824401</c:v>
                </c:pt>
                <c:pt idx="1">
                  <c:v>156.244189412781</c:v>
                </c:pt>
                <c:pt idx="2">
                  <c:v>151.15464485804401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D-4DED-8C80-930B44027FB8}"/>
            </c:ext>
          </c:extLst>
        </c:ser>
        <c:ser>
          <c:idx val="1"/>
          <c:order val="1"/>
          <c:tx>
            <c:strRef>
              <c:f>'Sensitivity Analysis'!$AH$164</c:f>
              <c:strCache>
                <c:ptCount val="1"/>
                <c:pt idx="0">
                  <c:v>Simple Cooling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Analysis'!$AI$164:$AK$164</c:f>
              <c:numCache>
                <c:formatCode>General</c:formatCode>
                <c:ptCount val="3"/>
                <c:pt idx="0">
                  <c:v>13.142675114318299</c:v>
                </c:pt>
                <c:pt idx="1">
                  <c:v>13.511751262140599</c:v>
                </c:pt>
                <c:pt idx="2">
                  <c:v>13.092434025286799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D-4DED-8C80-930B44027FB8}"/>
            </c:ext>
          </c:extLst>
        </c:ser>
        <c:ser>
          <c:idx val="2"/>
          <c:order val="2"/>
          <c:tx>
            <c:strRef>
              <c:f>'Sensitivity Analysis'!$AH$165</c:f>
              <c:strCache>
                <c:ptCount val="1"/>
                <c:pt idx="0">
                  <c:v>Heating (Heat+Hum)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Analysis'!$AI$165:$AK$165</c:f>
              <c:numCache>
                <c:formatCode>General</c:formatCode>
                <c:ptCount val="3"/>
                <c:pt idx="0">
                  <c:v>994.07294755585895</c:v>
                </c:pt>
                <c:pt idx="1">
                  <c:v>949.49997747506404</c:v>
                </c:pt>
                <c:pt idx="2">
                  <c:v>970.58721720450399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D-4DED-8C80-930B44027FB8}"/>
            </c:ext>
          </c:extLst>
        </c:ser>
        <c:ser>
          <c:idx val="3"/>
          <c:order val="3"/>
          <c:tx>
            <c:strRef>
              <c:f>'Sensitivity Analysis'!$AH$166</c:f>
              <c:strCache>
                <c:ptCount val="1"/>
                <c:pt idx="0">
                  <c:v>Humidification (Heat+Hum)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Analysis'!$AI$166:$AK$166</c:f>
              <c:numCache>
                <c:formatCode>General</c:formatCode>
                <c:ptCount val="3"/>
                <c:pt idx="0">
                  <c:v>625.901127508478</c:v>
                </c:pt>
                <c:pt idx="1">
                  <c:v>584.28827824227801</c:v>
                </c:pt>
                <c:pt idx="2">
                  <c:v>606.116387496828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D-4DED-8C80-930B44027FB8}"/>
            </c:ext>
          </c:extLst>
        </c:ser>
        <c:ser>
          <c:idx val="4"/>
          <c:order val="4"/>
          <c:tx>
            <c:strRef>
              <c:f>'Sensitivity Analysis'!$AH$167</c:f>
              <c:strCache>
                <c:ptCount val="1"/>
                <c:pt idx="0">
                  <c:v>Humidification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Analysis'!$AI$167:$AK$167</c:f>
              <c:numCache>
                <c:formatCode>General</c:formatCode>
                <c:ptCount val="3"/>
                <c:pt idx="0">
                  <c:v>11.5548059992457</c:v>
                </c:pt>
                <c:pt idx="1">
                  <c:v>16.847070308370199</c:v>
                </c:pt>
                <c:pt idx="2">
                  <c:v>11.478940588362599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CD-4DED-8C80-930B44027FB8}"/>
            </c:ext>
          </c:extLst>
        </c:ser>
        <c:ser>
          <c:idx val="5"/>
          <c:order val="5"/>
          <c:tx>
            <c:strRef>
              <c:f>'Sensitivity Analysis'!$AH$168</c:f>
              <c:strCache>
                <c:ptCount val="1"/>
                <c:pt idx="0">
                  <c:v>Humidification (Hum+Cool)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Analysis'!$AI$168:$AK$168</c:f>
              <c:numCache>
                <c:formatCode>General</c:formatCode>
                <c:ptCount val="3"/>
                <c:pt idx="0">
                  <c:v>18.986045049698799</c:v>
                </c:pt>
                <c:pt idx="1">
                  <c:v>14.1191739512295</c:v>
                </c:pt>
                <c:pt idx="2">
                  <c:v>17.8804765050286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CD-4DED-8C80-930B44027FB8}"/>
            </c:ext>
          </c:extLst>
        </c:ser>
        <c:ser>
          <c:idx val="6"/>
          <c:order val="6"/>
          <c:tx>
            <c:strRef>
              <c:f>'Sensitivity Analysis'!$AH$169</c:f>
              <c:strCache>
                <c:ptCount val="1"/>
                <c:pt idx="0">
                  <c:v>Cooling (Hum+Cool)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Analysis'!$AI$169:$AK$169</c:f>
              <c:numCache>
                <c:formatCode>General</c:formatCode>
                <c:ptCount val="3"/>
                <c:pt idx="0">
                  <c:v>65.072735945477703</c:v>
                </c:pt>
                <c:pt idx="1">
                  <c:v>54.878692594464702</c:v>
                </c:pt>
                <c:pt idx="2">
                  <c:v>62.003546583126798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CD-4DED-8C80-930B44027FB8}"/>
            </c:ext>
          </c:extLst>
        </c:ser>
        <c:ser>
          <c:idx val="7"/>
          <c:order val="7"/>
          <c:tx>
            <c:strRef>
              <c:f>'Sensitivity Analysis'!$AH$170</c:f>
              <c:strCache>
                <c:ptCount val="1"/>
                <c:pt idx="0">
                  <c:v>Dehumidification (Electric)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Analysis'!$AI$170:$AK$170</c:f>
              <c:numCache>
                <c:formatCode>General</c:formatCode>
                <c:ptCount val="3"/>
                <c:pt idx="0">
                  <c:v>32.471477082251603</c:v>
                </c:pt>
                <c:pt idx="1">
                  <c:v>26.509829194956598</c:v>
                </c:pt>
                <c:pt idx="2">
                  <c:v>31.790665212800199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CD-4DED-8C80-930B44027FB8}"/>
            </c:ext>
          </c:extLst>
        </c:ser>
        <c:ser>
          <c:idx val="8"/>
          <c:order val="8"/>
          <c:tx>
            <c:strRef>
              <c:f>'Sensitivity Analysis'!$AH$171</c:f>
              <c:strCache>
                <c:ptCount val="1"/>
                <c:pt idx="0">
                  <c:v>Dehumidification Reheat (NG)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Analysis'!$AI$171:$AK$171</c:f>
              <c:numCache>
                <c:formatCode>General</c:formatCode>
                <c:ptCount val="3"/>
                <c:pt idx="0">
                  <c:v>25.755425140096602</c:v>
                </c:pt>
                <c:pt idx="1">
                  <c:v>18.766228767659701</c:v>
                </c:pt>
                <c:pt idx="2">
                  <c:v>24.435379809594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CD-4DED-8C80-930B44027FB8}"/>
            </c:ext>
          </c:extLst>
        </c:ser>
        <c:ser>
          <c:idx val="9"/>
          <c:order val="9"/>
          <c:tx>
            <c:strRef>
              <c:f>'Sensitivity Analysis'!$AH$172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Analysis'!$AI$172:$AK$172</c:f>
              <c:numCache>
                <c:formatCode>General</c:formatCode>
                <c:ptCount val="3"/>
                <c:pt idx="0">
                  <c:v>1071.68043816161</c:v>
                </c:pt>
                <c:pt idx="1">
                  <c:v>1071.68043816161</c:v>
                </c:pt>
                <c:pt idx="2">
                  <c:v>1071.68043816161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CD-4DED-8C80-930B44027FB8}"/>
            </c:ext>
          </c:extLst>
        </c:ser>
        <c:ser>
          <c:idx val="10"/>
          <c:order val="10"/>
          <c:tx>
            <c:strRef>
              <c:f>'Sensitivity Analysis'!$AH$173</c:f>
              <c:strCache>
                <c:ptCount val="1"/>
                <c:pt idx="0">
                  <c:v>Water for Plants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Analysis'!$AI$173:$AK$173</c:f>
              <c:numCache>
                <c:formatCode>General</c:formatCode>
                <c:ptCount val="3"/>
                <c:pt idx="0">
                  <c:v>0.83282183482934602</c:v>
                </c:pt>
                <c:pt idx="1">
                  <c:v>0.83282183482934602</c:v>
                </c:pt>
                <c:pt idx="2">
                  <c:v>0.83282183482934602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CD-4DED-8C80-930B44027FB8}"/>
            </c:ext>
          </c:extLst>
        </c:ser>
        <c:ser>
          <c:idx val="11"/>
          <c:order val="11"/>
          <c:tx>
            <c:strRef>
              <c:f>'Sensitivity Analysis'!$AH$174</c:f>
              <c:strCache>
                <c:ptCount val="1"/>
                <c:pt idx="0">
                  <c:v>Irrigation Pumping Load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Analysis'!$AI$174:$AK$174</c:f>
              <c:numCache>
                <c:formatCode>General</c:formatCode>
                <c:ptCount val="3"/>
                <c:pt idx="0">
                  <c:v>0.69148828130396001</c:v>
                </c:pt>
                <c:pt idx="1">
                  <c:v>0.69148828130396001</c:v>
                </c:pt>
                <c:pt idx="2">
                  <c:v>0.69148828130396001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CD-4DED-8C80-930B44027FB8}"/>
            </c:ext>
          </c:extLst>
        </c:ser>
        <c:ser>
          <c:idx val="12"/>
          <c:order val="12"/>
          <c:tx>
            <c:strRef>
              <c:f>'Sensitivity Analysis'!$AH$175</c:f>
              <c:strCache>
                <c:ptCount val="1"/>
                <c:pt idx="0">
                  <c:v>Water Heating Load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Analysis'!$AI$175:$AK$175</c:f>
              <c:numCache>
                <c:formatCode>General</c:formatCode>
                <c:ptCount val="3"/>
                <c:pt idx="0">
                  <c:v>0.91616252008096899</c:v>
                </c:pt>
                <c:pt idx="1">
                  <c:v>0.91616252008096899</c:v>
                </c:pt>
                <c:pt idx="2">
                  <c:v>0.91616252008096899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CD-4DED-8C80-930B44027FB8}"/>
            </c:ext>
          </c:extLst>
        </c:ser>
        <c:ser>
          <c:idx val="13"/>
          <c:order val="13"/>
          <c:tx>
            <c:strRef>
              <c:f>'Sensitivity Analysis'!$AH$176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Analysis'!$AI$176:$AK$176</c:f>
              <c:numCache>
                <c:formatCode>General</c:formatCode>
                <c:ptCount val="3"/>
                <c:pt idx="0">
                  <c:v>730.25861232998102</c:v>
                </c:pt>
                <c:pt idx="1">
                  <c:v>730.25861232998102</c:v>
                </c:pt>
                <c:pt idx="2">
                  <c:v>730.25861232998102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2CD-4DED-8C80-930B44027FB8}"/>
            </c:ext>
          </c:extLst>
        </c:ser>
        <c:ser>
          <c:idx val="14"/>
          <c:order val="14"/>
          <c:tx>
            <c:strRef>
              <c:f>'Sensitivity Analysis'!$AH$177</c:f>
              <c:strCache>
                <c:ptCount val="1"/>
                <c:pt idx="0">
                  <c:v>Ammonium Nitrate (N)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Analysis'!$AI$177:$AK$177</c:f>
              <c:numCache>
                <c:formatCode>General</c:formatCode>
                <c:ptCount val="3"/>
                <c:pt idx="0">
                  <c:v>0.93185398827924704</c:v>
                </c:pt>
                <c:pt idx="1">
                  <c:v>0.93185398827924704</c:v>
                </c:pt>
                <c:pt idx="2">
                  <c:v>0.93185398827924704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2CD-4DED-8C80-930B44027FB8}"/>
            </c:ext>
          </c:extLst>
        </c:ser>
        <c:ser>
          <c:idx val="15"/>
          <c:order val="15"/>
          <c:tx>
            <c:strRef>
              <c:f>'Sensitivity Analysis'!$AH$178</c:f>
              <c:strCache>
                <c:ptCount val="1"/>
                <c:pt idx="0">
                  <c:v>Triple Superphosphate (P)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Analysis'!$AI$178:$AK$178</c:f>
              <c:numCache>
                <c:formatCode>General</c:formatCode>
                <c:ptCount val="3"/>
                <c:pt idx="0">
                  <c:v>0.45626567994675898</c:v>
                </c:pt>
                <c:pt idx="1">
                  <c:v>0.45626567994675898</c:v>
                </c:pt>
                <c:pt idx="2">
                  <c:v>0.45626567994675898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2CD-4DED-8C80-930B44027FB8}"/>
            </c:ext>
          </c:extLst>
        </c:ser>
        <c:ser>
          <c:idx val="16"/>
          <c:order val="16"/>
          <c:tx>
            <c:strRef>
              <c:f>'Sensitivity Analysis'!$AH$179</c:f>
              <c:strCache>
                <c:ptCount val="1"/>
                <c:pt idx="0">
                  <c:v>Potassium Chloride (K)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Analysis'!$AI$179:$AK$179</c:f>
              <c:numCache>
                <c:formatCode>General</c:formatCode>
                <c:ptCount val="3"/>
                <c:pt idx="0">
                  <c:v>8.3979425290828594E-2</c:v>
                </c:pt>
                <c:pt idx="1">
                  <c:v>8.3979425290828594E-2</c:v>
                </c:pt>
                <c:pt idx="2">
                  <c:v>8.3979425290828594E-2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2CD-4DED-8C80-930B44027FB8}"/>
            </c:ext>
          </c:extLst>
        </c:ser>
        <c:ser>
          <c:idx val="17"/>
          <c:order val="17"/>
          <c:tx>
            <c:strRef>
              <c:f>'Sensitivity Analysis'!$AH$180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Analysis'!$AI$180:$AK$180</c:f>
              <c:numCache>
                <c:formatCode>General</c:formatCode>
                <c:ptCount val="3"/>
                <c:pt idx="0">
                  <c:v>1.7325455336758899</c:v>
                </c:pt>
                <c:pt idx="1">
                  <c:v>1.7325455336758899</c:v>
                </c:pt>
                <c:pt idx="2">
                  <c:v>1.7325455336758899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2CD-4DED-8C80-930B44027FB8}"/>
            </c:ext>
          </c:extLst>
        </c:ser>
        <c:ser>
          <c:idx val="18"/>
          <c:order val="18"/>
          <c:tx>
            <c:strRef>
              <c:f>'Sensitivity Analysis'!$AH$181</c:f>
              <c:strCache>
                <c:ptCount val="1"/>
                <c:pt idx="0">
                  <c:v>Soil Amendments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Analysis'!$AI$181:$AK$181</c:f>
              <c:numCache>
                <c:formatCode>General</c:formatCode>
                <c:ptCount val="3"/>
                <c:pt idx="0">
                  <c:v>59.259947853335198</c:v>
                </c:pt>
                <c:pt idx="1">
                  <c:v>59.259947853335198</c:v>
                </c:pt>
                <c:pt idx="2">
                  <c:v>59.259947853335198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2CD-4DED-8C80-930B44027FB8}"/>
            </c:ext>
          </c:extLst>
        </c:ser>
        <c:ser>
          <c:idx val="19"/>
          <c:order val="19"/>
          <c:tx>
            <c:strRef>
              <c:f>'Sensitivity Analysis'!$AH$182</c:f>
              <c:strCache>
                <c:ptCount val="1"/>
                <c:pt idx="0">
                  <c:v>Neem Oil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Analysis'!$AI$182:$AK$182</c:f>
              <c:numCache>
                <c:formatCode>General</c:formatCode>
                <c:ptCount val="3"/>
                <c:pt idx="0">
                  <c:v>0.539571426439167</c:v>
                </c:pt>
                <c:pt idx="1">
                  <c:v>0.539571426439167</c:v>
                </c:pt>
                <c:pt idx="2">
                  <c:v>0.539571426439167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2CD-4DED-8C80-930B44027FB8}"/>
            </c:ext>
          </c:extLst>
        </c:ser>
        <c:ser>
          <c:idx val="20"/>
          <c:order val="20"/>
          <c:tx>
            <c:strRef>
              <c:f>'Sensitivity Analysis'!$AH$183</c:f>
              <c:strCache>
                <c:ptCount val="1"/>
                <c:pt idx="0">
                  <c:v>Neem Oil (water)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Analysis'!$AI$183:$AK$183</c:f>
              <c:numCache>
                <c:formatCode>General</c:formatCode>
                <c:ptCount val="3"/>
                <c:pt idx="0">
                  <c:v>3.6083076300269501E-3</c:v>
                </c:pt>
                <c:pt idx="1">
                  <c:v>3.6083076300269501E-3</c:v>
                </c:pt>
                <c:pt idx="2">
                  <c:v>3.6083076300269501E-3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2CD-4DED-8C80-930B44027FB8}"/>
            </c:ext>
          </c:extLst>
        </c:ser>
        <c:ser>
          <c:idx val="21"/>
          <c:order val="21"/>
          <c:tx>
            <c:strRef>
              <c:f>'Sensitivity Analysis'!$AH$184</c:f>
              <c:strCache>
                <c:ptCount val="1"/>
                <c:pt idx="0">
                  <c:v>Neem Oil (Soap)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Analysis'!$AI$184:$AK$184</c:f>
              <c:numCache>
                <c:formatCode>General</c:formatCode>
                <c:ptCount val="3"/>
                <c:pt idx="0">
                  <c:v>8.7239995843643101E-2</c:v>
                </c:pt>
                <c:pt idx="1">
                  <c:v>8.7239995843643101E-2</c:v>
                </c:pt>
                <c:pt idx="2">
                  <c:v>8.7239995843643101E-2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2CD-4DED-8C80-930B44027FB8}"/>
            </c:ext>
          </c:extLst>
        </c:ser>
        <c:ser>
          <c:idx val="22"/>
          <c:order val="22"/>
          <c:tx>
            <c:strRef>
              <c:f>'Sensitivity Analysis'!$AH$185</c:f>
              <c:strCache>
                <c:ptCount val="1"/>
                <c:pt idx="0">
                  <c:v>Fungicides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Analysis'!$AI$185:$AK$185</c:f>
              <c:numCache>
                <c:formatCode>General</c:formatCode>
                <c:ptCount val="3"/>
                <c:pt idx="0">
                  <c:v>7.3918207234744404</c:v>
                </c:pt>
                <c:pt idx="1">
                  <c:v>7.3918207234744404</c:v>
                </c:pt>
                <c:pt idx="2">
                  <c:v>7.3918207234744404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2CD-4DED-8C80-930B44027FB8}"/>
            </c:ext>
          </c:extLst>
        </c:ser>
        <c:ser>
          <c:idx val="23"/>
          <c:order val="23"/>
          <c:tx>
            <c:strRef>
              <c:f>'Sensitivity Analysis'!$AH$186</c:f>
              <c:strCache>
                <c:ptCount val="1"/>
                <c:pt idx="0">
                  <c:v>Extractor Fan Electricity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Analysis'!$AI$186:$AK$186</c:f>
              <c:numCache>
                <c:formatCode>General</c:formatCode>
                <c:ptCount val="3"/>
                <c:pt idx="0">
                  <c:v>70.129942026203807</c:v>
                </c:pt>
                <c:pt idx="1">
                  <c:v>70.129942026203807</c:v>
                </c:pt>
                <c:pt idx="2">
                  <c:v>70.129942026203807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2CD-4DED-8C80-930B44027FB8}"/>
            </c:ext>
          </c:extLst>
        </c:ser>
        <c:ser>
          <c:idx val="24"/>
          <c:order val="24"/>
          <c:tx>
            <c:strRef>
              <c:f>'Sensitivity Analysis'!$AH$187</c:f>
              <c:strCache>
                <c:ptCount val="1"/>
                <c:pt idx="0">
                  <c:v>Intake Fan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Analysis'!$AI$187:$AK$187</c:f>
              <c:numCache>
                <c:formatCode>General</c:formatCode>
                <c:ptCount val="3"/>
                <c:pt idx="0">
                  <c:v>70.129942026203807</c:v>
                </c:pt>
                <c:pt idx="1">
                  <c:v>70.129942026203807</c:v>
                </c:pt>
                <c:pt idx="2">
                  <c:v>70.129942026203807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2CD-4DED-8C80-930B44027FB8}"/>
            </c:ext>
          </c:extLst>
        </c:ser>
        <c:ser>
          <c:idx val="25"/>
          <c:order val="25"/>
          <c:tx>
            <c:strRef>
              <c:f>'Sensitivity Analysis'!$AH$188</c:f>
              <c:strCache>
                <c:ptCount val="1"/>
                <c:pt idx="0">
                  <c:v>Circulation Fan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Analysis'!$AI$188:$AK$188</c:f>
              <c:numCache>
                <c:formatCode>General</c:formatCode>
                <c:ptCount val="3"/>
                <c:pt idx="0">
                  <c:v>87.385019584296799</c:v>
                </c:pt>
                <c:pt idx="1">
                  <c:v>87.385019584296799</c:v>
                </c:pt>
                <c:pt idx="2">
                  <c:v>87.385019584296799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2CD-4DED-8C80-930B44027FB8}"/>
            </c:ext>
          </c:extLst>
        </c:ser>
        <c:ser>
          <c:idx val="26"/>
          <c:order val="26"/>
          <c:tx>
            <c:strRef>
              <c:f>'Sensitivity Analysis'!$AH$189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Analysis'!$AI$189:$AK$189</c:f>
              <c:numCache>
                <c:formatCode>General</c:formatCode>
                <c:ptCount val="3"/>
                <c:pt idx="0">
                  <c:v>0.60331251117064499</c:v>
                </c:pt>
                <c:pt idx="1">
                  <c:v>0.60331251117064499</c:v>
                </c:pt>
                <c:pt idx="2">
                  <c:v>0.60331251117064499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2CD-4DED-8C80-930B44027FB8}"/>
            </c:ext>
          </c:extLst>
        </c:ser>
        <c:ser>
          <c:idx val="27"/>
          <c:order val="27"/>
          <c:tx>
            <c:strRef>
              <c:f>'Sensitivity Analysis'!$AH$190</c:f>
              <c:strCache>
                <c:ptCount val="1"/>
                <c:pt idx="0">
                  <c:v>Secondary Air Conditioning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Analysis'!$AI$190:$AK$190</c:f>
              <c:numCache>
                <c:formatCode>General</c:formatCode>
                <c:ptCount val="3"/>
                <c:pt idx="0">
                  <c:v>80.0078437362682</c:v>
                </c:pt>
                <c:pt idx="1">
                  <c:v>79.320607855256995</c:v>
                </c:pt>
                <c:pt idx="2">
                  <c:v>79.667958504907503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2CD-4DED-8C80-930B44027FB8}"/>
            </c:ext>
          </c:extLst>
        </c:ser>
        <c:ser>
          <c:idx val="28"/>
          <c:order val="28"/>
          <c:tx>
            <c:strRef>
              <c:f>'Sensitivity Analysis'!$AH$191</c:f>
              <c:strCache>
                <c:ptCount val="1"/>
                <c:pt idx="0">
                  <c:v>Secondary Dehumidification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Analysis'!$AI$191:$AK$191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2CD-4DED-8C80-930B44027FB8}"/>
            </c:ext>
          </c:extLst>
        </c:ser>
        <c:ser>
          <c:idx val="29"/>
          <c:order val="29"/>
          <c:tx>
            <c:strRef>
              <c:f>'Sensitivity Analysis'!$AH$192</c:f>
              <c:strCache>
                <c:ptCount val="1"/>
                <c:pt idx="0">
                  <c:v>Secondary Heating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'Sensitivity Analysis'!$AI$162:$AK$162</c:f>
              <c:strCache>
                <c:ptCount val="3"/>
                <c:pt idx="0">
                  <c:v>Temperature Range Shrink 20%</c:v>
                </c:pt>
                <c:pt idx="1">
                  <c:v>Temperature Range Expand 20%</c:v>
                </c:pt>
                <c:pt idx="2">
                  <c:v>Baseline Temperature Values</c:v>
                </c:pt>
              </c:strCache>
            </c:strRef>
          </c:cat>
          <c:val>
            <c:numRef>
              <c:f>'Sensitivity Analysis'!$AI$192:$AK$192</c:f>
              <c:numCache>
                <c:formatCode>General</c:formatCode>
                <c:ptCount val="3"/>
                <c:pt idx="0">
                  <c:v>8.9287948761492704</c:v>
                </c:pt>
                <c:pt idx="1">
                  <c:v>9.4084027848240108</c:v>
                </c:pt>
                <c:pt idx="2">
                  <c:v>9.1704353680592607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2CD-4DED-8C80-930B44027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3885088"/>
        <c:axId val="2043887168"/>
      </c:barChart>
      <c:catAx>
        <c:axId val="204388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87168"/>
        <c:crosses val="autoZero"/>
        <c:auto val="1"/>
        <c:lblAlgn val="ctr"/>
        <c:lblOffset val="100"/>
        <c:noMultiLvlLbl val="0"/>
      </c:catAx>
      <c:valAx>
        <c:axId val="20438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8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500080489938748"/>
          <c:y val="0.10785331295354444"/>
          <c:w val="0.23433252843394575"/>
          <c:h val="0.83599314959484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Miami, FL</a:t>
            </a:r>
          </a:p>
        </c:rich>
      </c:tx>
      <c:layout>
        <c:manualLayout>
          <c:xMode val="edge"/>
          <c:yMode val="edge"/>
          <c:x val="0.418446614173228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983979002624671"/>
          <c:y val="0.18707446449381934"/>
          <c:w val="0.47650687664041996"/>
          <c:h val="0.5886942661136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'Sensitivity Analysis'!$F$268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Analysis'!$F$269:$F$273</c:f>
              <c:numCache>
                <c:formatCode>General</c:formatCode>
                <c:ptCount val="5"/>
                <c:pt idx="0">
                  <c:v>3692.9967652888809</c:v>
                </c:pt>
                <c:pt idx="1">
                  <c:v>3712.7245693150749</c:v>
                </c:pt>
                <c:pt idx="2">
                  <c:v>4902.0060783795061</c:v>
                </c:pt>
                <c:pt idx="3">
                  <c:v>3311.2469103743292</c:v>
                </c:pt>
                <c:pt idx="4" formatCode="0">
                  <c:v>4820.5317133539193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E-417E-BD78-090C74F3F346}"/>
            </c:ext>
          </c:extLst>
        </c:ser>
        <c:ser>
          <c:idx val="1"/>
          <c:order val="1"/>
          <c:tx>
            <c:strRef>
              <c:f>'Sensitivity Analysis'!$H$268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Analysis'!$H$269:$H$273</c:f>
              <c:numCache>
                <c:formatCode>General</c:formatCode>
                <c:ptCount val="5"/>
                <c:pt idx="0">
                  <c:v>3985.1002102208727</c:v>
                </c:pt>
                <c:pt idx="1">
                  <c:v>3965.3724061946778</c:v>
                </c:pt>
                <c:pt idx="2">
                  <c:v>3272.0372757398</c:v>
                </c:pt>
                <c:pt idx="3">
                  <c:v>4406.9388603645057</c:v>
                </c:pt>
                <c:pt idx="4">
                  <c:v>3161.9129308019114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E-417E-BD78-090C74F3F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60"/>
        <c:axId val="2086986959"/>
        <c:axId val="2086990287"/>
      </c:barChart>
      <c:catAx>
        <c:axId val="208698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0287"/>
        <c:crossesAt val="3839.0483999999997"/>
        <c:auto val="1"/>
        <c:lblAlgn val="ctr"/>
        <c:lblOffset val="100"/>
        <c:noMultiLvlLbl val="0"/>
      </c:catAx>
      <c:valAx>
        <c:axId val="2086990287"/>
        <c:scaling>
          <c:orientation val="minMax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30687664041999"/>
          <c:y val="0.8741768161122998"/>
          <c:w val="0.15833972769179708"/>
          <c:h val="0.12582318388770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Denver, CO</a:t>
            </a:r>
          </a:p>
        </c:rich>
      </c:tx>
      <c:layout>
        <c:manualLayout>
          <c:xMode val="edge"/>
          <c:yMode val="edge"/>
          <c:x val="0.418446614173228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983979002624671"/>
          <c:y val="0.18707446449381934"/>
          <c:w val="0.47650687664041996"/>
          <c:h val="0.5886942661136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'Sensitivity Analysis'!$F$268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Analysis'!$F$259:$F$263</c:f>
              <c:numCache>
                <c:formatCode>General</c:formatCode>
                <c:ptCount val="5"/>
                <c:pt idx="0">
                  <c:v>3770.7635529538093</c:v>
                </c:pt>
                <c:pt idx="1">
                  <c:v>3745.6940086847653</c:v>
                </c:pt>
                <c:pt idx="2">
                  <c:v>3772.9909211311483</c:v>
                </c:pt>
                <c:pt idx="3">
                  <c:v>3366.2160909886734</c:v>
                </c:pt>
                <c:pt idx="4">
                  <c:v>3518.8404051435141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1-4526-9BB6-5692864B7761}"/>
            </c:ext>
          </c:extLst>
        </c:ser>
        <c:ser>
          <c:idx val="1"/>
          <c:order val="1"/>
          <c:tx>
            <c:strRef>
              <c:f>'Sensitivity Analysis'!$H$268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Analysis'!$H$259:$H$263</c:f>
              <c:numCache>
                <c:formatCode>General</c:formatCode>
                <c:ptCount val="5"/>
                <c:pt idx="0">
                  <c:v>4062.8669978858011</c:v>
                </c:pt>
                <c:pt idx="1">
                  <c:v>4087.9365421548455</c:v>
                </c:pt>
                <c:pt idx="2">
                  <c:v>4172.1038929493625</c:v>
                </c:pt>
                <c:pt idx="3">
                  <c:v>4463.6202439983663</c:v>
                </c:pt>
                <c:pt idx="4">
                  <c:v>4589.5937182696407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1-4526-9BB6-5692864B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60"/>
        <c:axId val="2086986959"/>
        <c:axId val="2086990287"/>
      </c:barChart>
      <c:catAx>
        <c:axId val="208698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0287"/>
        <c:crossesAt val="3916.8152750000004"/>
        <c:auto val="1"/>
        <c:lblAlgn val="ctr"/>
        <c:lblOffset val="100"/>
        <c:noMultiLvlLbl val="0"/>
      </c:catAx>
      <c:valAx>
        <c:axId val="2086990287"/>
        <c:scaling>
          <c:orientation val="minMax"/>
          <c:max val="4600"/>
          <c:min val="3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30687664041999"/>
          <c:y val="0.8741768161122998"/>
          <c:w val="0.158733079274744"/>
          <c:h val="0.125823419714259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Portland, OR</a:t>
            </a:r>
          </a:p>
        </c:rich>
      </c:tx>
      <c:layout>
        <c:manualLayout>
          <c:xMode val="edge"/>
          <c:yMode val="edge"/>
          <c:x val="0.418446614173228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983979002624671"/>
          <c:y val="0.18707446449381934"/>
          <c:w val="0.47650687664041996"/>
          <c:h val="0.5886942661136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'Sensitivity Analysis'!$F$268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Analysis'!$F$249:$F$253</c:f>
              <c:numCache>
                <c:formatCode>General</c:formatCode>
                <c:ptCount val="5"/>
                <c:pt idx="0">
                  <c:v>2602.5849370821884</c:v>
                </c:pt>
                <c:pt idx="1">
                  <c:v>2667.1752180875151</c:v>
                </c:pt>
                <c:pt idx="2">
                  <c:v>2853.2849962291202</c:v>
                </c:pt>
                <c:pt idx="3">
                  <c:v>2348.4820615768294</c:v>
                </c:pt>
                <c:pt idx="4" formatCode="0">
                  <c:v>2751.100041918633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6-4B98-82C1-8D5080031698}"/>
            </c:ext>
          </c:extLst>
        </c:ser>
        <c:ser>
          <c:idx val="1"/>
          <c:order val="1"/>
          <c:tx>
            <c:strRef>
              <c:f>'Sensitivity Analysis'!$H$268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Analysis'!$H$249:$H$253</c:f>
              <c:numCache>
                <c:formatCode>General</c:formatCode>
                <c:ptCount val="5"/>
                <c:pt idx="0">
                  <c:v>2894.6883820141798</c:v>
                </c:pt>
                <c:pt idx="1">
                  <c:v>2830.0981010088531</c:v>
                </c:pt>
                <c:pt idx="2">
                  <c:v>2857.3716148536041</c:v>
                </c:pt>
                <c:pt idx="3">
                  <c:v>3158.0621198477043</c:v>
                </c:pt>
                <c:pt idx="4">
                  <c:v>3301.5299444542839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6-4B98-82C1-8D508003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60"/>
        <c:axId val="2086986959"/>
        <c:axId val="2086990287"/>
      </c:barChart>
      <c:catAx>
        <c:axId val="208698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0287"/>
        <c:crossesAt val="2748.636"/>
        <c:auto val="1"/>
        <c:lblAlgn val="ctr"/>
        <c:lblOffset val="100"/>
        <c:noMultiLvlLbl val="0"/>
      </c:catAx>
      <c:valAx>
        <c:axId val="2086990287"/>
        <c:scaling>
          <c:orientation val="minMax"/>
          <c:max val="3400"/>
          <c:min val="2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30687664041999"/>
          <c:y val="0.8741768161122998"/>
          <c:w val="0.158733079274744"/>
          <c:h val="0.125823419714259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Portland, ME</a:t>
            </a:r>
          </a:p>
        </c:rich>
      </c:tx>
      <c:layout>
        <c:manualLayout>
          <c:xMode val="edge"/>
          <c:yMode val="edge"/>
          <c:x val="0.418446614173228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983979002624671"/>
          <c:y val="0.18707446449381934"/>
          <c:w val="0.47650687664041996"/>
          <c:h val="0.5886942661136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'Sensitivity Analysis'!$F$268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Analysis'!$F$239:$F$243</c:f>
              <c:numCache>
                <c:formatCode>General</c:formatCode>
                <c:ptCount val="5"/>
                <c:pt idx="0">
                  <c:v>3115.7325152217422</c:v>
                </c:pt>
                <c:pt idx="1">
                  <c:v>3191.719072994832</c:v>
                </c:pt>
                <c:pt idx="2">
                  <c:v>3400.3333925802749</c:v>
                </c:pt>
                <c:pt idx="3">
                  <c:v>2775.0695257053494</c:v>
                </c:pt>
                <c:pt idx="4" formatCode="0">
                  <c:v>3182.0180088471143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D-4E37-A33A-DE591530919D}"/>
            </c:ext>
          </c:extLst>
        </c:ser>
        <c:ser>
          <c:idx val="1"/>
          <c:order val="1"/>
          <c:tx>
            <c:strRef>
              <c:f>'Sensitivity Analysis'!$H$268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Analysis'!$H$239:$H$243</c:f>
              <c:numCache>
                <c:formatCode>General</c:formatCode>
                <c:ptCount val="5"/>
                <c:pt idx="0">
                  <c:v>3407.8359601537345</c:v>
                </c:pt>
                <c:pt idx="1">
                  <c:v>3331.8494023806452</c:v>
                </c:pt>
                <c:pt idx="2">
                  <c:v>3336.1354568592974</c:v>
                </c:pt>
                <c:pt idx="3">
                  <c:v>3787.1380650603633</c:v>
                </c:pt>
                <c:pt idx="4">
                  <c:v>3777.9032281280329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D-4E37-A33A-DE5915309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60"/>
        <c:axId val="2086986959"/>
        <c:axId val="2086990287"/>
      </c:barChart>
      <c:catAx>
        <c:axId val="208698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0287"/>
        <c:crossesAt val="3261.7841999999996"/>
        <c:auto val="1"/>
        <c:lblAlgn val="ctr"/>
        <c:lblOffset val="100"/>
        <c:noMultiLvlLbl val="0"/>
      </c:catAx>
      <c:valAx>
        <c:axId val="2086990287"/>
        <c:scaling>
          <c:orientation val="minMax"/>
          <c:max val="38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30687664041999"/>
          <c:y val="0.8741768161122998"/>
          <c:w val="0.158733079274744"/>
          <c:h val="0.125823419714259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</a:t>
            </a:r>
            <a:r>
              <a:rPr lang="en-US" baseline="0"/>
              <a:t> Beach, CA</a:t>
            </a:r>
            <a:endParaRPr lang="en-US"/>
          </a:p>
        </c:rich>
      </c:tx>
      <c:layout>
        <c:manualLayout>
          <c:xMode val="edge"/>
          <c:yMode val="edge"/>
          <c:x val="0.418446614173228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6983979002624671"/>
          <c:y val="0.18707446449381934"/>
          <c:w val="0.47650687664041996"/>
          <c:h val="0.5886942661136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'Sensitivity Analysis'!$F$268</c:f>
              <c:strCache>
                <c:ptCount val="1"/>
                <c:pt idx="0">
                  <c:v>-20%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Analysis'!$F$229:$F$233</c:f>
              <c:numCache>
                <c:formatCode>General</c:formatCode>
                <c:ptCount val="5"/>
                <c:pt idx="0">
                  <c:v>2087.5230574704237</c:v>
                </c:pt>
                <c:pt idx="1">
                  <c:v>2167.7141440961673</c:v>
                </c:pt>
                <c:pt idx="2">
                  <c:v>2708.2709965750328</c:v>
                </c:pt>
                <c:pt idx="3">
                  <c:v>1910.1272848746776</c:v>
                </c:pt>
                <c:pt idx="4" formatCode="0">
                  <c:v>2637.5843211396686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A-474E-98EA-EE8B9BE85880}"/>
            </c:ext>
          </c:extLst>
        </c:ser>
        <c:ser>
          <c:idx val="1"/>
          <c:order val="1"/>
          <c:tx>
            <c:strRef>
              <c:f>'Sensitivity Analysis'!$H$268</c:f>
              <c:strCache>
                <c:ptCount val="1"/>
                <c:pt idx="0">
                  <c:v>+20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'Sensitivity Analysis'!$B$269:$B$273</c:f>
              <c:strCache>
                <c:ptCount val="5"/>
                <c:pt idx="0">
                  <c:v>Annual CO2 (kg CO2/yr)</c:v>
                </c:pt>
                <c:pt idx="1">
                  <c:v>Annual Lighting Load (Wh/yr)</c:v>
                </c:pt>
                <c:pt idx="2">
                  <c:v>Humidity Range (shift all setpoints up or down)</c:v>
                </c:pt>
                <c:pt idx="3">
                  <c:v>Air Changes Per Hour</c:v>
                </c:pt>
                <c:pt idx="4">
                  <c:v>Temperature Range (shift all setpoints up or down)</c:v>
                </c:pt>
              </c:strCache>
            </c:strRef>
          </c:cat>
          <c:val>
            <c:numRef>
              <c:f>'Sensitivity Analysis'!$H$229:$H$233</c:f>
              <c:numCache>
                <c:formatCode>General</c:formatCode>
                <c:ptCount val="5"/>
                <c:pt idx="0">
                  <c:v>2379.6265024024156</c:v>
                </c:pt>
                <c:pt idx="1">
                  <c:v>2299.4354157766725</c:v>
                </c:pt>
                <c:pt idx="2">
                  <c:v>2111.4952449901866</c:v>
                </c:pt>
                <c:pt idx="3">
                  <c:v>2561.6693952829273</c:v>
                </c:pt>
                <c:pt idx="4">
                  <c:v>2467.8249111713058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A-474E-98EA-EE8B9BE85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60"/>
        <c:axId val="2086986959"/>
        <c:axId val="2086990287"/>
      </c:barChart>
      <c:catAx>
        <c:axId val="208698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0287"/>
        <c:crossesAt val="2233.5747799999999"/>
        <c:auto val="1"/>
        <c:lblAlgn val="ctr"/>
        <c:lblOffset val="100"/>
        <c:noMultiLvlLbl val="0"/>
      </c:catAx>
      <c:valAx>
        <c:axId val="2086990287"/>
        <c:scaling>
          <c:orientation val="minMax"/>
          <c:max val="2800"/>
          <c:min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6959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30687664041999"/>
          <c:y val="0.8741768161122998"/>
          <c:w val="0.158733079274744"/>
          <c:h val="0.125823419714259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770621186183685"/>
          <c:y val="3.1811557662545599E-2"/>
          <c:w val="0.52072171550608415"/>
          <c:h val="0.79670006815076644"/>
        </c:manualLayout>
      </c:layout>
      <c:barChart>
        <c:barDir val="col"/>
        <c:grouping val="stacked"/>
        <c:varyColors val="0"/>
        <c:ser>
          <c:idx val="11"/>
          <c:order val="0"/>
          <c:tx>
            <c:strRef>
              <c:f>Figures!$I$228</c:f>
              <c:strCache>
                <c:ptCount val="1"/>
                <c:pt idx="0">
                  <c:v>Sequestered CO2</c:v>
                </c:pt>
              </c:strCache>
            </c:strRef>
          </c:tx>
          <c:spPr>
            <a:solidFill>
              <a:srgbClr val="9BBB59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Figures!$J$228:$Q$228</c:f>
              <c:numCache>
                <c:formatCode>General</c:formatCode>
                <c:ptCount val="8"/>
                <c:pt idx="0">
                  <c:v>-205.10399767898235</c:v>
                </c:pt>
                <c:pt idx="1">
                  <c:v>-205.10399767898235</c:v>
                </c:pt>
                <c:pt idx="2">
                  <c:v>-205.10399767898235</c:v>
                </c:pt>
                <c:pt idx="3">
                  <c:v>-205.10399767898235</c:v>
                </c:pt>
                <c:pt idx="4">
                  <c:v>-205.10399767898235</c:v>
                </c:pt>
                <c:pt idx="5">
                  <c:v>-205.10399767898235</c:v>
                </c:pt>
                <c:pt idx="6">
                  <c:v>-205.10399767898235</c:v>
                </c:pt>
                <c:pt idx="7">
                  <c:v>-205.10399767898235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C5F-4315-B176-4B609B373388}"/>
            </c:ext>
          </c:extLst>
        </c:ser>
        <c:ser>
          <c:idx val="4"/>
          <c:order val="1"/>
          <c:tx>
            <c:strRef>
              <c:f>Figures!$I$225</c:f>
              <c:strCache>
                <c:ptCount val="1"/>
                <c:pt idx="0">
                  <c:v>Growth CO2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Figures!$J$225:$Q$225</c:f>
              <c:numCache>
                <c:formatCode>General</c:formatCode>
                <c:ptCount val="8"/>
                <c:pt idx="0">
                  <c:v>573.977991751486</c:v>
                </c:pt>
                <c:pt idx="1">
                  <c:v>573.977991751486</c:v>
                </c:pt>
                <c:pt idx="2">
                  <c:v>573.977991751486</c:v>
                </c:pt>
                <c:pt idx="3">
                  <c:v>573.977991751486</c:v>
                </c:pt>
                <c:pt idx="4">
                  <c:v>573.977991751486</c:v>
                </c:pt>
                <c:pt idx="5">
                  <c:v>573.977991751486</c:v>
                </c:pt>
                <c:pt idx="6">
                  <c:v>573.977991751486</c:v>
                </c:pt>
                <c:pt idx="7">
                  <c:v>573.977991751486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F-4315-B176-4B609B373388}"/>
            </c:ext>
          </c:extLst>
        </c:ser>
        <c:ser>
          <c:idx val="12"/>
          <c:order val="2"/>
          <c:tx>
            <c:strRef>
              <c:f>Figures!$I$230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rgbClr val="1E526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Figures!$J$230:$Q$230</c:f>
              <c:numCache>
                <c:formatCode>General</c:formatCode>
                <c:ptCount val="8"/>
                <c:pt idx="0">
                  <c:v>442.98417043108611</c:v>
                </c:pt>
                <c:pt idx="1">
                  <c:v>442.98417043108611</c:v>
                </c:pt>
                <c:pt idx="2">
                  <c:v>442.98417043108611</c:v>
                </c:pt>
                <c:pt idx="3">
                  <c:v>442.98417043108611</c:v>
                </c:pt>
                <c:pt idx="4">
                  <c:v>442.98417043108611</c:v>
                </c:pt>
                <c:pt idx="5">
                  <c:v>442.98417043108611</c:v>
                </c:pt>
                <c:pt idx="6">
                  <c:v>442.98417043108611</c:v>
                </c:pt>
                <c:pt idx="7">
                  <c:v>442.98417043108611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C5F-4315-B176-4B609B373388}"/>
            </c:ext>
          </c:extLst>
        </c:ser>
        <c:ser>
          <c:idx val="10"/>
          <c:order val="3"/>
          <c:tx>
            <c:strRef>
              <c:f>Figures!$I$224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rgbClr val="308298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Figures!$J$224:$Q$224</c:f>
              <c:numCache>
                <c:formatCode>General</c:formatCode>
                <c:ptCount val="8"/>
                <c:pt idx="0">
                  <c:v>264.18065789553521</c:v>
                </c:pt>
                <c:pt idx="1">
                  <c:v>264.18065789553521</c:v>
                </c:pt>
                <c:pt idx="2">
                  <c:v>264.18065789553521</c:v>
                </c:pt>
                <c:pt idx="3">
                  <c:v>264.18065789553521</c:v>
                </c:pt>
                <c:pt idx="4">
                  <c:v>264.18065789553521</c:v>
                </c:pt>
                <c:pt idx="5">
                  <c:v>264.18065789553521</c:v>
                </c:pt>
                <c:pt idx="6">
                  <c:v>264.18065789553521</c:v>
                </c:pt>
                <c:pt idx="7">
                  <c:v>264.18065789553521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6C5F-4315-B176-4B609B373388}"/>
            </c:ext>
          </c:extLst>
        </c:ser>
        <c:ser>
          <c:idx val="2"/>
          <c:order val="4"/>
          <c:tx>
            <c:strRef>
              <c:f>Figures!$I$223</c:f>
              <c:strCache>
                <c:ptCount val="1"/>
                <c:pt idx="0">
                  <c:v>Grow Lights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Figures!$J$223:$Q$223</c:f>
              <c:numCache>
                <c:formatCode>General</c:formatCode>
                <c:ptCount val="8"/>
                <c:pt idx="0">
                  <c:v>325.55287244178601</c:v>
                </c:pt>
                <c:pt idx="1">
                  <c:v>420.00110825803199</c:v>
                </c:pt>
                <c:pt idx="2">
                  <c:v>344.68575910549902</c:v>
                </c:pt>
                <c:pt idx="3">
                  <c:v>611.63356475767398</c:v>
                </c:pt>
                <c:pt idx="4">
                  <c:v>836.88042477533702</c:v>
                </c:pt>
                <c:pt idx="5">
                  <c:v>863.20077686081504</c:v>
                </c:pt>
                <c:pt idx="6">
                  <c:v>345.16941147492503</c:v>
                </c:pt>
                <c:pt idx="7">
                  <c:v>1102.3341023242001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F-4315-B176-4B609B373388}"/>
            </c:ext>
          </c:extLst>
        </c:ser>
        <c:ser>
          <c:idx val="1"/>
          <c:order val="5"/>
          <c:tx>
            <c:strRef>
              <c:f>Figures!$I$222</c:f>
              <c:strCache>
                <c:ptCount val="1"/>
                <c:pt idx="0">
                  <c:v>HVAC Humidity Management</c:v>
                </c:pt>
              </c:strCache>
            </c:strRef>
          </c:tx>
          <c:spPr>
            <a:solidFill>
              <a:srgbClr val="9CD1E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Figures!$J$222:$Q$222</c:f>
              <c:numCache>
                <c:formatCode>General</c:formatCode>
                <c:ptCount val="8"/>
                <c:pt idx="0">
                  <c:v>452.06842368517698</c:v>
                </c:pt>
                <c:pt idx="1">
                  <c:v>353.18516232201529</c:v>
                </c:pt>
                <c:pt idx="2">
                  <c:v>633.74626738386701</c:v>
                </c:pt>
                <c:pt idx="3">
                  <c:v>1972.8916857501188</c:v>
                </c:pt>
                <c:pt idx="4">
                  <c:v>691.00607507564393</c:v>
                </c:pt>
                <c:pt idx="5">
                  <c:v>875.14219808863777</c:v>
                </c:pt>
                <c:pt idx="6">
                  <c:v>833.28243952717469</c:v>
                </c:pt>
                <c:pt idx="7">
                  <c:v>2712.8693503174682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F-4315-B176-4B609B373388}"/>
            </c:ext>
          </c:extLst>
        </c:ser>
        <c:ser>
          <c:idx val="0"/>
          <c:order val="6"/>
          <c:tx>
            <c:strRef>
              <c:f>Figures!$I$221</c:f>
              <c:strCache>
                <c:ptCount val="1"/>
                <c:pt idx="0">
                  <c:v>HVAC Heating and Cooling</c:v>
                </c:pt>
              </c:strCache>
            </c:strRef>
          </c:tx>
          <c:spPr>
            <a:solidFill>
              <a:srgbClr val="E2F1F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Figures!$J$221:$Q$221</c:f>
              <c:numCache>
                <c:formatCode>General</c:formatCode>
                <c:ptCount val="8"/>
                <c:pt idx="0">
                  <c:v>457.31817625960758</c:v>
                </c:pt>
                <c:pt idx="1">
                  <c:v>970.01534864822816</c:v>
                </c:pt>
                <c:pt idx="2">
                  <c:v>1276.0381117683335</c:v>
                </c:pt>
                <c:pt idx="3">
                  <c:v>97.229968224732843</c:v>
                </c:pt>
                <c:pt idx="4">
                  <c:v>1195.1942825005046</c:v>
                </c:pt>
                <c:pt idx="5">
                  <c:v>1145.2632552125112</c:v>
                </c:pt>
                <c:pt idx="6">
                  <c:v>2870.095480442872</c:v>
                </c:pt>
                <c:pt idx="7">
                  <c:v>55.790743232626518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F-4315-B176-4B609B373388}"/>
            </c:ext>
          </c:extLst>
        </c:ser>
        <c:ser>
          <c:idx val="6"/>
          <c:order val="11"/>
          <c:tx>
            <c:strRef>
              <c:f>Figures!$I$227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D56509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Figures!$J$227:$Q$227</c:f>
              <c:numCache>
                <c:formatCode>General</c:formatCode>
                <c:ptCount val="8"/>
                <c:pt idx="0">
                  <c:v>267.71125019185524</c:v>
                </c:pt>
                <c:pt idx="1">
                  <c:v>299.08226646506768</c:v>
                </c:pt>
                <c:pt idx="2">
                  <c:v>273.43295596852317</c:v>
                </c:pt>
                <c:pt idx="3">
                  <c:v>366.2755884738383</c:v>
                </c:pt>
                <c:pt idx="4">
                  <c:v>440.08975488485612</c:v>
                </c:pt>
                <c:pt idx="5">
                  <c:v>447.13778975249414</c:v>
                </c:pt>
                <c:pt idx="6">
                  <c:v>271.03732405080126</c:v>
                </c:pt>
                <c:pt idx="7">
                  <c:v>533.18741963595824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5F-4315-B176-4B609B373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31721872"/>
        <c:axId val="2031728112"/>
        <c:extLst>
          <c:ext xmlns:c15="http://schemas.microsoft.com/office/drawing/2012/chart" uri="{02D57815-91ED-43cb-92C2-25804820EDAC}">
            <c15:filteredBarSeries>
              <c15:ser>
                <c:idx val="3"/>
                <c:order val="7"/>
                <c:tx>
                  <c:strRef>
                    <c:extLst>
                      <c:ext uri="{02D57815-91ED-43cb-92C2-25804820EDAC}">
                        <c15:formulaRef>
                          <c15:sqref>Figures!$I$224</c15:sqref>
                        </c15:formulaRef>
                      </c:ext>
                    </c:extLst>
                    <c:strCache>
                      <c:ptCount val="1"/>
                      <c:pt idx="0">
                        <c:v>Transportation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solidFill>
                      <a:schemeClr val="tx1">
                        <a:lumMod val="95000"/>
                        <a:lumOff val="5000"/>
                      </a:schemeClr>
                    </a:solidFill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Figures!$J$220:$Q$220</c15:sqref>
                        </c15:formulaRef>
                      </c:ext>
                    </c:extLst>
                    <c:strCache>
                      <c:ptCount val="8"/>
                      <c:pt idx="0">
                        <c:v>Long Beach, CA</c:v>
                      </c:pt>
                      <c:pt idx="1">
                        <c:v>Portland, OR</c:v>
                      </c:pt>
                      <c:pt idx="2">
                        <c:v>Portland, ME</c:v>
                      </c:pt>
                      <c:pt idx="3">
                        <c:v>Miami, FL</c:v>
                      </c:pt>
                      <c:pt idx="4">
                        <c:v>Denver, CO</c:v>
                      </c:pt>
                      <c:pt idx="5">
                        <c:v>Detroit, MI</c:v>
                      </c:pt>
                      <c:pt idx="6">
                        <c:v>Barrow, AK</c:v>
                      </c:pt>
                      <c:pt idx="7">
                        <c:v>Kaneohe Bay, HI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Figures!$J$224:$N$224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264.18065789553521</c:v>
                      </c:pt>
                      <c:pt idx="1">
                        <c:v>264.18065789553521</c:v>
                      </c:pt>
                      <c:pt idx="2">
                        <c:v>264.18065789553521</c:v>
                      </c:pt>
                      <c:pt idx="3">
                        <c:v>264.18065789553521</c:v>
                      </c:pt>
                      <c:pt idx="4">
                        <c:v>264.18065789553521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C5F-4315-B176-4B609B373388}"/>
                  </c:ext>
                </c:extLst>
              </c15:ser>
            </c15:filteredBarSeries>
            <c15:filteredBa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Figures!$I$228</c15:sqref>
                        </c15:formulaRef>
                      </c:ext>
                    </c:extLst>
                    <c:strCache>
                      <c:ptCount val="1"/>
                      <c:pt idx="0">
                        <c:v>Sequestered CO2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solidFill>
                      <a:schemeClr val="tx1">
                        <a:lumMod val="95000"/>
                        <a:lumOff val="5000"/>
                      </a:schemeClr>
                    </a:solidFill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Figures!$J$220:$Q$220</c15:sqref>
                        </c15:formulaRef>
                      </c:ext>
                    </c:extLst>
                    <c:strCache>
                      <c:ptCount val="8"/>
                      <c:pt idx="0">
                        <c:v>Long Beach, CA</c:v>
                      </c:pt>
                      <c:pt idx="1">
                        <c:v>Portland, OR</c:v>
                      </c:pt>
                      <c:pt idx="2">
                        <c:v>Portland, ME</c:v>
                      </c:pt>
                      <c:pt idx="3">
                        <c:v>Miami, FL</c:v>
                      </c:pt>
                      <c:pt idx="4">
                        <c:v>Denver, CO</c:v>
                      </c:pt>
                      <c:pt idx="5">
                        <c:v>Detroit, MI</c:v>
                      </c:pt>
                      <c:pt idx="6">
                        <c:v>Barrow, AK</c:v>
                      </c:pt>
                      <c:pt idx="7">
                        <c:v>Kaneohe Bay, HI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Figures!$J$228:$N$228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-205.10399767898235</c:v>
                      </c:pt>
                      <c:pt idx="1">
                        <c:v>-205.10399767898235</c:v>
                      </c:pt>
                      <c:pt idx="2">
                        <c:v>-205.10399767898235</c:v>
                      </c:pt>
                      <c:pt idx="3">
                        <c:v>-205.10399767898235</c:v>
                      </c:pt>
                      <c:pt idx="4">
                        <c:v>-205.10399767898235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C5F-4315-B176-4B609B373388}"/>
                  </c:ext>
                </c:extLst>
              </c15:ser>
            </c15:filteredBarSeries>
            <c15:filteredBa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Figures!$I$229</c15:sqref>
                        </c15:formulaRef>
                      </c:ext>
                    </c:extLst>
                    <c:strCache>
                      <c:ptCount val="1"/>
                      <c:pt idx="0">
                        <c:v>Fans</c:v>
                      </c:pt>
                    </c:strCache>
                  </c:strRef>
                </c:tx>
                <c:spPr>
                  <a:solidFill>
                    <a:srgbClr val="4BACC6">
                      <a:lumMod val="20000"/>
                      <a:lumOff val="80000"/>
                    </a:srgbClr>
                  </a:solidFill>
                  <a:ln>
                    <a:solidFill>
                      <a:schemeClr val="tx1">
                        <a:lumMod val="95000"/>
                        <a:lumOff val="5000"/>
                      </a:schemeClr>
                    </a:solidFill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Figures!$J$220:$Q$220</c15:sqref>
                        </c15:formulaRef>
                      </c:ext>
                    </c:extLst>
                    <c:strCache>
                      <c:ptCount val="8"/>
                      <c:pt idx="0">
                        <c:v>Long Beach, CA</c:v>
                      </c:pt>
                      <c:pt idx="1">
                        <c:v>Portland, OR</c:v>
                      </c:pt>
                      <c:pt idx="2">
                        <c:v>Portland, ME</c:v>
                      </c:pt>
                      <c:pt idx="3">
                        <c:v>Miami, FL</c:v>
                      </c:pt>
                      <c:pt idx="4">
                        <c:v>Denver, CO</c:v>
                      </c:pt>
                      <c:pt idx="5">
                        <c:v>Detroit, MI</c:v>
                      </c:pt>
                      <c:pt idx="6">
                        <c:v>Barrow, AK</c:v>
                      </c:pt>
                      <c:pt idx="7">
                        <c:v>Kaneohe Bay, HI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Figures!$J$229:$Q$229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C5F-4315-B176-4B609B373388}"/>
                  </c:ext>
                </c:extLst>
              </c15:ser>
            </c15:filteredBarSeries>
            <c15:filteredBarSeries>
              <c15:ser>
                <c:idx val="5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Figures!$I$226</c15:sqref>
                        </c15:formulaRef>
                      </c:ext>
                    </c:extLst>
                    <c:strCache>
                      <c:ptCount val="1"/>
                      <c:pt idx="0">
                        <c:v>Soil</c:v>
                      </c:pt>
                    </c:strCache>
                  </c:strRef>
                </c:tx>
                <c:spPr>
                  <a:solidFill>
                    <a:srgbClr val="E5F3F7"/>
                  </a:solidFill>
                  <a:ln>
                    <a:solidFill>
                      <a:schemeClr val="tx1">
                        <a:lumMod val="95000"/>
                        <a:lumOff val="5000"/>
                      </a:schemeClr>
                    </a:solidFill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Figures!$J$220:$Q$220</c15:sqref>
                        </c15:formulaRef>
                      </c:ext>
                    </c:extLst>
                    <c:strCache>
                      <c:ptCount val="8"/>
                      <c:pt idx="0">
                        <c:v>Long Beach, CA</c:v>
                      </c:pt>
                      <c:pt idx="1">
                        <c:v>Portland, OR</c:v>
                      </c:pt>
                      <c:pt idx="2">
                        <c:v>Portland, ME</c:v>
                      </c:pt>
                      <c:pt idx="3">
                        <c:v>Miami, FL</c:v>
                      </c:pt>
                      <c:pt idx="4">
                        <c:v>Denver, CO</c:v>
                      </c:pt>
                      <c:pt idx="5">
                        <c:v>Detroit, MI</c:v>
                      </c:pt>
                      <c:pt idx="6">
                        <c:v>Barrow, AK</c:v>
                      </c:pt>
                      <c:pt idx="7">
                        <c:v>Kaneohe Bay, HI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Figures!$J$226:$Q$226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C5F-4315-B176-4B609B373388}"/>
                  </c:ext>
                </c:extLst>
              </c15:ser>
            </c15:filteredBarSeries>
            <c15:filteredBarSeries>
              <c15:ser>
                <c:idx val="9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Figures!$I$230</c15:sqref>
                        </c15:formulaRef>
                      </c:ext>
                    </c:extLst>
                    <c:strCache>
                      <c:ptCount val="1"/>
                      <c:pt idx="0">
                        <c:v>Waste</c:v>
                      </c:pt>
                    </c:strCache>
                  </c:strRef>
                </c:tx>
                <c:spPr>
                  <a:solidFill>
                    <a:schemeClr val="tx1">
                      <a:lumMod val="65000"/>
                      <a:lumOff val="35000"/>
                    </a:schemeClr>
                  </a:solidFill>
                  <a:ln>
                    <a:solidFill>
                      <a:schemeClr val="tx1">
                        <a:lumMod val="95000"/>
                        <a:lumOff val="5000"/>
                      </a:schemeClr>
                    </a:solidFill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Figures!$J$220:$Q$220</c15:sqref>
                        </c15:formulaRef>
                      </c:ext>
                    </c:extLst>
                    <c:strCache>
                      <c:ptCount val="8"/>
                      <c:pt idx="0">
                        <c:v>Long Beach, CA</c:v>
                      </c:pt>
                      <c:pt idx="1">
                        <c:v>Portland, OR</c:v>
                      </c:pt>
                      <c:pt idx="2">
                        <c:v>Portland, ME</c:v>
                      </c:pt>
                      <c:pt idx="3">
                        <c:v>Miami, FL</c:v>
                      </c:pt>
                      <c:pt idx="4">
                        <c:v>Denver, CO</c:v>
                      </c:pt>
                      <c:pt idx="5">
                        <c:v>Detroit, MI</c:v>
                      </c:pt>
                      <c:pt idx="6">
                        <c:v>Barrow, AK</c:v>
                      </c:pt>
                      <c:pt idx="7">
                        <c:v>Kaneohe Bay, HI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Figures!$J$230:$N$230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442.98417043108611</c:v>
                      </c:pt>
                      <c:pt idx="1">
                        <c:v>442.98417043108611</c:v>
                      </c:pt>
                      <c:pt idx="2">
                        <c:v>442.98417043108611</c:v>
                      </c:pt>
                      <c:pt idx="3">
                        <c:v>442.98417043108611</c:v>
                      </c:pt>
                      <c:pt idx="4">
                        <c:v>442.98417043108611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C5F-4315-B176-4B609B373388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3"/>
          <c:order val="13"/>
          <c:tx>
            <c:strRef>
              <c:f>Figures!$I$231</c:f>
              <c:strCache>
                <c:ptCount val="1"/>
                <c:pt idx="0">
                  <c:v>Net GHGs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ysClr val="windowText" lastClr="000000"/>
              </a:solidFill>
              <a:ln w="19050">
                <a:solidFill>
                  <a:sysClr val="windowText" lastClr="000000"/>
                </a:solidFill>
              </a:ln>
              <a:effectLst/>
            </c:spPr>
          </c:marker>
          <c:yVal>
            <c:numRef>
              <c:f>Figures!$J$231:$Q$231</c:f>
              <c:numCache>
                <c:formatCode>0</c:formatCode>
                <c:ptCount val="8"/>
                <c:pt idx="0">
                  <c:v>2578.6895449775511</c:v>
                </c:pt>
                <c:pt idx="1">
                  <c:v>3118.3227080924676</c:v>
                </c:pt>
                <c:pt idx="2">
                  <c:v>3603.9419166253479</c:v>
                </c:pt>
                <c:pt idx="3">
                  <c:v>4124.0696296054894</c:v>
                </c:pt>
                <c:pt idx="4">
                  <c:v>4239.2093596354671</c:v>
                </c:pt>
                <c:pt idx="5">
                  <c:v>4406.7828423135843</c:v>
                </c:pt>
                <c:pt idx="6">
                  <c:v>5395.6234778948974</c:v>
                </c:pt>
                <c:pt idx="7">
                  <c:v>5480.2204379093791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7-4A1D-A192-6D3A584D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795727"/>
        <c:axId val="1988810287"/>
      </c:scatterChart>
      <c:catAx>
        <c:axId val="20317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2031728112"/>
        <c:crosses val="autoZero"/>
        <c:auto val="1"/>
        <c:lblAlgn val="ctr"/>
        <c:lblOffset val="100"/>
        <c:noMultiLvlLbl val="0"/>
      </c:catAx>
      <c:valAx>
        <c:axId val="2031728112"/>
        <c:scaling>
          <c:orientation val="minMax"/>
          <c:max val="6000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 sz="2000"/>
                  <a:t>Greenhouse Gas Emissions </a:t>
                </a:r>
              </a:p>
              <a:p>
                <a:pPr>
                  <a:defRPr sz="2000"/>
                </a:pPr>
                <a:r>
                  <a:rPr lang="en-US" sz="2000"/>
                  <a:t>(kg CO</a:t>
                </a:r>
                <a:r>
                  <a:rPr lang="en-US" sz="2000" baseline="-25000"/>
                  <a:t>2</a:t>
                </a:r>
                <a:r>
                  <a:rPr lang="en-US" sz="2000" baseline="0"/>
                  <a:t>-</a:t>
                </a:r>
                <a:r>
                  <a:rPr lang="en-US" sz="2000"/>
                  <a:t>eq per kg-dried flower)</a:t>
                </a:r>
              </a:p>
            </c:rich>
          </c:tx>
          <c:layout>
            <c:manualLayout>
              <c:xMode val="edge"/>
              <c:yMode val="edge"/>
              <c:x val="7.5394137440347323E-4"/>
              <c:y val="0.21552603138517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2031721872"/>
        <c:crosses val="autoZero"/>
        <c:crossBetween val="between"/>
        <c:majorUnit val="500"/>
      </c:valAx>
      <c:valAx>
        <c:axId val="1988810287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88795727"/>
        <c:crosses val="max"/>
        <c:crossBetween val="midCat"/>
      </c:valAx>
      <c:valAx>
        <c:axId val="1988795727"/>
        <c:scaling>
          <c:orientation val="minMax"/>
        </c:scaling>
        <c:delete val="1"/>
        <c:axPos val="b"/>
        <c:majorTickMark val="out"/>
        <c:minorTickMark val="none"/>
        <c:tickLblPos val="nextTo"/>
        <c:crossAx val="1988810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63431866079910892"/>
          <c:y val="0.36527728458005926"/>
          <c:w val="0.36568133920089108"/>
          <c:h val="0.407163338786248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Heating and Cooling Optimization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58118685238862E-2"/>
          <c:y val="0.12301824212271974"/>
          <c:w val="0.79661366472261008"/>
          <c:h val="0.72416787453807085"/>
        </c:manualLayout>
      </c:layout>
      <c:scatterChart>
        <c:scatterStyle val="lineMarker"/>
        <c:varyColors val="0"/>
        <c:ser>
          <c:idx val="0"/>
          <c:order val="0"/>
          <c:tx>
            <c:strRef>
              <c:f>Figures!$B$3</c:f>
              <c:strCache>
                <c:ptCount val="1"/>
                <c:pt idx="0">
                  <c:v>Q min heat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22329034504070003"/>
                  <c:y val="-7.34761886107520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Figures!$A$4:$A$15</c:f>
              <c:strCache>
                <c:ptCount val="12"/>
                <c:pt idx="0">
                  <c:v>0-5</c:v>
                </c:pt>
                <c:pt idx="1">
                  <c:v>0-10</c:v>
                </c:pt>
                <c:pt idx="2">
                  <c:v>0-15</c:v>
                </c:pt>
                <c:pt idx="3">
                  <c:v>0-20</c:v>
                </c:pt>
                <c:pt idx="4">
                  <c:v>0-25</c:v>
                </c:pt>
                <c:pt idx="5">
                  <c:v>0-30</c:v>
                </c:pt>
                <c:pt idx="6">
                  <c:v>0-35</c:v>
                </c:pt>
                <c:pt idx="7">
                  <c:v>0-40</c:v>
                </c:pt>
                <c:pt idx="8">
                  <c:v>0-45</c:v>
                </c:pt>
                <c:pt idx="9">
                  <c:v>0-50</c:v>
                </c:pt>
                <c:pt idx="10">
                  <c:v>0-55</c:v>
                </c:pt>
                <c:pt idx="11">
                  <c:v>0-60</c:v>
                </c:pt>
              </c:strCache>
            </c:strRef>
          </c:xVal>
          <c:yVal>
            <c:numRef>
              <c:f>Figures!$B$4:$B$15</c:f>
              <c:numCache>
                <c:formatCode>General</c:formatCode>
                <c:ptCount val="12"/>
                <c:pt idx="0" formatCode="0.00E+00">
                  <c:v>360000000</c:v>
                </c:pt>
                <c:pt idx="1">
                  <c:v>389945408.36812699</c:v>
                </c:pt>
                <c:pt idx="2">
                  <c:v>408402956.60879999</c:v>
                </c:pt>
                <c:pt idx="3">
                  <c:v>412624869.24848199</c:v>
                </c:pt>
                <c:pt idx="4">
                  <c:v>414000993.79571903</c:v>
                </c:pt>
                <c:pt idx="5">
                  <c:v>414967311.16509002</c:v>
                </c:pt>
                <c:pt idx="6">
                  <c:v>416003422.67768002</c:v>
                </c:pt>
                <c:pt idx="7">
                  <c:v>416321492.95091999</c:v>
                </c:pt>
                <c:pt idx="8">
                  <c:v>416477703.44300801</c:v>
                </c:pt>
                <c:pt idx="9">
                  <c:v>416704027.79572701</c:v>
                </c:pt>
                <c:pt idx="10">
                  <c:v>417485398.37092203</c:v>
                </c:pt>
                <c:pt idx="11">
                  <c:v>417610009.33802003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F-4438-A676-F63B06EAA1C8}"/>
            </c:ext>
          </c:extLst>
        </c:ser>
        <c:ser>
          <c:idx val="1"/>
          <c:order val="1"/>
          <c:tx>
            <c:strRef>
              <c:f>Figures!$C$3</c:f>
              <c:strCache>
                <c:ptCount val="1"/>
                <c:pt idx="0">
                  <c:v>Q min cool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70C0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1652674935752256"/>
                  <c:y val="5.419621054830832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Figures!$A$4:$A$15</c:f>
              <c:strCache>
                <c:ptCount val="12"/>
                <c:pt idx="0">
                  <c:v>0-5</c:v>
                </c:pt>
                <c:pt idx="1">
                  <c:v>0-10</c:v>
                </c:pt>
                <c:pt idx="2">
                  <c:v>0-15</c:v>
                </c:pt>
                <c:pt idx="3">
                  <c:v>0-20</c:v>
                </c:pt>
                <c:pt idx="4">
                  <c:v>0-25</c:v>
                </c:pt>
                <c:pt idx="5">
                  <c:v>0-30</c:v>
                </c:pt>
                <c:pt idx="6">
                  <c:v>0-35</c:v>
                </c:pt>
                <c:pt idx="7">
                  <c:v>0-40</c:v>
                </c:pt>
                <c:pt idx="8">
                  <c:v>0-45</c:v>
                </c:pt>
                <c:pt idx="9">
                  <c:v>0-50</c:v>
                </c:pt>
                <c:pt idx="10">
                  <c:v>0-55</c:v>
                </c:pt>
                <c:pt idx="11">
                  <c:v>0-60</c:v>
                </c:pt>
              </c:strCache>
            </c:strRef>
          </c:xVal>
          <c:yVal>
            <c:numRef>
              <c:f>Figures!$C$4:$C$15</c:f>
              <c:numCache>
                <c:formatCode>General</c:formatCode>
                <c:ptCount val="12"/>
                <c:pt idx="0" formatCode="0.00E+00">
                  <c:v>1049820281.4789799</c:v>
                </c:pt>
                <c:pt idx="1">
                  <c:v>646128744.88546503</c:v>
                </c:pt>
                <c:pt idx="2">
                  <c:v>447005414.28414899</c:v>
                </c:pt>
                <c:pt idx="3">
                  <c:v>354783095.32630801</c:v>
                </c:pt>
                <c:pt idx="4">
                  <c:v>300074096.95517701</c:v>
                </c:pt>
                <c:pt idx="5">
                  <c:v>259179004.57048899</c:v>
                </c:pt>
                <c:pt idx="6">
                  <c:v>227481858.652105</c:v>
                </c:pt>
                <c:pt idx="7">
                  <c:v>204388606.17335299</c:v>
                </c:pt>
                <c:pt idx="8">
                  <c:v>187914862.82482901</c:v>
                </c:pt>
                <c:pt idx="9">
                  <c:v>174500325.58586499</c:v>
                </c:pt>
                <c:pt idx="10">
                  <c:v>163976991.73754001</c:v>
                </c:pt>
                <c:pt idx="11">
                  <c:v>156719764.93360999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6F-4438-A676-F63B06EA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70528"/>
        <c:axId val="175566784"/>
      </c:scatterChart>
      <c:valAx>
        <c:axId val="17557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6784"/>
        <c:crosses val="autoZero"/>
        <c:crossBetween val="midCat"/>
      </c:valAx>
      <c:valAx>
        <c:axId val="17556678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7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Warming Potential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cat>
            <c:strRef>
              <c:f>Figures!$F$27:$F$46</c:f>
              <c:strCache>
                <c:ptCount val="20"/>
                <c:pt idx="0">
                  <c:v>Simple Heating Load</c:v>
                </c:pt>
                <c:pt idx="1">
                  <c:v>Simple Cooling</c:v>
                </c:pt>
                <c:pt idx="2">
                  <c:v>Heating and Humidification Load</c:v>
                </c:pt>
                <c:pt idx="3">
                  <c:v>Cooling and Dehumidification Load</c:v>
                </c:pt>
                <c:pt idx="4">
                  <c:v>Auxilary Dehumidification Load</c:v>
                </c:pt>
                <c:pt idx="5">
                  <c:v>Auxilary Air Conditioning Load</c:v>
                </c:pt>
                <c:pt idx="6">
                  <c:v>Electricity from Lights</c:v>
                </c:pt>
                <c:pt idx="7">
                  <c:v>Water for Plants</c:v>
                </c:pt>
                <c:pt idx="8">
                  <c:v>Irrigation Pumping Load</c:v>
                </c:pt>
                <c:pt idx="9">
                  <c:v>Water Heating Load</c:v>
                </c:pt>
                <c:pt idx="10">
                  <c:v>CO2</c:v>
                </c:pt>
                <c:pt idx="11">
                  <c:v>Fertilizer</c:v>
                </c:pt>
                <c:pt idx="12">
                  <c:v>Soil</c:v>
                </c:pt>
                <c:pt idx="13">
                  <c:v>Soil Amendments</c:v>
                </c:pt>
                <c:pt idx="14">
                  <c:v>Fungicides</c:v>
                </c:pt>
                <c:pt idx="15">
                  <c:v>Pesticides</c:v>
                </c:pt>
                <c:pt idx="16">
                  <c:v>Transportation</c:v>
                </c:pt>
                <c:pt idx="17">
                  <c:v>Extractor Fan Electricity</c:v>
                </c:pt>
                <c:pt idx="18">
                  <c:v>Circulation Fan Electricity</c:v>
                </c:pt>
                <c:pt idx="19">
                  <c:v>Landfill Burden</c:v>
                </c:pt>
              </c:strCache>
            </c:strRef>
          </c:cat>
          <c:val>
            <c:numRef>
              <c:f>Figures!$G$27:$G$46</c:f>
              <c:numCache>
                <c:formatCode>0</c:formatCode>
                <c:ptCount val="20"/>
                <c:pt idx="0">
                  <c:v>136.11484925686196</c:v>
                </c:pt>
                <c:pt idx="1">
                  <c:v>12.373921006303924</c:v>
                </c:pt>
                <c:pt idx="2">
                  <c:v>1109.9255737894716</c:v>
                </c:pt>
                <c:pt idx="3">
                  <c:v>8.2855779824570384</c:v>
                </c:pt>
                <c:pt idx="4">
                  <c:v>15.584848702669689</c:v>
                </c:pt>
                <c:pt idx="5">
                  <c:v>61.620533496177849</c:v>
                </c:pt>
                <c:pt idx="6">
                  <c:v>836.88042477533656</c:v>
                </c:pt>
                <c:pt idx="7">
                  <c:v>1.8738491283660272</c:v>
                </c:pt>
                <c:pt idx="8">
                  <c:v>1.5217971321261181</c:v>
                </c:pt>
                <c:pt idx="9">
                  <c:v>2.0162503592852374</c:v>
                </c:pt>
                <c:pt idx="10">
                  <c:v>573.97799175148657</c:v>
                </c:pt>
                <c:pt idx="11">
                  <c:v>0.18895370690436436</c:v>
                </c:pt>
                <c:pt idx="12">
                  <c:v>3.8982274507707513</c:v>
                </c:pt>
                <c:pt idx="13">
                  <c:v>133.33488267000425</c:v>
                </c:pt>
                <c:pt idx="14">
                  <c:v>7.3918207234744413</c:v>
                </c:pt>
                <c:pt idx="15">
                  <c:v>0</c:v>
                </c:pt>
                <c:pt idx="16">
                  <c:v>836.88042477533656</c:v>
                </c:pt>
                <c:pt idx="17">
                  <c:v>68.595069206954761</c:v>
                </c:pt>
                <c:pt idx="18">
                  <c:v>85.472499945832467</c:v>
                </c:pt>
                <c:pt idx="19">
                  <c:v>5.4118966197773828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2-4969-99FE-E36B89AD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975935"/>
        <c:axId val="344986335"/>
      </c:barChart>
      <c:catAx>
        <c:axId val="34497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86335"/>
        <c:crosses val="autoZero"/>
        <c:auto val="1"/>
        <c:lblAlgn val="ctr"/>
        <c:lblOffset val="100"/>
        <c:noMultiLvlLbl val="0"/>
      </c:catAx>
      <c:valAx>
        <c:axId val="3449863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kg CO</a:t>
                </a:r>
                <a:r>
                  <a:rPr lang="en-US" baseline="-25000"/>
                  <a:t>2</a:t>
                </a:r>
                <a:r>
                  <a:rPr lang="en-US"/>
                  <a:t>-eq/kg-dry</a:t>
                </a:r>
                <a:r>
                  <a:rPr lang="en-US" baseline="0"/>
                  <a:t> flower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7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2748A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Figures!$I$50:$I$88</c:f>
                <c:numCache>
                  <c:formatCode>General</c:formatCode>
                  <c:ptCount val="39"/>
                  <c:pt idx="0">
                    <c:v>1552.4212638243116</c:v>
                  </c:pt>
                </c:numCache>
              </c:numRef>
            </c:plus>
            <c:minus>
              <c:numRef>
                <c:f>Figures!$J$50:$J$88</c:f>
                <c:numCache>
                  <c:formatCode>General</c:formatCode>
                  <c:ptCount val="39"/>
                  <c:pt idx="0">
                    <c:v>1349.1096291075164</c:v>
                  </c:pt>
                  <c:pt idx="1">
                    <c:v>0</c:v>
                  </c:pt>
                  <c:pt idx="3">
                    <c:v>0</c:v>
                  </c:pt>
                  <c:pt idx="5">
                    <c:v>0</c:v>
                  </c:pt>
                  <c:pt idx="7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Figures!$K$49:$K$87</c:f>
              <c:strCache>
                <c:ptCount val="39"/>
                <c:pt idx="0">
                  <c:v>Cannabis</c:v>
                </c:pt>
                <c:pt idx="2">
                  <c:v>Beer</c:v>
                </c:pt>
                <c:pt idx="4">
                  <c:v>Wine</c:v>
                </c:pt>
                <c:pt idx="6">
                  <c:v>Spirits</c:v>
                </c:pt>
                <c:pt idx="8">
                  <c:v>Cigarettes</c:v>
                </c:pt>
                <c:pt idx="10">
                  <c:v>Lamb</c:v>
                </c:pt>
                <c:pt idx="12">
                  <c:v>Beef</c:v>
                </c:pt>
                <c:pt idx="14">
                  <c:v>Cheese</c:v>
                </c:pt>
                <c:pt idx="16">
                  <c:v>Pork</c:v>
                </c:pt>
                <c:pt idx="18">
                  <c:v>Farmed Salmon</c:v>
                </c:pt>
                <c:pt idx="20">
                  <c:v>Turkey</c:v>
                </c:pt>
                <c:pt idx="22">
                  <c:v>Chicken</c:v>
                </c:pt>
                <c:pt idx="24">
                  <c:v>Canned Tuna</c:v>
                </c:pt>
                <c:pt idx="26">
                  <c:v>Eggs</c:v>
                </c:pt>
                <c:pt idx="28">
                  <c:v>Potatoes</c:v>
                </c:pt>
                <c:pt idx="30">
                  <c:v>Rice</c:v>
                </c:pt>
                <c:pt idx="32">
                  <c:v>Nuts</c:v>
                </c:pt>
                <c:pt idx="34">
                  <c:v>Yogurt</c:v>
                </c:pt>
                <c:pt idx="36">
                  <c:v>Tofu</c:v>
                </c:pt>
                <c:pt idx="38">
                  <c:v>Milk</c:v>
                </c:pt>
              </c:strCache>
            </c:strRef>
          </c:cat>
          <c:val>
            <c:numRef>
              <c:f>Figures!$L$49:$L$87</c:f>
              <c:numCache>
                <c:formatCode>0</c:formatCode>
                <c:ptCount val="39"/>
                <c:pt idx="0">
                  <c:v>3927.7991740850675</c:v>
                </c:pt>
                <c:pt idx="2" formatCode="0.00">
                  <c:v>0.8349647554042694</c:v>
                </c:pt>
                <c:pt idx="4" formatCode="0.00">
                  <c:v>1.7316341634085368</c:v>
                </c:pt>
                <c:pt idx="6" formatCode="General">
                  <c:v>1.4780011932812203</c:v>
                </c:pt>
                <c:pt idx="8" formatCode="0.00">
                  <c:v>14</c:v>
                </c:pt>
                <c:pt idx="10">
                  <c:v>35.53</c:v>
                </c:pt>
                <c:pt idx="12">
                  <c:v>24.26</c:v>
                </c:pt>
                <c:pt idx="14">
                  <c:v>11.699</c:v>
                </c:pt>
                <c:pt idx="16">
                  <c:v>8.2940000000000005</c:v>
                </c:pt>
                <c:pt idx="18" formatCode="General">
                  <c:v>8.6656999999999993</c:v>
                </c:pt>
                <c:pt idx="20">
                  <c:v>6.8707000000000003</c:v>
                </c:pt>
                <c:pt idx="22">
                  <c:v>3.59</c:v>
                </c:pt>
                <c:pt idx="24">
                  <c:v>4.1470000000000002</c:v>
                </c:pt>
                <c:pt idx="26">
                  <c:v>3.59</c:v>
                </c:pt>
                <c:pt idx="28">
                  <c:v>3.0939999999999999</c:v>
                </c:pt>
                <c:pt idx="30">
                  <c:v>2.1659999999999999</c:v>
                </c:pt>
                <c:pt idx="32">
                  <c:v>1.7949999999999999</c:v>
                </c:pt>
                <c:pt idx="34" formatCode="General">
                  <c:v>2.2000000000000002</c:v>
                </c:pt>
                <c:pt idx="36">
                  <c:v>1.1760999999999999</c:v>
                </c:pt>
                <c:pt idx="38">
                  <c:v>0.92847000000000002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D-4FAF-86BC-0AF80C5E4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50"/>
        <c:axId val="1267900239"/>
        <c:axId val="1267906895"/>
      </c:barChart>
      <c:barChart>
        <c:barDir val="col"/>
        <c:grouping val="clustered"/>
        <c:varyColors val="0"/>
        <c:ser>
          <c:idx val="1"/>
          <c:order val="1"/>
          <c:spPr>
            <a:solidFill>
              <a:srgbClr val="7DB947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Figures!$I$48:$I$88</c:f>
                <c:numCache>
                  <c:formatCode>General</c:formatCode>
                  <c:ptCount val="41"/>
                  <c:pt idx="1">
                    <c:v>1.164318282279817</c:v>
                  </c:pt>
                  <c:pt idx="2">
                    <c:v>1552.4212638243116</c:v>
                  </c:pt>
                </c:numCache>
              </c:numRef>
            </c:plus>
            <c:minus>
              <c:numRef>
                <c:f>Figures!$J$48:$J$88</c:f>
                <c:numCache>
                  <c:formatCode>General</c:formatCode>
                  <c:ptCount val="41"/>
                  <c:pt idx="1">
                    <c:v>1.0118342505178364</c:v>
                  </c:pt>
                  <c:pt idx="2">
                    <c:v>1349.1096291075164</c:v>
                  </c:pt>
                  <c:pt idx="3">
                    <c:v>0</c:v>
                  </c:pt>
                  <c:pt idx="5">
                    <c:v>0</c:v>
                  </c:pt>
                  <c:pt idx="7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Figures!$M$49:$M$88</c:f>
              <c:numCache>
                <c:formatCode>0</c:formatCode>
                <c:ptCount val="40"/>
                <c:pt idx="1">
                  <c:v>2.9458552868858172</c:v>
                </c:pt>
                <c:pt idx="3" formatCode="General">
                  <c:v>0.28405056951002994</c:v>
                </c:pt>
                <c:pt idx="5" formatCode="General">
                  <c:v>0.24545530570582133</c:v>
                </c:pt>
                <c:pt idx="7" formatCode="General">
                  <c:v>0.13558739103403575</c:v>
                </c:pt>
                <c:pt idx="9" formatCode="0.000000">
                  <c:v>0.28000056138992563</c:v>
                </c:pt>
                <c:pt idx="11">
                  <c:v>3.0217792635465526</c:v>
                </c:pt>
                <c:pt idx="13">
                  <c:v>2.0632807467953662</c:v>
                </c:pt>
                <c:pt idx="15">
                  <c:v>0.33166146546797182</c:v>
                </c:pt>
                <c:pt idx="17">
                  <c:v>0.70539367328609925</c:v>
                </c:pt>
                <c:pt idx="19">
                  <c:v>0.73700626411807924</c:v>
                </c:pt>
                <c:pt idx="21">
                  <c:v>0.77912520071486258</c:v>
                </c:pt>
                <c:pt idx="23">
                  <c:v>0.40709963621848666</c:v>
                </c:pt>
                <c:pt idx="25">
                  <c:v>0.23513122442869977</c:v>
                </c:pt>
                <c:pt idx="27">
                  <c:v>0.20104040307796658</c:v>
                </c:pt>
                <c:pt idx="29">
                  <c:v>0.464004567680598</c:v>
                </c:pt>
                <c:pt idx="31">
                  <c:v>8.5506657609928247E-2</c:v>
                </c:pt>
                <c:pt idx="33">
                  <c:v>5.744011516513331E-2</c:v>
                </c:pt>
                <c:pt idx="35">
                  <c:v>0.3742141502844028</c:v>
                </c:pt>
                <c:pt idx="37">
                  <c:v>9.408818864305471E-2</c:v>
                </c:pt>
                <c:pt idx="39">
                  <c:v>0.42114740862370842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5D-4FAF-86BC-0AF80C5E469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Figures!$O$49:$O$67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D-4FAF-86BC-0AF80C5E4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60"/>
        <c:axId val="978531631"/>
        <c:axId val="978520815"/>
      </c:barChart>
      <c:catAx>
        <c:axId val="126790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267906895"/>
        <c:crosses val="autoZero"/>
        <c:auto val="1"/>
        <c:lblAlgn val="ctr"/>
        <c:lblOffset val="100"/>
        <c:noMultiLvlLbl val="0"/>
      </c:catAx>
      <c:valAx>
        <c:axId val="12679068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Candara" panose="020E0502030303020204" pitchFamily="34" charset="0"/>
                    <a:ea typeface="+mn-ea"/>
                    <a:cs typeface="+mn-cs"/>
                  </a:defRPr>
                </a:pPr>
                <a:r>
                  <a:rPr lang="en-US" sz="1600"/>
                  <a:t>kg CO</a:t>
                </a:r>
                <a:r>
                  <a:rPr lang="en-US" sz="1600" baseline="-25000"/>
                  <a:t>2</a:t>
                </a:r>
                <a:r>
                  <a:rPr lang="en-US" sz="1600"/>
                  <a:t>e/kg-product</a:t>
                </a:r>
              </a:p>
            </c:rich>
          </c:tx>
          <c:layout>
            <c:manualLayout>
              <c:xMode val="edge"/>
              <c:yMode val="edge"/>
              <c:x val="1.3294232239769329E-3"/>
              <c:y val="0.1787956801000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Candara" panose="020E0502030303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267900239"/>
        <c:crosses val="autoZero"/>
        <c:crossBetween val="between"/>
      </c:valAx>
      <c:valAx>
        <c:axId val="9785208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Candara" panose="020E0502030303020204" pitchFamily="34" charset="0"/>
                    <a:ea typeface="+mn-ea"/>
                    <a:cs typeface="+mn-cs"/>
                  </a:defRPr>
                </a:pPr>
                <a:r>
                  <a:rPr lang="en-US" sz="1600"/>
                  <a:t>kg CO</a:t>
                </a:r>
                <a:r>
                  <a:rPr lang="en-US" sz="1600" baseline="-25000"/>
                  <a:t>2</a:t>
                </a:r>
                <a:r>
                  <a:rPr lang="en-US" sz="1600"/>
                  <a:t>-eq/daily</a:t>
                </a:r>
                <a:r>
                  <a:rPr lang="en-US" sz="1600" baseline="0"/>
                  <a:t> consumption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Candara" panose="020E0502030303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978531631"/>
        <c:crosses val="max"/>
        <c:crossBetween val="between"/>
      </c:valAx>
      <c:catAx>
        <c:axId val="978531631"/>
        <c:scaling>
          <c:orientation val="minMax"/>
        </c:scaling>
        <c:delete val="1"/>
        <c:axPos val="b"/>
        <c:majorTickMark val="out"/>
        <c:minorTickMark val="none"/>
        <c:tickLblPos val="nextTo"/>
        <c:crossAx val="9785208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Candara" panose="020E05020303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Warming</a:t>
            </a:r>
            <a:r>
              <a:rPr lang="en-US" baseline="0"/>
              <a:t> Potential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Figures!$C$118</c:f>
              <c:strCache>
                <c:ptCount val="1"/>
                <c:pt idx="0">
                  <c:v>Climate Control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Figures!$D$118:$E$118</c:f>
              <c:numCache>
                <c:formatCode>0.00</c:formatCode>
                <c:ptCount val="2"/>
                <c:pt idx="0">
                  <c:v>2312.6496975845048</c:v>
                </c:pt>
                <c:pt idx="1">
                  <c:v>58.488336811744091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B-46C2-BFC9-279287CE60C1}"/>
            </c:ext>
          </c:extLst>
        </c:ser>
        <c:ser>
          <c:idx val="1"/>
          <c:order val="1"/>
          <c:tx>
            <c:strRef>
              <c:f>Figures!$C$119</c:f>
              <c:strCache>
                <c:ptCount val="1"/>
                <c:pt idx="0">
                  <c:v>Electricity from Lights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Figures!$D$119:$E$119</c:f>
              <c:numCache>
                <c:formatCode>0.00</c:formatCode>
                <c:ptCount val="2"/>
                <c:pt idx="0">
                  <c:v>836.88042477533656</c:v>
                </c:pt>
                <c:pt idx="1">
                  <c:v>3.7694476887833783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B-46C2-BFC9-279287CE60C1}"/>
            </c:ext>
          </c:extLst>
        </c:ser>
        <c:ser>
          <c:idx val="2"/>
          <c:order val="2"/>
          <c:tx>
            <c:strRef>
              <c:f>Figures!$C$120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Figures!$D$120:$E$120</c:f>
              <c:numCache>
                <c:formatCode>0.00</c:formatCode>
                <c:ptCount val="2"/>
                <c:pt idx="0">
                  <c:v>5.4118966197773828</c:v>
                </c:pt>
                <c:pt idx="1">
                  <c:v>5.7226129097476672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B-46C2-BFC9-279287CE60C1}"/>
            </c:ext>
          </c:extLst>
        </c:ser>
        <c:ser>
          <c:idx val="3"/>
          <c:order val="3"/>
          <c:tx>
            <c:strRef>
              <c:f>Figures!$C$121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Figures!$D$121:$E$121</c:f>
              <c:numCache>
                <c:formatCode>0.00</c:formatCode>
                <c:ptCount val="2"/>
                <c:pt idx="0">
                  <c:v>573.97799175148657</c:v>
                </c:pt>
                <c:pt idx="1">
                  <c:v>1.6099529890908506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B-46C2-BFC9-279287CE60C1}"/>
            </c:ext>
          </c:extLst>
        </c:ser>
        <c:ser>
          <c:idx val="4"/>
          <c:order val="4"/>
          <c:tx>
            <c:strRef>
              <c:f>Figures!$C$122</c:f>
              <c:strCache>
                <c:ptCount val="1"/>
                <c:pt idx="0">
                  <c:v>Nutrients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Figures!$D$122:$E$122</c:f>
              <c:numCache>
                <c:formatCode>0.00</c:formatCode>
                <c:ptCount val="2"/>
                <c:pt idx="0">
                  <c:v>136.64710563041712</c:v>
                </c:pt>
                <c:pt idx="1">
                  <c:v>4.2855072209801566E-2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B-46C2-BFC9-279287CE60C1}"/>
            </c:ext>
          </c:extLst>
        </c:ser>
        <c:ser>
          <c:idx val="5"/>
          <c:order val="5"/>
          <c:tx>
            <c:strRef>
              <c:f>Figures!$C$123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Figures!$D$123:$E$123</c:f>
              <c:numCache>
                <c:formatCode>0.00</c:formatCode>
                <c:ptCount val="2"/>
                <c:pt idx="0">
                  <c:v>3.8982274507707513</c:v>
                </c:pt>
                <c:pt idx="1">
                  <c:v>1.3976807297382467E-3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EB-46C2-BFC9-279287CE60C1}"/>
            </c:ext>
          </c:extLst>
        </c:ser>
        <c:ser>
          <c:idx val="6"/>
          <c:order val="6"/>
          <c:tx>
            <c:strRef>
              <c:f>Figures!$C$124</c:f>
              <c:strCache>
                <c:ptCount val="1"/>
                <c:pt idx="0">
                  <c:v>Plant Protection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Figures!$D$117:$E$117</c:f>
              <c:strCache>
                <c:ptCount val="2"/>
                <c:pt idx="0">
                  <c:v>Indoor</c:v>
                </c:pt>
                <c:pt idx="1">
                  <c:v>Outdoor</c:v>
                </c:pt>
              </c:strCache>
            </c:strRef>
          </c:cat>
          <c:val>
            <c:numRef>
              <c:f>Figures!$D$124:$E$124</c:f>
              <c:numCache>
                <c:formatCode>0.00</c:formatCode>
                <c:ptCount val="2"/>
                <c:pt idx="0">
                  <c:v>16.166942811456092</c:v>
                </c:pt>
                <c:pt idx="1">
                  <c:v>0.66492723546012267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EB-46C2-BFC9-279287CE6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6373648"/>
        <c:axId val="1096378640"/>
      </c:barChart>
      <c:catAx>
        <c:axId val="10963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378640"/>
        <c:crosses val="autoZero"/>
        <c:auto val="1"/>
        <c:lblAlgn val="ctr"/>
        <c:lblOffset val="100"/>
        <c:noMultiLvlLbl val="0"/>
      </c:catAx>
      <c:valAx>
        <c:axId val="10963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GWP</a:t>
                </a:r>
                <a:r>
                  <a:rPr lang="en-US" baseline="0"/>
                  <a:t> (kg CO2-eq/kg dry cannabis)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611109045397283E-3"/>
              <c:y val="0.21390592671635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3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Environmental Burden </a:t>
            </a:r>
            <a:r>
              <a:rPr lang="en-US" baseline="0"/>
              <a:t>by Serving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Figures!$X$115:$X$126</c:f>
              <c:strCache>
                <c:ptCount val="12"/>
                <c:pt idx="0">
                  <c:v>Cannabis</c:v>
                </c:pt>
                <c:pt idx="1">
                  <c:v>Beer</c:v>
                </c:pt>
                <c:pt idx="2">
                  <c:v>Wine</c:v>
                </c:pt>
                <c:pt idx="3">
                  <c:v>Spirits</c:v>
                </c:pt>
                <c:pt idx="4">
                  <c:v>Cigarettes</c:v>
                </c:pt>
                <c:pt idx="5">
                  <c:v>Lamb</c:v>
                </c:pt>
                <c:pt idx="6">
                  <c:v>Beef</c:v>
                </c:pt>
                <c:pt idx="7">
                  <c:v>Cheese</c:v>
                </c:pt>
                <c:pt idx="8">
                  <c:v>Pork</c:v>
                </c:pt>
                <c:pt idx="9">
                  <c:v>Turkey</c:v>
                </c:pt>
                <c:pt idx="10">
                  <c:v>Chicken</c:v>
                </c:pt>
                <c:pt idx="11">
                  <c:v>Canned Tuna</c:v>
                </c:pt>
              </c:strCache>
            </c:strRef>
          </c:cat>
          <c:val>
            <c:numRef>
              <c:f>Figures!$Y$115:$Y$126</c:f>
              <c:numCache>
                <c:formatCode>General</c:formatCode>
                <c:ptCount val="12"/>
                <c:pt idx="0" formatCode="0">
                  <c:v>6.4944914825742099</c:v>
                </c:pt>
                <c:pt idx="1">
                  <c:v>0.6262235665532021</c:v>
                </c:pt>
                <c:pt idx="2">
                  <c:v>0.54113567606516777</c:v>
                </c:pt>
                <c:pt idx="3">
                  <c:v>0.29891867402145589</c:v>
                </c:pt>
                <c:pt idx="4" formatCode="0.000000">
                  <c:v>0.61729483765145776</c:v>
                </c:pt>
                <c:pt idx="5" formatCode="0">
                  <c:v>6.6618750000000002</c:v>
                </c:pt>
                <c:pt idx="6" formatCode="0">
                  <c:v>4.5487500000000001</c:v>
                </c:pt>
                <c:pt idx="7" formatCode="0">
                  <c:v>0.73118749999999999</c:v>
                </c:pt>
                <c:pt idx="8" formatCode="0">
                  <c:v>1.5551250000000001</c:v>
                </c:pt>
                <c:pt idx="9" formatCode="0">
                  <c:v>1.7176750000000003</c:v>
                </c:pt>
                <c:pt idx="10" formatCode="0">
                  <c:v>0.89749999999999996</c:v>
                </c:pt>
                <c:pt idx="11" formatCode="0">
                  <c:v>0.51837500000000003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2-4D26-8C36-C993FF75E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6747104"/>
        <c:axId val="656745024"/>
      </c:barChart>
      <c:catAx>
        <c:axId val="65674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45024"/>
        <c:crosses val="autoZero"/>
        <c:auto val="1"/>
        <c:lblAlgn val="ctr"/>
        <c:lblOffset val="100"/>
        <c:noMultiLvlLbl val="0"/>
      </c:catAx>
      <c:valAx>
        <c:axId val="6567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4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/>
              <a:t>Colorado Annual Greenhouse Gas Emissions by Sector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2B-46F3-B080-46586ABBD857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52B-46F3-B080-46586ABBD857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2B-46F3-B080-46586ABBD857}"/>
              </c:ext>
            </c:extLst>
          </c:dPt>
          <c:dPt>
            <c:idx val="3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2B-46F3-B080-46586ABBD857}"/>
              </c:ext>
            </c:extLst>
          </c:dPt>
          <c:dPt>
            <c:idx val="4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52B-46F3-B080-46586ABBD857}"/>
              </c:ext>
            </c:extLst>
          </c:dPt>
          <c:dPt>
            <c:idx val="5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2B-46F3-B080-46586ABBD857}"/>
              </c:ext>
            </c:extLst>
          </c:dPt>
          <c:dPt>
            <c:idx val="6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52B-46F3-B080-46586ABBD857}"/>
              </c:ext>
            </c:extLst>
          </c:dPt>
          <c:dPt>
            <c:idx val="7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2B-46F3-B080-46586ABBD857}"/>
              </c:ext>
            </c:extLst>
          </c:dPt>
          <c:dPt>
            <c:idx val="8"/>
            <c:bubble3D val="0"/>
            <c:spPr>
              <a:solidFill>
                <a:srgbClr val="008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52B-46F3-B080-46586ABBD857}"/>
              </c:ext>
            </c:extLst>
          </c:dPt>
          <c:dLbls>
            <c:dLbl>
              <c:idx val="0"/>
              <c:layout>
                <c:manualLayout>
                  <c:x val="0.10640082950964129"/>
                  <c:y val="-0.11962400987009308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18750"/>
                        <a:gd name="adj2" fmla="val -8333"/>
                        <a:gd name="adj3" fmla="val 18750"/>
                        <a:gd name="adj4" fmla="val -16667"/>
                        <a:gd name="adj5" fmla="val 138670"/>
                        <a:gd name="adj6" fmla="val -4360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152B-46F3-B080-46586ABBD857}"/>
                </c:ext>
              </c:extLst>
            </c:dLbl>
            <c:dLbl>
              <c:idx val="1"/>
              <c:layout>
                <c:manualLayout>
                  <c:x val="0.16121022679725769"/>
                  <c:y val="4.40663813063004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2B-46F3-B080-46586ABBD857}"/>
                </c:ext>
              </c:extLst>
            </c:dLbl>
            <c:dLbl>
              <c:idx val="2"/>
              <c:layout>
                <c:manualLayout>
                  <c:x val="-0.15868404788375803"/>
                  <c:y val="8.2352904348452161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43963"/>
                        <a:gd name="adj2" fmla="val 100465"/>
                        <a:gd name="adj3" fmla="val 44238"/>
                        <a:gd name="adj4" fmla="val 110489"/>
                        <a:gd name="adj5" fmla="val -68132"/>
                        <a:gd name="adj6" fmla="val 12418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152B-46F3-B080-46586ABBD857}"/>
                </c:ext>
              </c:extLst>
            </c:dLbl>
            <c:dLbl>
              <c:idx val="3"/>
              <c:layout>
                <c:manualLayout>
                  <c:x val="-0.1294776517640979"/>
                  <c:y val="0.1628802092973114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46156"/>
                        <a:gd name="adj2" fmla="val 99935"/>
                        <a:gd name="adj3" fmla="val 46156"/>
                        <a:gd name="adj4" fmla="val 117128"/>
                        <a:gd name="adj5" fmla="val -133400"/>
                        <a:gd name="adj6" fmla="val 14741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152B-46F3-B080-46586ABBD857}"/>
                </c:ext>
              </c:extLst>
            </c:dLbl>
            <c:dLbl>
              <c:idx val="4"/>
              <c:layout>
                <c:manualLayout>
                  <c:x val="-0.1560976635545652"/>
                  <c:y val="6.8103505283888435E-2"/>
                </c:manualLayout>
              </c:layout>
              <c:spPr>
                <a:xfrm>
                  <a:off x="0" y="2846875"/>
                  <a:ext cx="1387305" cy="661527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47547"/>
                        <a:gd name="adj2" fmla="val 100326"/>
                        <a:gd name="adj3" fmla="val 47547"/>
                        <a:gd name="adj4" fmla="val 107515"/>
                        <a:gd name="adj5" fmla="val -4539"/>
                        <a:gd name="adj6" fmla="val 12812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981644549818325"/>
                      <c:h val="0.12942719104210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152B-46F3-B080-46586ABBD857}"/>
                </c:ext>
              </c:extLst>
            </c:dLbl>
            <c:dLbl>
              <c:idx val="5"/>
              <c:layout>
                <c:manualLayout>
                  <c:x val="-0.19205297154775594"/>
                  <c:y val="-3.230162478542212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53807"/>
                        <a:gd name="adj2" fmla="val 99819"/>
                        <a:gd name="adj3" fmla="val 53807"/>
                        <a:gd name="adj4" fmla="val 116685"/>
                        <a:gd name="adj5" fmla="val 75041"/>
                        <a:gd name="adj6" fmla="val 22219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152B-46F3-B080-46586ABBD857}"/>
                </c:ext>
              </c:extLst>
            </c:dLbl>
            <c:dLbl>
              <c:idx val="6"/>
              <c:layout>
                <c:manualLayout>
                  <c:x val="-0.12803532008830026"/>
                  <c:y val="-5.882352941176470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42502"/>
                        <a:gd name="adj2" fmla="val 99435"/>
                        <a:gd name="adj3" fmla="val 44329"/>
                        <a:gd name="adj4" fmla="val 121759"/>
                        <a:gd name="adj5" fmla="val 116323"/>
                        <a:gd name="adj6" fmla="val 14970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152B-46F3-B080-46586ABBD857}"/>
                </c:ext>
              </c:extLst>
            </c:dLbl>
            <c:dLbl>
              <c:idx val="7"/>
              <c:layout>
                <c:manualLayout>
                  <c:x val="-0.15011037527593823"/>
                  <c:y val="-9.411764705882352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" lastClr="FFFFFF">
                      <a:lumMod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Gill Sans MT" panose="020B050202010402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>
                        <a:gd name="adj1" fmla="val 47547"/>
                        <a:gd name="adj2" fmla="val 100041"/>
                        <a:gd name="adj3" fmla="val 48799"/>
                        <a:gd name="adj4" fmla="val 101132"/>
                        <a:gd name="adj5" fmla="val 122719"/>
                        <a:gd name="adj6" fmla="val 16858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152B-46F3-B080-46586ABBD857}"/>
                </c:ext>
              </c:extLst>
            </c:dLbl>
            <c:dLbl>
              <c:idx val="8"/>
              <c:layout>
                <c:manualLayout>
                  <c:x val="0.14923842309629531"/>
                  <c:y val="-8.24718588479648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2B-46F3-B080-46586ABBD8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" lastClr="FFFFFF">
                    <a:lumMod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2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Figures!$C$161:$C$169</c:f>
              <c:strCache>
                <c:ptCount val="9"/>
                <c:pt idx="0">
                  <c:v>Electricity Generation</c:v>
                </c:pt>
                <c:pt idx="1">
                  <c:v>Transportation</c:v>
                </c:pt>
                <c:pt idx="2">
                  <c:v>Building Fuel Use</c:v>
                </c:pt>
                <c:pt idx="3">
                  <c:v>Coal Mining</c:v>
                </c:pt>
                <c:pt idx="4">
                  <c:v>Waste Management</c:v>
                </c:pt>
                <c:pt idx="5">
                  <c:v>Industrial Processes</c:v>
                </c:pt>
                <c:pt idx="6">
                  <c:v>Agriculture</c:v>
                </c:pt>
                <c:pt idx="7">
                  <c:v>Oil &amp; Gas Production</c:v>
                </c:pt>
                <c:pt idx="8">
                  <c:v>Indoor Cannabis</c:v>
                </c:pt>
              </c:strCache>
            </c:strRef>
          </c:cat>
          <c:val>
            <c:numRef>
              <c:f>Figures!$D$161:$D$169</c:f>
              <c:numCache>
                <c:formatCode>General</c:formatCode>
                <c:ptCount val="9"/>
                <c:pt idx="0">
                  <c:v>0.28999999999999998</c:v>
                </c:pt>
                <c:pt idx="1">
                  <c:v>0.22</c:v>
                </c:pt>
                <c:pt idx="2">
                  <c:v>0.2</c:v>
                </c:pt>
                <c:pt idx="3">
                  <c:v>0.01</c:v>
                </c:pt>
                <c:pt idx="4">
                  <c:v>0.03</c:v>
                </c:pt>
                <c:pt idx="5">
                  <c:v>0.03</c:v>
                </c:pt>
                <c:pt idx="6">
                  <c:v>0.08</c:v>
                </c:pt>
                <c:pt idx="7">
                  <c:v>0.12</c:v>
                </c:pt>
                <c:pt idx="8">
                  <c:v>2.1422975569537164E-2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B-46F3-B080-46586ABBD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Figures!$S$178</c:f>
              <c:strCache>
                <c:ptCount val="1"/>
                <c:pt idx="0">
                  <c:v>Lighting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Figures!$T$178</c:f>
              <c:numCache>
                <c:formatCode>0%</c:formatCode>
                <c:ptCount val="1"/>
                <c:pt idx="0">
                  <c:v>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D-49BC-9F55-6A5F16C8B627}"/>
            </c:ext>
          </c:extLst>
        </c:ser>
        <c:ser>
          <c:idx val="1"/>
          <c:order val="1"/>
          <c:tx>
            <c:strRef>
              <c:f>Figures!$S$179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Figures!$T$179</c:f>
              <c:numCache>
                <c:formatCode>0%</c:formatCode>
                <c:ptCount val="1"/>
                <c:pt idx="0">
                  <c:v>1646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D-49BC-9F55-6A5F16C8B627}"/>
            </c:ext>
          </c:extLst>
        </c:ser>
        <c:ser>
          <c:idx val="2"/>
          <c:order val="2"/>
          <c:tx>
            <c:strRef>
              <c:f>Figures!$S$180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Figures!$T$180</c:f>
              <c:numCache>
                <c:formatCode>0%</c:formatCode>
                <c:ptCount val="1"/>
                <c:pt idx="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D-49BC-9F55-6A5F16C8B627}"/>
            </c:ext>
          </c:extLst>
        </c:ser>
        <c:ser>
          <c:idx val="3"/>
          <c:order val="3"/>
          <c:tx>
            <c:strRef>
              <c:f>Figures!$S$181</c:f>
              <c:strCache>
                <c:ptCount val="1"/>
                <c:pt idx="0">
                  <c:v>AC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Figures!$T$181</c:f>
              <c:numCache>
                <c:formatCode>0%</c:formatCode>
                <c:ptCount val="1"/>
                <c:pt idx="0">
                  <c:v>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CD-49BC-9F55-6A5F16C8B627}"/>
            </c:ext>
          </c:extLst>
        </c:ser>
        <c:ser>
          <c:idx val="4"/>
          <c:order val="4"/>
          <c:tx>
            <c:strRef>
              <c:f>Figures!$S$182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Figures!$T$182</c:f>
              <c:numCache>
                <c:formatCode>0%</c:formatCode>
                <c:ptCount val="1"/>
                <c:pt idx="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CD-49BC-9F55-6A5F16C8B627}"/>
            </c:ext>
          </c:extLst>
        </c:ser>
        <c:ser>
          <c:idx val="5"/>
          <c:order val="5"/>
          <c:tx>
            <c:strRef>
              <c:f>Figures!$S$183</c:f>
              <c:strCache>
                <c:ptCount val="1"/>
                <c:pt idx="0">
                  <c:v>Dehumidification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Figures!$T$183</c:f>
              <c:numCache>
                <c:formatCode>0%</c:formatCode>
                <c:ptCount val="1"/>
                <c:pt idx="0">
                  <c:v>2267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CD-49BC-9F55-6A5F16C8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723120"/>
        <c:axId val="2031732272"/>
      </c:barChart>
      <c:catAx>
        <c:axId val="20317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32272"/>
        <c:crosses val="autoZero"/>
        <c:auto val="1"/>
        <c:lblAlgn val="ctr"/>
        <c:lblOffset val="100"/>
        <c:noMultiLvlLbl val="0"/>
      </c:catAx>
      <c:valAx>
        <c:axId val="20317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79383626610845"/>
          <c:y val="2.0908947827787343E-2"/>
          <c:w val="0.66687258781971614"/>
          <c:h val="0.85851744173641453"/>
        </c:manualLayout>
      </c:layout>
      <c:scatterChart>
        <c:scatterStyle val="lineMarker"/>
        <c:varyColors val="0"/>
        <c:ser>
          <c:idx val="4"/>
          <c:order val="0"/>
          <c:tx>
            <c:strRef>
              <c:f>Figures!$D$274</c:f>
              <c:strCache>
                <c:ptCount val="1"/>
                <c:pt idx="0">
                  <c:v>Long Beach, 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Figures!$D$275:$D$280</c:f>
              <c:numCache>
                <c:formatCode>General</c:formatCode>
                <c:ptCount val="6"/>
                <c:pt idx="0">
                  <c:v>1587.9174633465366</c:v>
                </c:pt>
                <c:pt idx="1">
                  <c:v>2187.9734929671636</c:v>
                </c:pt>
                <c:pt idx="2">
                  <c:v>2578.6895449775511</c:v>
                </c:pt>
                <c:pt idx="3">
                  <c:v>3138.2214531055174</c:v>
                </c:pt>
                <c:pt idx="4" formatCode="0.00">
                  <c:v>3683.5446768312354</c:v>
                </c:pt>
                <c:pt idx="5">
                  <c:v>4237.8717908589997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B8-486F-A1D1-BD6A59643AE0}"/>
            </c:ext>
          </c:extLst>
        </c:ser>
        <c:ser>
          <c:idx val="2"/>
          <c:order val="1"/>
          <c:tx>
            <c:strRef>
              <c:f>Figures!$F$274</c:f>
              <c:strCache>
                <c:ptCount val="1"/>
                <c:pt idx="0">
                  <c:v>Portland, 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Figures!$C$275:$C$282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Figures!$F$275:$F$280</c:f>
              <c:numCache>
                <c:formatCode>General</c:formatCode>
                <c:ptCount val="6"/>
                <c:pt idx="0">
                  <c:v>1885.1184701177594</c:v>
                </c:pt>
                <c:pt idx="1">
                  <c:v>2635.3865874217468</c:v>
                </c:pt>
                <c:pt idx="2">
                  <c:v>3118.3227080924676</c:v>
                </c:pt>
                <c:pt idx="3">
                  <c:v>3811.1122604528682</c:v>
                </c:pt>
                <c:pt idx="4" formatCode="0.00">
                  <c:v>4492.5982264684162</c:v>
                </c:pt>
                <c:pt idx="5">
                  <c:v>5187.1139056804532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B8-486F-A1D1-BD6A59643AE0}"/>
            </c:ext>
          </c:extLst>
        </c:ser>
        <c:ser>
          <c:idx val="3"/>
          <c:order val="2"/>
          <c:tx>
            <c:strRef>
              <c:f>Figures!$E$274</c:f>
              <c:strCache>
                <c:ptCount val="1"/>
                <c:pt idx="0">
                  <c:v>Portland, 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Figures!$E$275:$E$280</c:f>
              <c:numCache>
                <c:formatCode>General</c:formatCode>
                <c:ptCount val="6"/>
                <c:pt idx="0">
                  <c:v>1952.0247989147097</c:v>
                </c:pt>
                <c:pt idx="1">
                  <c:v>2886.5988900618399</c:v>
                </c:pt>
                <c:pt idx="2">
                  <c:v>3603.9419166253479</c:v>
                </c:pt>
                <c:pt idx="3">
                  <c:v>4490.8169946522175</c:v>
                </c:pt>
                <c:pt idx="4" formatCode="0.00">
                  <c:v>5374.4538269520635</c:v>
                </c:pt>
                <c:pt idx="5">
                  <c:v>6265.5313816328025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B8-486F-A1D1-BD6A59643AE0}"/>
            </c:ext>
          </c:extLst>
        </c:ser>
        <c:ser>
          <c:idx val="0"/>
          <c:order val="3"/>
          <c:tx>
            <c:strRef>
              <c:f>Figures!$H$274</c:f>
              <c:strCache>
                <c:ptCount val="1"/>
                <c:pt idx="0">
                  <c:v>Miami, FL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C000"/>
              </a:solidFill>
              <a:ln w="38100">
                <a:noFill/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Figures!$H$275:$H$280</c:f>
              <c:numCache>
                <c:formatCode>General</c:formatCode>
                <c:ptCount val="6"/>
                <c:pt idx="0">
                  <c:v>2479.4153674912664</c:v>
                </c:pt>
                <c:pt idx="1">
                  <c:v>3500.543442488141</c:v>
                </c:pt>
                <c:pt idx="2">
                  <c:v>4124.0696296054894</c:v>
                </c:pt>
                <c:pt idx="3">
                  <c:v>5070.6975200589732</c:v>
                </c:pt>
                <c:pt idx="4" formatCode="0.00">
                  <c:v>6008.9213321200941</c:v>
                </c:pt>
                <c:pt idx="5">
                  <c:v>6922.6199343928347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8-486F-A1D1-BD6A59643AE0}"/>
            </c:ext>
          </c:extLst>
        </c:ser>
        <c:ser>
          <c:idx val="1"/>
          <c:order val="4"/>
          <c:tx>
            <c:strRef>
              <c:f>Figures!$G$274</c:f>
              <c:strCache>
                <c:ptCount val="1"/>
                <c:pt idx="0">
                  <c:v>Denver,CO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accent3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Figures!$G$275:$G$280</c:f>
              <c:numCache>
                <c:formatCode>General</c:formatCode>
                <c:ptCount val="6"/>
                <c:pt idx="0">
                  <c:v>2775.0143060319374</c:v>
                </c:pt>
                <c:pt idx="1">
                  <c:v>3355.3149963760993</c:v>
                </c:pt>
                <c:pt idx="2">
                  <c:v>4239.2093596354671</c:v>
                </c:pt>
                <c:pt idx="3">
                  <c:v>5110.878240190118</c:v>
                </c:pt>
                <c:pt idx="4" formatCode="0.00">
                  <c:v>5971.1495355808602</c:v>
                </c:pt>
                <c:pt idx="5">
                  <c:v>6847.6699941854868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B8-486F-A1D1-BD6A59643AE0}"/>
            </c:ext>
          </c:extLst>
        </c:ser>
        <c:ser>
          <c:idx val="7"/>
          <c:order val="5"/>
          <c:tx>
            <c:strRef>
              <c:f>Figures!$K$274</c:f>
              <c:strCache>
                <c:ptCount val="1"/>
                <c:pt idx="0">
                  <c:v>Detroit, MI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Figures!$K$275:$K$280</c:f>
              <c:numCache>
                <c:formatCode>General</c:formatCode>
                <c:ptCount val="6"/>
                <c:pt idx="0">
                  <c:v>2869.9506211813227</c:v>
                </c:pt>
                <c:pt idx="1">
                  <c:v>3916.9026679700914</c:v>
                </c:pt>
                <c:pt idx="2">
                  <c:v>4406.7828423135843</c:v>
                </c:pt>
                <c:pt idx="3">
                  <c:v>5321.3413386746806</c:v>
                </c:pt>
                <c:pt idx="4">
                  <c:v>6229.8700677523066</c:v>
                </c:pt>
                <c:pt idx="5">
                  <c:v>7148.6312597536644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0B-4C65-8553-1DFCBA35E365}"/>
            </c:ext>
          </c:extLst>
        </c:ser>
        <c:ser>
          <c:idx val="5"/>
          <c:order val="6"/>
          <c:tx>
            <c:strRef>
              <c:f>Figures!$I$274</c:f>
              <c:strCache>
                <c:ptCount val="1"/>
                <c:pt idx="0">
                  <c:v>Barrow, AK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chemeClr val="accent5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Figures!$I$275:$I$280</c:f>
              <c:numCache>
                <c:formatCode>General</c:formatCode>
                <c:ptCount val="6"/>
                <c:pt idx="0">
                  <c:v>2545.7694200201081</c:v>
                </c:pt>
                <c:pt idx="1">
                  <c:v>4077.0873960633749</c:v>
                </c:pt>
                <c:pt idx="2">
                  <c:v>5395.6234778948974</c:v>
                </c:pt>
                <c:pt idx="3">
                  <c:v>6879.5377928797507</c:v>
                </c:pt>
                <c:pt idx="4">
                  <c:v>8369.65580170057</c:v>
                </c:pt>
                <c:pt idx="5">
                  <c:v>9861.0008562940129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B-4C65-8553-1DFCBA35E365}"/>
            </c:ext>
          </c:extLst>
        </c:ser>
        <c:ser>
          <c:idx val="6"/>
          <c:order val="7"/>
          <c:tx>
            <c:strRef>
              <c:f>Figures!$J$274</c:f>
              <c:strCache>
                <c:ptCount val="1"/>
                <c:pt idx="0">
                  <c:v>Kaneohe Bay, 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Figures!$C$275:$C$280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Figures!$J$275:$J$280</c:f>
              <c:numCache>
                <c:formatCode>General</c:formatCode>
                <c:ptCount val="6"/>
                <c:pt idx="0">
                  <c:v>3570.6355138831482</c:v>
                </c:pt>
                <c:pt idx="1">
                  <c:v>4884.5110668563248</c:v>
                </c:pt>
                <c:pt idx="2">
                  <c:v>5480.2204379093791</c:v>
                </c:pt>
                <c:pt idx="3">
                  <c:v>6659.5398430503446</c:v>
                </c:pt>
                <c:pt idx="4">
                  <c:v>7832.21700052913</c:v>
                </c:pt>
                <c:pt idx="5">
                  <c:v>8942.9734290564193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0B-4C65-8553-1DFCBA35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379664"/>
        <c:axId val="518382992"/>
      </c:scatterChart>
      <c:valAx>
        <c:axId val="518379664"/>
        <c:scaling>
          <c:orientation val="minMax"/>
          <c:max val="6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Air Changes per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518382992"/>
        <c:crosses val="autoZero"/>
        <c:crossBetween val="midCat"/>
      </c:valAx>
      <c:valAx>
        <c:axId val="518382992"/>
        <c:scaling>
          <c:orientation val="minMax"/>
          <c:max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GHGs (kg CO2-eq per kg-dried flower)</a:t>
                </a:r>
              </a:p>
            </c:rich>
          </c:tx>
          <c:layout>
            <c:manualLayout>
              <c:xMode val="edge"/>
              <c:yMode val="edge"/>
              <c:x val="0"/>
              <c:y val="0.29041934223829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51837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26279812088982"/>
          <c:y val="4.0243222315428505E-2"/>
          <c:w val="0.51674803166041239"/>
          <c:h val="0.73640286086964535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Figures!$I$238</c:f>
              <c:strCache>
                <c:ptCount val="1"/>
                <c:pt idx="0">
                  <c:v>Soil</c:v>
                </c:pt>
              </c:strCache>
            </c:strRef>
          </c:tx>
          <c:spPr>
            <a:solidFill>
              <a:srgbClr val="49230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Figures!$J$238:$Q$238</c:f>
              <c:numCache>
                <c:formatCode>General</c:formatCode>
                <c:ptCount val="8"/>
                <c:pt idx="0">
                  <c:v>137.23311012077474</c:v>
                </c:pt>
                <c:pt idx="1">
                  <c:v>137.23311012077474</c:v>
                </c:pt>
                <c:pt idx="2">
                  <c:v>137.23311012077474</c:v>
                </c:pt>
                <c:pt idx="3">
                  <c:v>137.23311012077474</c:v>
                </c:pt>
                <c:pt idx="4">
                  <c:v>137.23311012077474</c:v>
                </c:pt>
                <c:pt idx="5">
                  <c:v>137.23311012077474</c:v>
                </c:pt>
                <c:pt idx="6">
                  <c:v>137.23311012077474</c:v>
                </c:pt>
                <c:pt idx="7">
                  <c:v>137.23311012077474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46-4887-AFAF-C89BA2F61B27}"/>
            </c:ext>
          </c:extLst>
        </c:ser>
        <c:ser>
          <c:idx val="2"/>
          <c:order val="1"/>
          <c:tx>
            <c:strRef>
              <c:f>Figures!$I$241</c:f>
              <c:strCache>
                <c:ptCount val="1"/>
                <c:pt idx="0">
                  <c:v>Plant Protection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Figures!$J$241:$Q$241</c:f>
              <c:numCache>
                <c:formatCode>General</c:formatCode>
                <c:ptCount val="8"/>
                <c:pt idx="0">
                  <c:v>16.166942811456092</c:v>
                </c:pt>
                <c:pt idx="1">
                  <c:v>16.166942811456092</c:v>
                </c:pt>
                <c:pt idx="2">
                  <c:v>16.166942811456092</c:v>
                </c:pt>
                <c:pt idx="3">
                  <c:v>16.166942811456092</c:v>
                </c:pt>
                <c:pt idx="4">
                  <c:v>16.166942811456092</c:v>
                </c:pt>
                <c:pt idx="5">
                  <c:v>16.166942811456092</c:v>
                </c:pt>
                <c:pt idx="6">
                  <c:v>16.166942811456092</c:v>
                </c:pt>
                <c:pt idx="7">
                  <c:v>16.166942811456092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6-4887-AFAF-C89BA2F61B27}"/>
            </c:ext>
          </c:extLst>
        </c:ser>
        <c:ser>
          <c:idx val="1"/>
          <c:order val="2"/>
          <c:tx>
            <c:strRef>
              <c:f>Figures!$I$240</c:f>
              <c:strCache>
                <c:ptCount val="1"/>
                <c:pt idx="0">
                  <c:v>Nutrients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Figures!$J$240:$Q$240</c:f>
              <c:numCache>
                <c:formatCode>General</c:formatCode>
                <c:ptCount val="8"/>
                <c:pt idx="0">
                  <c:v>3.3122229604128841</c:v>
                </c:pt>
                <c:pt idx="1">
                  <c:v>3.3122229604128841</c:v>
                </c:pt>
                <c:pt idx="2">
                  <c:v>3.3122229604128841</c:v>
                </c:pt>
                <c:pt idx="3">
                  <c:v>3.3122229604128841</c:v>
                </c:pt>
                <c:pt idx="4">
                  <c:v>3.3122229604128841</c:v>
                </c:pt>
                <c:pt idx="5">
                  <c:v>3.3122229604128841</c:v>
                </c:pt>
                <c:pt idx="6">
                  <c:v>3.3122229604128841</c:v>
                </c:pt>
                <c:pt idx="7">
                  <c:v>3.3122229604128841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46-4887-AFAF-C89BA2F61B27}"/>
            </c:ext>
          </c:extLst>
        </c:ser>
        <c:ser>
          <c:idx val="4"/>
          <c:order val="3"/>
          <c:tx>
            <c:strRef>
              <c:f>Figures!$I$243</c:f>
              <c:strCache>
                <c:ptCount val="1"/>
                <c:pt idx="0">
                  <c:v>Suppl. Air Conditioner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Figures!$J$243:$Q$243</c:f>
              <c:numCache>
                <c:formatCode>General</c:formatCode>
                <c:ptCount val="8"/>
                <c:pt idx="0">
                  <c:v>20.951949677809001</c:v>
                </c:pt>
                <c:pt idx="1">
                  <c:v>25.1382731918434</c:v>
                </c:pt>
                <c:pt idx="2">
                  <c:v>18.906872263841102</c:v>
                </c:pt>
                <c:pt idx="3">
                  <c:v>42.313431786645801</c:v>
                </c:pt>
                <c:pt idx="4">
                  <c:v>48.363117509482301</c:v>
                </c:pt>
                <c:pt idx="5">
                  <c:v>49.2476672055123</c:v>
                </c:pt>
                <c:pt idx="6">
                  <c:v>8.6663801459382093</c:v>
                </c:pt>
                <c:pt idx="7">
                  <c:v>76.650317153199097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46-4887-AFAF-C89BA2F61B27}"/>
            </c:ext>
          </c:extLst>
        </c:ser>
        <c:ser>
          <c:idx val="6"/>
          <c:order val="4"/>
          <c:tx>
            <c:strRef>
              <c:f>Figures!$I$245</c:f>
              <c:strCache>
                <c:ptCount val="1"/>
                <c:pt idx="0">
                  <c:v>Suppl. Heater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Figures!$J$245:$Q$245</c:f>
              <c:numCache>
                <c:formatCode>General</c:formatCode>
                <c:ptCount val="8"/>
                <c:pt idx="0">
                  <c:v>0.17938229741469799</c:v>
                </c:pt>
                <c:pt idx="1">
                  <c:v>1.8356302673606799</c:v>
                </c:pt>
                <c:pt idx="2">
                  <c:v>2.7747312454510902</c:v>
                </c:pt>
                <c:pt idx="3">
                  <c:v>5.7393851332622502E-2</c:v>
                </c:pt>
                <c:pt idx="4">
                  <c:v>6.9398265032106403</c:v>
                </c:pt>
                <c:pt idx="5">
                  <c:v>5.9891750343573698</c:v>
                </c:pt>
                <c:pt idx="6">
                  <c:v>10.4888648872868</c:v>
                </c:pt>
                <c:pt idx="7">
                  <c:v>7.2961148175897995E-4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46-4887-AFAF-C89BA2F61B27}"/>
            </c:ext>
          </c:extLst>
        </c:ser>
        <c:ser>
          <c:idx val="5"/>
          <c:order val="5"/>
          <c:tx>
            <c:strRef>
              <c:f>Figures!$I$244</c:f>
              <c:strCache>
                <c:ptCount val="1"/>
                <c:pt idx="0">
                  <c:v>Suppl. Dehumidifier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Figures!$J$244:$Q$244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46-4887-AFAF-C89BA2F61B27}"/>
            </c:ext>
          </c:extLst>
        </c:ser>
        <c:ser>
          <c:idx val="7"/>
          <c:order val="6"/>
          <c:tx>
            <c:strRef>
              <c:f>Figures!$I$237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Figures!$J$237:$Q$237</c:f>
              <c:numCache>
                <c:formatCode>General</c:formatCode>
                <c:ptCount val="8"/>
                <c:pt idx="0">
                  <c:v>86.617465718522993</c:v>
                </c:pt>
                <c:pt idx="1">
                  <c:v>111.74661529913828</c:v>
                </c:pt>
                <c:pt idx="2">
                  <c:v>91.708012585028996</c:v>
                </c:pt>
                <c:pt idx="3">
                  <c:v>162.73285789290389</c:v>
                </c:pt>
                <c:pt idx="4">
                  <c:v>222.66263835974212</c:v>
                </c:pt>
                <c:pt idx="5">
                  <c:v>229.6655014503481</c:v>
                </c:pt>
                <c:pt idx="6">
                  <c:v>91.836694424676494</c:v>
                </c:pt>
                <c:pt idx="7">
                  <c:v>293.2899519585668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A-4126-8A40-11D365D5C8ED}"/>
            </c:ext>
          </c:extLst>
        </c:ser>
        <c:ser>
          <c:idx val="0"/>
          <c:order val="7"/>
          <c:tx>
            <c:strRef>
              <c:f>Figures!$I$239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FFFBF7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Figures!$J$220:$Q$220</c:f>
              <c:strCache>
                <c:ptCount val="8"/>
                <c:pt idx="0">
                  <c:v>Long Beach, CA</c:v>
                </c:pt>
                <c:pt idx="1">
                  <c:v>Portland, OR</c:v>
                </c:pt>
                <c:pt idx="2">
                  <c:v>Portland, ME</c:v>
                </c:pt>
                <c:pt idx="3">
                  <c:v>Miami, FL</c:v>
                </c:pt>
                <c:pt idx="4">
                  <c:v>Denver, CO</c:v>
                </c:pt>
                <c:pt idx="5">
                  <c:v>Detroit, MI</c:v>
                </c:pt>
                <c:pt idx="6">
                  <c:v>Barrow, AK</c:v>
                </c:pt>
                <c:pt idx="7">
                  <c:v>Kaneohe Bay, HI</c:v>
                </c:pt>
              </c:strCache>
            </c:strRef>
          </c:cat>
          <c:val>
            <c:numRef>
              <c:f>Figures!$J$239:$Q$239</c:f>
              <c:numCache>
                <c:formatCode>General</c:formatCode>
                <c:ptCount val="8"/>
                <c:pt idx="0">
                  <c:v>3.2501766054648447</c:v>
                </c:pt>
                <c:pt idx="1">
                  <c:v>3.6494718140815396</c:v>
                </c:pt>
                <c:pt idx="2">
                  <c:v>3.3310639815582448</c:v>
                </c:pt>
                <c:pt idx="3">
                  <c:v>4.4596290503122304</c:v>
                </c:pt>
                <c:pt idx="4">
                  <c:v>5.4118966197773899</c:v>
                </c:pt>
                <c:pt idx="5">
                  <c:v>5.5231701696325999</c:v>
                </c:pt>
                <c:pt idx="6">
                  <c:v>3.3331087002560458</c:v>
                </c:pt>
                <c:pt idx="7">
                  <c:v>6.5341450200668199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6-4887-AFAF-C89BA2F6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48254880"/>
        <c:axId val="1948255296"/>
      </c:barChart>
      <c:catAx>
        <c:axId val="194825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48255296"/>
        <c:crosses val="autoZero"/>
        <c:auto val="1"/>
        <c:lblAlgn val="ctr"/>
        <c:lblOffset val="100"/>
        <c:noMultiLvlLbl val="0"/>
      </c:catAx>
      <c:valAx>
        <c:axId val="1948255296"/>
        <c:scaling>
          <c:orientation val="minMax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94825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577041430175195"/>
          <c:y val="0.24782306348577174"/>
          <c:w val="0.35755721640032018"/>
          <c:h val="0.540938908656815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Figures!$Z$51:$Z$70</c15:sqref>
                    </c15:fullRef>
                  </c:ext>
                </c:extLst>
                <c:f>(Figures!$Z$51:$Z$64,Figures!$Z$68:$Z$70)</c:f>
                <c:numCache>
                  <c:formatCode>General</c:formatCode>
                  <c:ptCount val="17"/>
                  <c:pt idx="0">
                    <c:v>1.164318282279817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Figures!$AA$51:$AA$70</c15:sqref>
                    </c15:fullRef>
                  </c:ext>
                </c:extLst>
                <c:f>(Figures!$AA$51:$AA$64,Figures!$AA$68:$AA$70)</c:f>
                <c:numCache>
                  <c:formatCode>General</c:formatCode>
                  <c:ptCount val="17"/>
                  <c:pt idx="0">
                    <c:v>1.0118342505178364</c:v>
                  </c:pt>
                </c:numCache>
              </c:numRef>
            </c:minus>
            <c:spPr>
              <a:noFill/>
              <a:ln w="1905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Figures!$X$51:$X$75</c15:sqref>
                  </c15:fullRef>
                </c:ext>
              </c:extLst>
              <c:f>(Figures!$X$51:$X$64,Figures!$X$68:$X$75)</c:f>
              <c:strCache>
                <c:ptCount val="22"/>
                <c:pt idx="0">
                  <c:v>Cannabis</c:v>
                </c:pt>
                <c:pt idx="1">
                  <c:v>Beer</c:v>
                </c:pt>
                <c:pt idx="2">
                  <c:v>Wine</c:v>
                </c:pt>
                <c:pt idx="3">
                  <c:v>Spirits</c:v>
                </c:pt>
                <c:pt idx="4">
                  <c:v>Cigarettes</c:v>
                </c:pt>
                <c:pt idx="6">
                  <c:v>Lamb</c:v>
                </c:pt>
                <c:pt idx="7">
                  <c:v>Beef</c:v>
                </c:pt>
                <c:pt idx="8">
                  <c:v>Turkey</c:v>
                </c:pt>
                <c:pt idx="9">
                  <c:v>Pork</c:v>
                </c:pt>
                <c:pt idx="10">
                  <c:v>Farmed Salmon</c:v>
                </c:pt>
                <c:pt idx="11">
                  <c:v>Potatoes</c:v>
                </c:pt>
                <c:pt idx="12">
                  <c:v>Milk</c:v>
                </c:pt>
                <c:pt idx="13">
                  <c:v>Chicken</c:v>
                </c:pt>
                <c:pt idx="14">
                  <c:v>Eggs</c:v>
                </c:pt>
                <c:pt idx="15">
                  <c:v>Tofu</c:v>
                </c:pt>
                <c:pt idx="16">
                  <c:v>Rice</c:v>
                </c:pt>
                <c:pt idx="17">
                  <c:v>Broccoli</c:v>
                </c:pt>
                <c:pt idx="18">
                  <c:v>Nuts</c:v>
                </c:pt>
                <c:pt idx="19">
                  <c:v>Peanut Butter</c:v>
                </c:pt>
                <c:pt idx="20">
                  <c:v>Tomatoes</c:v>
                </c:pt>
                <c:pt idx="21">
                  <c:v>Lentils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Figures!$Y$51:$Y$75</c15:sqref>
                  </c15:fullRef>
                </c:ext>
              </c:extLst>
              <c:f>(Figures!$Y$51:$Y$64,Figures!$Y$68:$Y$75)</c:f>
              <c:numCache>
                <c:formatCode>0.0</c:formatCode>
                <c:ptCount val="22"/>
                <c:pt idx="0">
                  <c:v>2.9458552868858172</c:v>
                </c:pt>
                <c:pt idx="1">
                  <c:v>0.28405056951002994</c:v>
                </c:pt>
                <c:pt idx="2">
                  <c:v>0.24545530570582133</c:v>
                </c:pt>
                <c:pt idx="3">
                  <c:v>0.13558739103403575</c:v>
                </c:pt>
                <c:pt idx="4" formatCode="0.0000">
                  <c:v>1.4000336724338612E-2</c:v>
                </c:pt>
                <c:pt idx="6" formatCode="0.00">
                  <c:v>3.0217792635465526</c:v>
                </c:pt>
                <c:pt idx="7" formatCode="0.00">
                  <c:v>2.0632807467953662</c:v>
                </c:pt>
                <c:pt idx="8" formatCode="0.00">
                  <c:v>0.77912520071486258</c:v>
                </c:pt>
                <c:pt idx="9" formatCode="0.00">
                  <c:v>0.70539367328609925</c:v>
                </c:pt>
                <c:pt idx="10" formatCode="0.00">
                  <c:v>0.73700626411807924</c:v>
                </c:pt>
                <c:pt idx="11" formatCode="0.00">
                  <c:v>0.464004567680598</c:v>
                </c:pt>
                <c:pt idx="12" formatCode="0.00">
                  <c:v>0.42114740862370842</c:v>
                </c:pt>
                <c:pt idx="13" formatCode="0.00">
                  <c:v>0.40709963621848666</c:v>
                </c:pt>
                <c:pt idx="14" formatCode="0.00">
                  <c:v>0.20104040307796658</c:v>
                </c:pt>
                <c:pt idx="15" formatCode="0.00">
                  <c:v>9.408818864305471E-2</c:v>
                </c:pt>
                <c:pt idx="16" formatCode="0.00">
                  <c:v>8.5506657609928247E-2</c:v>
                </c:pt>
                <c:pt idx="17" formatCode="0.00">
                  <c:v>8.6657173744167079E-2</c:v>
                </c:pt>
                <c:pt idx="18" formatCode="0.00">
                  <c:v>5.744011516513331E-2</c:v>
                </c:pt>
                <c:pt idx="19" formatCode="0.00">
                  <c:v>5.7600115485927549E-2</c:v>
                </c:pt>
                <c:pt idx="20" formatCode="0.00">
                  <c:v>4.9510099265768631E-2</c:v>
                </c:pt>
                <c:pt idx="21" formatCode="0.00">
                  <c:v>2.1696043499699377E-2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3-430C-A57C-D12CD1FC5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7"/>
        <c:axId val="1173063184"/>
        <c:axId val="1173063600"/>
      </c:barChart>
      <c:catAx>
        <c:axId val="11730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ysClr val="windowText" lastClr="000000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173063600"/>
        <c:crosses val="autoZero"/>
        <c:auto val="1"/>
        <c:lblAlgn val="ctr"/>
        <c:lblOffset val="100"/>
        <c:noMultiLvlLbl val="0"/>
      </c:catAx>
      <c:valAx>
        <c:axId val="1173063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ndara" panose="020E0502030303020204" pitchFamily="34" charset="0"/>
                    <a:ea typeface="+mn-ea"/>
                    <a:cs typeface="+mn-cs"/>
                  </a:defRPr>
                </a:pPr>
                <a:r>
                  <a:rPr lang="en-US"/>
                  <a:t>kg CO</a:t>
                </a:r>
                <a:r>
                  <a:rPr lang="en-US" baseline="-25000"/>
                  <a:t>2</a:t>
                </a:r>
                <a:r>
                  <a:rPr lang="en-US" baseline="0"/>
                  <a:t>-</a:t>
                </a:r>
                <a:r>
                  <a:rPr lang="en-US"/>
                  <a:t>eq</a:t>
                </a:r>
                <a:r>
                  <a:rPr lang="en-US" baseline="0"/>
                  <a:t> per portion</a:t>
                </a: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8.0847149886475213E-3"/>
              <c:y val="0.154329877642628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ndara" panose="020E0502030303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none"/>
        <c:tickLblPos val="nextTo"/>
        <c:spPr>
          <a:noFill/>
          <a:ln w="190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17306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ndara" panose="020E05020303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Figures!$Z$51:$Z$70</c:f>
                <c:numCache>
                  <c:formatCode>General</c:formatCode>
                  <c:ptCount val="20"/>
                  <c:pt idx="0">
                    <c:v>1.164318282279817</c:v>
                  </c:pt>
                </c:numCache>
              </c:numRef>
            </c:plus>
            <c:minus>
              <c:numRef>
                <c:f>Figures!$AA$51:$AA$70</c:f>
                <c:numCache>
                  <c:formatCode>General</c:formatCode>
                  <c:ptCount val="20"/>
                  <c:pt idx="0">
                    <c:v>1.0118342505178364</c:v>
                  </c:pt>
                </c:numCache>
              </c:numRef>
            </c:minus>
            <c:spPr>
              <a:noFill/>
              <a:ln w="1905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Figures!$X$79:$X$97</c:f>
              <c:strCache>
                <c:ptCount val="19"/>
                <c:pt idx="0">
                  <c:v>Cannabis</c:v>
                </c:pt>
                <c:pt idx="1">
                  <c:v>Beer</c:v>
                </c:pt>
                <c:pt idx="2">
                  <c:v>Wine</c:v>
                </c:pt>
                <c:pt idx="3">
                  <c:v>Spirits</c:v>
                </c:pt>
                <c:pt idx="4">
                  <c:v>Cigarettes</c:v>
                </c:pt>
                <c:pt idx="6">
                  <c:v>Lamb</c:v>
                </c:pt>
                <c:pt idx="7">
                  <c:v>Beef</c:v>
                </c:pt>
                <c:pt idx="8">
                  <c:v>Turkey</c:v>
                </c:pt>
                <c:pt idx="9">
                  <c:v>Farmed Salmon</c:v>
                </c:pt>
                <c:pt idx="10">
                  <c:v>Pork</c:v>
                </c:pt>
                <c:pt idx="11">
                  <c:v>Chicken</c:v>
                </c:pt>
                <c:pt idx="12">
                  <c:v>Canned Tuna</c:v>
                </c:pt>
                <c:pt idx="13">
                  <c:v>Eggs</c:v>
                </c:pt>
                <c:pt idx="14">
                  <c:v>Tofu</c:v>
                </c:pt>
                <c:pt idx="16">
                  <c:v>Milk</c:v>
                </c:pt>
                <c:pt idx="17">
                  <c:v>Cheese</c:v>
                </c:pt>
                <c:pt idx="18">
                  <c:v>Yogurt</c:v>
                </c:pt>
              </c:strCache>
            </c:strRef>
          </c:cat>
          <c:val>
            <c:numRef>
              <c:f>Figures!$Y$79:$Y$97</c:f>
              <c:numCache>
                <c:formatCode>0.0</c:formatCode>
                <c:ptCount val="19"/>
                <c:pt idx="0">
                  <c:v>2.9458552868858172</c:v>
                </c:pt>
                <c:pt idx="1">
                  <c:v>0.28405056951002994</c:v>
                </c:pt>
                <c:pt idx="2">
                  <c:v>0.24545530570582133</c:v>
                </c:pt>
                <c:pt idx="3">
                  <c:v>0.13558739103403575</c:v>
                </c:pt>
                <c:pt idx="4">
                  <c:v>1.4000336724338612E-2</c:v>
                </c:pt>
                <c:pt idx="6" formatCode="0.00">
                  <c:v>3.0192278034309772</c:v>
                </c:pt>
                <c:pt idx="7" formatCode="0.00">
                  <c:v>2.0612395787029056</c:v>
                </c:pt>
                <c:pt idx="8" formatCode="0.00">
                  <c:v>0.78632598815215327</c:v>
                </c:pt>
                <c:pt idx="9" formatCode="0.00">
                  <c:v>0.73533080530885153</c:v>
                </c:pt>
                <c:pt idx="10" formatCode="0.00">
                  <c:v>0.70750288031497499</c:v>
                </c:pt>
                <c:pt idx="11" formatCode="0.00">
                  <c:v>0.40852845388320891</c:v>
                </c:pt>
                <c:pt idx="12" formatCode="0.00">
                  <c:v>0.23397456250963886</c:v>
                </c:pt>
                <c:pt idx="13" formatCode="0.00">
                  <c:v>0.20174600449266919</c:v>
                </c:pt>
                <c:pt idx="14" formatCode="0.00">
                  <c:v>7.8816158023244196E-2</c:v>
                </c:pt>
                <c:pt idx="16" formatCode="0.00">
                  <c:v>0.44565503352051605</c:v>
                </c:pt>
                <c:pt idx="17" formatCode="0.00">
                  <c:v>0.33239855394580475</c:v>
                </c:pt>
                <c:pt idx="18" formatCode="0.00">
                  <c:v>0.1894033892462193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3-4B69-A33C-D920BD40A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7"/>
        <c:axId val="1173063184"/>
        <c:axId val="1173063600"/>
      </c:barChart>
      <c:catAx>
        <c:axId val="11730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173063600"/>
        <c:crosses val="autoZero"/>
        <c:auto val="1"/>
        <c:lblAlgn val="ctr"/>
        <c:lblOffset val="100"/>
        <c:noMultiLvlLbl val="0"/>
      </c:catAx>
      <c:valAx>
        <c:axId val="1173063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ndara" panose="020E0502030303020204" pitchFamily="34" charset="0"/>
                    <a:ea typeface="+mn-ea"/>
                    <a:cs typeface="+mn-cs"/>
                  </a:defRPr>
                </a:pPr>
                <a:r>
                  <a:rPr lang="en-US"/>
                  <a:t>kg CO</a:t>
                </a:r>
                <a:r>
                  <a:rPr lang="en-US" baseline="-25000"/>
                  <a:t>2</a:t>
                </a:r>
                <a:r>
                  <a:rPr lang="en-US"/>
                  <a:t>e/daily consumption</a:t>
                </a:r>
              </a:p>
            </c:rich>
          </c:tx>
          <c:layout>
            <c:manualLayout>
              <c:xMode val="edge"/>
              <c:yMode val="edge"/>
              <c:x val="1.3030221649713271E-2"/>
              <c:y val="8.09646506567120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ndara" panose="020E0502030303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ndara" panose="020E0502030303020204" pitchFamily="34" charset="0"/>
                <a:ea typeface="+mn-ea"/>
                <a:cs typeface="+mn-cs"/>
              </a:defRPr>
            </a:pPr>
            <a:endParaRPr lang="en-US"/>
          </a:p>
        </c:txPr>
        <c:crossAx val="117306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ndara" panose="020E05020303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 Tax Revenue to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 Tax'!$H$4</c:f>
              <c:strCache>
                <c:ptCount val="1"/>
                <c:pt idx="0">
                  <c:v>Total to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'CO Tax'!$A$5:$A$58</c:f>
              <c:strCache>
                <c:ptCount val="54"/>
                <c:pt idx="0">
                  <c:v>Feb 2014</c:v>
                </c:pt>
                <c:pt idx="1">
                  <c:v>Mar 2014</c:v>
                </c:pt>
                <c:pt idx="2">
                  <c:v>Apr 2014</c:v>
                </c:pt>
                <c:pt idx="3">
                  <c:v>May 2014</c:v>
                </c:pt>
                <c:pt idx="4">
                  <c:v>Jun 2014</c:v>
                </c:pt>
                <c:pt idx="5">
                  <c:v>Jul 2014</c:v>
                </c:pt>
                <c:pt idx="6">
                  <c:v>Aug 2014</c:v>
                </c:pt>
                <c:pt idx="7">
                  <c:v>Sep 2014</c:v>
                </c:pt>
                <c:pt idx="8">
                  <c:v>Oct 2014</c:v>
                </c:pt>
                <c:pt idx="9">
                  <c:v>Nov 2014</c:v>
                </c:pt>
                <c:pt idx="10">
                  <c:v>Dec 2014</c:v>
                </c:pt>
                <c:pt idx="11">
                  <c:v>Jan 2015</c:v>
                </c:pt>
                <c:pt idx="12">
                  <c:v>Feb 2015</c:v>
                </c:pt>
                <c:pt idx="13">
                  <c:v>Mar 2015</c:v>
                </c:pt>
                <c:pt idx="14">
                  <c:v>Apr 2015</c:v>
                </c:pt>
                <c:pt idx="15">
                  <c:v>May 2015</c:v>
                </c:pt>
                <c:pt idx="16">
                  <c:v>Jun 2015</c:v>
                </c:pt>
                <c:pt idx="17">
                  <c:v>Jul 2015</c:v>
                </c:pt>
                <c:pt idx="18">
                  <c:v>Aug 2015</c:v>
                </c:pt>
                <c:pt idx="19">
                  <c:v>Sep 2015</c:v>
                </c:pt>
                <c:pt idx="20">
                  <c:v>Oct 2015</c:v>
                </c:pt>
                <c:pt idx="21">
                  <c:v>Nov 2015</c:v>
                </c:pt>
                <c:pt idx="22">
                  <c:v>Dec 2015</c:v>
                </c:pt>
                <c:pt idx="23">
                  <c:v>Jan 2016</c:v>
                </c:pt>
                <c:pt idx="24">
                  <c:v>Feb 2016</c:v>
                </c:pt>
                <c:pt idx="25">
                  <c:v>Mar 2016</c:v>
                </c:pt>
                <c:pt idx="26">
                  <c:v>Apr 2016</c:v>
                </c:pt>
                <c:pt idx="27">
                  <c:v>May 2016</c:v>
                </c:pt>
                <c:pt idx="28">
                  <c:v>Jun 2016</c:v>
                </c:pt>
                <c:pt idx="29">
                  <c:v>Jul 2016</c:v>
                </c:pt>
                <c:pt idx="30">
                  <c:v>Aug 2016</c:v>
                </c:pt>
                <c:pt idx="31">
                  <c:v>Sep 2016</c:v>
                </c:pt>
                <c:pt idx="32">
                  <c:v>Oct 2016</c:v>
                </c:pt>
                <c:pt idx="33">
                  <c:v>Nov 2016</c:v>
                </c:pt>
                <c:pt idx="34">
                  <c:v>Dec 2016</c:v>
                </c:pt>
                <c:pt idx="35">
                  <c:v>Jan 2017</c:v>
                </c:pt>
                <c:pt idx="36">
                  <c:v>Feb 2017</c:v>
                </c:pt>
                <c:pt idx="37">
                  <c:v>Mar 2017</c:v>
                </c:pt>
                <c:pt idx="38">
                  <c:v>Apr 2017</c:v>
                </c:pt>
                <c:pt idx="39">
                  <c:v>May 2017</c:v>
                </c:pt>
                <c:pt idx="40">
                  <c:v>Jun 2017</c:v>
                </c:pt>
                <c:pt idx="41">
                  <c:v>Jul 2017</c:v>
                </c:pt>
                <c:pt idx="42">
                  <c:v>Aug 2017</c:v>
                </c:pt>
                <c:pt idx="43">
                  <c:v>Sep 2017</c:v>
                </c:pt>
                <c:pt idx="44">
                  <c:v>Oct 2017</c:v>
                </c:pt>
                <c:pt idx="45">
                  <c:v>Nov 2017</c:v>
                </c:pt>
                <c:pt idx="46">
                  <c:v>Dec 2017</c:v>
                </c:pt>
                <c:pt idx="47">
                  <c:v>Jan 2018</c:v>
                </c:pt>
                <c:pt idx="48">
                  <c:v>Feb 2018</c:v>
                </c:pt>
                <c:pt idx="49">
                  <c:v>Mar 2018</c:v>
                </c:pt>
                <c:pt idx="50">
                  <c:v>Apr 2018</c:v>
                </c:pt>
                <c:pt idx="51">
                  <c:v>May 2018</c:v>
                </c:pt>
                <c:pt idx="52">
                  <c:v>Jun 2018</c:v>
                </c:pt>
                <c:pt idx="53">
                  <c:v>Jul 2018</c:v>
                </c:pt>
              </c:strCache>
            </c:strRef>
          </c:xVal>
          <c:yVal>
            <c:numRef>
              <c:f>'CO Tax'!$H$5:$H$58</c:f>
              <c:numCache>
                <c:formatCode>"$"#,##0_);[Red]\("$"#,##0\)</c:formatCode>
                <c:ptCount val="54"/>
                <c:pt idx="0">
                  <c:v>3519756</c:v>
                </c:pt>
                <c:pt idx="1">
                  <c:v>7612330</c:v>
                </c:pt>
                <c:pt idx="2">
                  <c:v>12593322</c:v>
                </c:pt>
                <c:pt idx="3">
                  <c:v>17866677</c:v>
                </c:pt>
                <c:pt idx="4">
                  <c:v>23582384</c:v>
                </c:pt>
                <c:pt idx="5">
                  <c:v>30104468</c:v>
                </c:pt>
                <c:pt idx="6">
                  <c:v>37511919</c:v>
                </c:pt>
                <c:pt idx="7">
                  <c:v>45253086</c:v>
                </c:pt>
                <c:pt idx="8">
                  <c:v>52485956</c:v>
                </c:pt>
                <c:pt idx="9">
                  <c:v>60128755</c:v>
                </c:pt>
                <c:pt idx="10">
                  <c:v>67594323</c:v>
                </c:pt>
                <c:pt idx="11">
                  <c:v>76152465</c:v>
                </c:pt>
                <c:pt idx="12">
                  <c:v>84954760</c:v>
                </c:pt>
                <c:pt idx="13">
                  <c:v>94054154</c:v>
                </c:pt>
                <c:pt idx="14">
                  <c:v>104033797</c:v>
                </c:pt>
                <c:pt idx="15">
                  <c:v>114651108</c:v>
                </c:pt>
                <c:pt idx="16">
                  <c:v>125977560</c:v>
                </c:pt>
                <c:pt idx="17">
                  <c:v>136834144</c:v>
                </c:pt>
                <c:pt idx="18">
                  <c:v>149645581</c:v>
                </c:pt>
                <c:pt idx="19">
                  <c:v>162827339</c:v>
                </c:pt>
                <c:pt idx="20">
                  <c:v>174484075</c:v>
                </c:pt>
                <c:pt idx="21">
                  <c:v>185774087</c:v>
                </c:pt>
                <c:pt idx="22">
                  <c:v>198005496</c:v>
                </c:pt>
                <c:pt idx="23">
                  <c:v>211252931</c:v>
                </c:pt>
                <c:pt idx="24">
                  <c:v>223719547</c:v>
                </c:pt>
                <c:pt idx="25">
                  <c:v>237915471</c:v>
                </c:pt>
                <c:pt idx="26">
                  <c:v>251012768</c:v>
                </c:pt>
                <c:pt idx="27">
                  <c:v>268195930</c:v>
                </c:pt>
                <c:pt idx="28">
                  <c:v>282678578</c:v>
                </c:pt>
                <c:pt idx="29">
                  <c:v>299502427</c:v>
                </c:pt>
                <c:pt idx="30">
                  <c:v>317076575</c:v>
                </c:pt>
                <c:pt idx="31">
                  <c:v>336222567</c:v>
                </c:pt>
                <c:pt idx="32">
                  <c:v>355489488</c:v>
                </c:pt>
                <c:pt idx="33">
                  <c:v>373915353</c:v>
                </c:pt>
                <c:pt idx="34">
                  <c:v>391610306</c:v>
                </c:pt>
                <c:pt idx="35">
                  <c:v>409775094</c:v>
                </c:pt>
                <c:pt idx="36">
                  <c:v>427498951</c:v>
                </c:pt>
                <c:pt idx="37">
                  <c:v>445049643</c:v>
                </c:pt>
                <c:pt idx="38">
                  <c:v>467917230</c:v>
                </c:pt>
                <c:pt idx="39">
                  <c:v>486481169</c:v>
                </c:pt>
                <c:pt idx="40">
                  <c:v>506143632</c:v>
                </c:pt>
                <c:pt idx="41">
                  <c:v>526581383</c:v>
                </c:pt>
                <c:pt idx="42">
                  <c:v>550356427</c:v>
                </c:pt>
                <c:pt idx="43">
                  <c:v>573591933</c:v>
                </c:pt>
                <c:pt idx="44">
                  <c:v>596690341</c:v>
                </c:pt>
                <c:pt idx="45">
                  <c:v>617767334</c:v>
                </c:pt>
                <c:pt idx="46">
                  <c:v>638978779</c:v>
                </c:pt>
                <c:pt idx="47">
                  <c:v>660660217</c:v>
                </c:pt>
                <c:pt idx="48">
                  <c:v>681795081</c:v>
                </c:pt>
                <c:pt idx="49">
                  <c:v>702666901</c:v>
                </c:pt>
                <c:pt idx="50">
                  <c:v>725614042</c:v>
                </c:pt>
                <c:pt idx="51">
                  <c:v>747981749</c:v>
                </c:pt>
                <c:pt idx="52">
                  <c:v>769910441</c:v>
                </c:pt>
                <c:pt idx="53">
                  <c:v>792874219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3-48BE-B0C7-3A4E7FB98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21663"/>
        <c:axId val="1590015007"/>
      </c:scatterChart>
      <c:valAx>
        <c:axId val="1590021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15007"/>
        <c:crosses val="autoZero"/>
        <c:crossBetween val="midCat"/>
      </c:valAx>
      <c:valAx>
        <c:axId val="159001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21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HPS Lamp Efficacy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330906815456015"/>
                  <c:y val="-0.257515310586176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'Indoor Backup Calcs'!$H$4:$H$9</c:f>
              <c:numCache>
                <c:formatCode>General</c:formatCode>
                <c:ptCount val="6"/>
                <c:pt idx="0">
                  <c:v>35</c:v>
                </c:pt>
                <c:pt idx="1">
                  <c:v>75</c:v>
                </c:pt>
                <c:pt idx="2">
                  <c:v>150</c:v>
                </c:pt>
                <c:pt idx="3">
                  <c:v>250</c:v>
                </c:pt>
                <c:pt idx="4">
                  <c:v>400</c:v>
                </c:pt>
                <c:pt idx="5">
                  <c:v>1000</c:v>
                </c:pt>
              </c:numCache>
            </c:numRef>
          </c:xVal>
          <c:yVal>
            <c:numRef>
              <c:f>'Indoor Backup Calcs'!$I$4:$I$9</c:f>
              <c:numCache>
                <c:formatCode>General</c:formatCode>
                <c:ptCount val="6"/>
                <c:pt idx="0">
                  <c:v>0.3</c:v>
                </c:pt>
                <c:pt idx="1">
                  <c:v>0.26</c:v>
                </c:pt>
                <c:pt idx="2">
                  <c:v>0.25</c:v>
                </c:pt>
                <c:pt idx="3">
                  <c:v>0.2</c:v>
                </c:pt>
                <c:pt idx="4">
                  <c:v>0.16</c:v>
                </c:pt>
                <c:pt idx="5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6-4FDE-AE39-EF2EE15B2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662559"/>
        <c:axId val="1150659231"/>
      </c:scatterChart>
      <c:valAx>
        <c:axId val="115066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Nominal</a:t>
                </a:r>
                <a:r>
                  <a:rPr lang="en-US" baseline="0"/>
                  <a:t> Lamp Wattage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59231"/>
        <c:crosses val="autoZero"/>
        <c:crossBetween val="midCat"/>
      </c:valAx>
      <c:valAx>
        <c:axId val="115065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Ballast Loss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6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CFM vs HP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'Indoor Raw Data'!$C$199</c:f>
              <c:strCache>
                <c:ptCount val="1"/>
                <c:pt idx="0">
                  <c:v>CFM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'Indoor Raw Data'!$B$200:$B$212</c:f>
              <c:numCache>
                <c:formatCode>General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7.5</c:v>
                </c:pt>
                <c:pt idx="9">
                  <c:v>10</c:v>
                </c:pt>
                <c:pt idx="10">
                  <c:v>7.5</c:v>
                </c:pt>
                <c:pt idx="11">
                  <c:v>10</c:v>
                </c:pt>
                <c:pt idx="12">
                  <c:v>10</c:v>
                </c:pt>
              </c:numCache>
            </c:numRef>
          </c:xVal>
          <c:yVal>
            <c:numRef>
              <c:f>'Indoor Raw Data'!$C$200:$C$212</c:f>
              <c:numCache>
                <c:formatCode>General</c:formatCode>
                <c:ptCount val="13"/>
                <c:pt idx="0">
                  <c:v>6600</c:v>
                </c:pt>
                <c:pt idx="1">
                  <c:v>7900</c:v>
                </c:pt>
                <c:pt idx="2">
                  <c:v>3254</c:v>
                </c:pt>
                <c:pt idx="3">
                  <c:v>5389</c:v>
                </c:pt>
                <c:pt idx="4">
                  <c:v>7716</c:v>
                </c:pt>
                <c:pt idx="5">
                  <c:v>10118</c:v>
                </c:pt>
                <c:pt idx="6">
                  <c:v>20300</c:v>
                </c:pt>
                <c:pt idx="7">
                  <c:v>21500</c:v>
                </c:pt>
                <c:pt idx="8">
                  <c:v>29300</c:v>
                </c:pt>
                <c:pt idx="9">
                  <c:v>34800</c:v>
                </c:pt>
                <c:pt idx="10">
                  <c:v>30900</c:v>
                </c:pt>
                <c:pt idx="11">
                  <c:v>37400</c:v>
                </c:pt>
                <c:pt idx="12">
                  <c:v>40800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F6-4984-90C0-A937BE4C3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365904"/>
        <c:axId val="1648369232"/>
      </c:scatterChart>
      <c:valAx>
        <c:axId val="164836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69232"/>
        <c:crosses val="autoZero"/>
        <c:crossBetween val="midCat"/>
      </c:valAx>
      <c:valAx>
        <c:axId val="16483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6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35-489F-89B3-168A58B66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35-489F-89B3-168A58B66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35-489F-89B3-168A58B66B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35-489F-89B3-168A58B66B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35-489F-89B3-168A58B66B6B}"/>
              </c:ext>
            </c:extLst>
          </c:dPt>
          <c:cat>
            <c:strRef>
              <c:f>Validation!$F$157:$F$160</c:f>
              <c:strCache>
                <c:ptCount val="4"/>
                <c:pt idx="0">
                  <c:v>Lighting</c:v>
                </c:pt>
                <c:pt idx="1">
                  <c:v>Space Heating</c:v>
                </c:pt>
                <c:pt idx="2">
                  <c:v>Water Pumping</c:v>
                </c:pt>
                <c:pt idx="3">
                  <c:v>Ventilation, cooling and dehum</c:v>
                </c:pt>
              </c:strCache>
            </c:strRef>
          </c:cat>
          <c:val>
            <c:numRef>
              <c:f>Validation!$G$157:$G$160</c:f>
              <c:numCache>
                <c:formatCode>0.00</c:formatCode>
                <c:ptCount val="4"/>
                <c:pt idx="0">
                  <c:v>2307910251.849618</c:v>
                </c:pt>
                <c:pt idx="2">
                  <c:v>9757064.253416067</c:v>
                </c:pt>
                <c:pt idx="3" formatCode="0.00E+00">
                  <c:v>11358419665.893349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9-45A6-8E95-5E65E51C8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image" Target="../media/image3.png"/><Relationship Id="rId17" Type="http://schemas.openxmlformats.org/officeDocument/2006/relationships/chart" Target="../charts/chart19.xml"/><Relationship Id="rId2" Type="http://schemas.openxmlformats.org/officeDocument/2006/relationships/chart" Target="../charts/chart6.xml"/><Relationship Id="rId16" Type="http://schemas.openxmlformats.org/officeDocument/2006/relationships/chart" Target="../charts/chart18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image" Target="../media/image2.png"/><Relationship Id="rId5" Type="http://schemas.openxmlformats.org/officeDocument/2006/relationships/chart" Target="../charts/chart9.xml"/><Relationship Id="rId15" Type="http://schemas.openxmlformats.org/officeDocument/2006/relationships/chart" Target="../charts/chart17.xml"/><Relationship Id="rId10" Type="http://schemas.openxmlformats.org/officeDocument/2006/relationships/chart" Target="../charts/chart14.xml"/><Relationship Id="rId19" Type="http://schemas.openxmlformats.org/officeDocument/2006/relationships/chart" Target="../charts/chart21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4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image" Target="../media/image4.png"/><Relationship Id="rId10" Type="http://schemas.openxmlformats.org/officeDocument/2006/relationships/chart" Target="../charts/chart30.xml"/><Relationship Id="rId4" Type="http://schemas.openxmlformats.org/officeDocument/2006/relationships/chart" Target="../charts/chart25.xml"/><Relationship Id="rId9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36.xml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jpe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156883</xdr:colOff>
      <xdr:row>52</xdr:row>
      <xdr:rowOff>80382</xdr:rowOff>
    </xdr:from>
    <xdr:to>
      <xdr:col>13</xdr:col>
      <xdr:colOff>145677</xdr:colOff>
      <xdr:row>70</xdr:row>
      <xdr:rowOff>172066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6442" y="5604882"/>
          <a:ext cx="4840941" cy="35206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76200</xdr:colOff>
          <xdr:row>0</xdr:row>
          <xdr:rowOff>104775</xdr:rowOff>
        </xdr:from>
        <xdr:to>
          <xdr:col>3</xdr:col>
          <xdr:colOff>542925</xdr:colOff>
          <xdr:row>3</xdr:row>
          <xdr:rowOff>66675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 Matlab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66675</xdr:colOff>
          <xdr:row>0</xdr:row>
          <xdr:rowOff>85725</xdr:rowOff>
        </xdr:from>
        <xdr:to>
          <xdr:col>3</xdr:col>
          <xdr:colOff>933450</xdr:colOff>
          <xdr:row>3</xdr:row>
          <xdr:rowOff>47625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 Matlab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747282</xdr:colOff>
      <xdr:row>125</xdr:row>
      <xdr:rowOff>184688</xdr:rowOff>
    </xdr:from>
    <xdr:to>
      <xdr:col>14</xdr:col>
      <xdr:colOff>265741</xdr:colOff>
      <xdr:row>162</xdr:row>
      <xdr:rowOff>113890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525577</xdr:colOff>
      <xdr:row>126</xdr:row>
      <xdr:rowOff>32319</xdr:rowOff>
    </xdr:from>
    <xdr:to>
      <xdr:col>22</xdr:col>
      <xdr:colOff>1386534</xdr:colOff>
      <xdr:row>162</xdr:row>
      <xdr:rowOff>153877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907473</xdr:colOff>
      <xdr:row>163</xdr:row>
      <xdr:rowOff>0</xdr:rowOff>
    </xdr:from>
    <xdr:to>
      <xdr:col>14</xdr:col>
      <xdr:colOff>367050</xdr:colOff>
      <xdr:row>178</xdr:row>
      <xdr:rowOff>91993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17318</xdr:colOff>
      <xdr:row>108</xdr:row>
      <xdr:rowOff>68695</xdr:rowOff>
    </xdr:from>
    <xdr:to>
      <xdr:col>11</xdr:col>
      <xdr:colOff>917863</xdr:colOff>
      <xdr:row>126</xdr:row>
      <xdr:rowOff>2886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495300</xdr:colOff>
          <xdr:row>4</xdr:row>
          <xdr:rowOff>57150</xdr:rowOff>
        </xdr:from>
        <xdr:to>
          <xdr:col>7</xdr:col>
          <xdr:colOff>0</xdr:colOff>
          <xdr:row>7</xdr:row>
          <xdr:rowOff>85725</xdr:rowOff>
        </xdr:to>
        <xdr:sp macro="" textlink="">
          <xdr:nvSpPr>
            <xdr:cNvPr id="27651" name="Button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 Sensitivity Analysis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121228</xdr:colOff>
      <xdr:row>124</xdr:row>
      <xdr:rowOff>83126</xdr:rowOff>
    </xdr:from>
    <xdr:to>
      <xdr:col>12</xdr:col>
      <xdr:colOff>51955</xdr:colOff>
      <xdr:row>153</xdr:row>
      <xdr:rowOff>138546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180975</xdr:colOff>
      <xdr:row>184</xdr:row>
      <xdr:rowOff>47625</xdr:rowOff>
    </xdr:from>
    <xdr:to>
      <xdr:col>32</xdr:col>
      <xdr:colOff>535781</xdr:colOff>
      <xdr:row>200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161924</xdr:colOff>
      <xdr:row>180</xdr:row>
      <xdr:rowOff>47625</xdr:rowOff>
    </xdr:from>
    <xdr:to>
      <xdr:col>26</xdr:col>
      <xdr:colOff>9525</xdr:colOff>
      <xdr:row>205</xdr:row>
      <xdr:rowOff>161925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149680</xdr:colOff>
      <xdr:row>176</xdr:row>
      <xdr:rowOff>29934</xdr:rowOff>
    </xdr:from>
    <xdr:to>
      <xdr:col>9</xdr:col>
      <xdr:colOff>176893</xdr:colOff>
      <xdr:row>200</xdr:row>
      <xdr:rowOff>54427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340176</xdr:colOff>
      <xdr:row>211</xdr:row>
      <xdr:rowOff>81641</xdr:rowOff>
    </xdr:from>
    <xdr:to>
      <xdr:col>2</xdr:col>
      <xdr:colOff>217715</xdr:colOff>
      <xdr:row>220</xdr:row>
      <xdr:rowOff>78920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353786</xdr:colOff>
      <xdr:row>211</xdr:row>
      <xdr:rowOff>95250</xdr:rowOff>
    </xdr:from>
    <xdr:to>
      <xdr:col>3</xdr:col>
      <xdr:colOff>830039</xdr:colOff>
      <xdr:row>220</xdr:row>
      <xdr:rowOff>92529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710772</xdr:colOff>
      <xdr:row>213</xdr:row>
      <xdr:rowOff>174170</xdr:rowOff>
    </xdr:from>
    <xdr:to>
      <xdr:col>0</xdr:col>
      <xdr:colOff>710772</xdr:colOff>
      <xdr:row>218</xdr:row>
      <xdr:rowOff>179613</xdr:rowOff>
    </xdr:to>
    <xdr:cxnSp macro="">
      <xdr:nvCxnSpPr>
        <xdr:cNvPr id="12" name="Straight Connector 11"/>
        <xdr:cNvCxnSpPr/>
      </xdr:nvCxnSpPr>
      <xdr:spPr>
        <a:xfrm>
          <a:off x="710772" y="41501464"/>
          <a:ext cx="0" cy="9579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1358634</xdr:colOff>
      <xdr:row>213</xdr:row>
      <xdr:rowOff>175124</xdr:rowOff>
    </xdr:from>
    <xdr:to>
      <xdr:col>2</xdr:col>
      <xdr:colOff>1358634</xdr:colOff>
      <xdr:row>218</xdr:row>
      <xdr:rowOff>161691</xdr:rowOff>
    </xdr:to>
    <xdr:cxnSp macro="">
      <xdr:nvCxnSpPr>
        <xdr:cNvPr id="14" name="Straight Connector 13"/>
        <xdr:cNvCxnSpPr/>
      </xdr:nvCxnSpPr>
      <xdr:spPr>
        <a:xfrm>
          <a:off x="4440252" y="41502418"/>
          <a:ext cx="0" cy="9390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993321</xdr:colOff>
      <xdr:row>211</xdr:row>
      <xdr:rowOff>95250</xdr:rowOff>
    </xdr:from>
    <xdr:to>
      <xdr:col>6</xdr:col>
      <xdr:colOff>489859</xdr:colOff>
      <xdr:row>220</xdr:row>
      <xdr:rowOff>92529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345620</xdr:colOff>
      <xdr:row>213</xdr:row>
      <xdr:rowOff>189050</xdr:rowOff>
    </xdr:from>
    <xdr:to>
      <xdr:col>4</xdr:col>
      <xdr:colOff>345620</xdr:colOff>
      <xdr:row>218</xdr:row>
      <xdr:rowOff>175617</xdr:rowOff>
    </xdr:to>
    <xdr:cxnSp macro="">
      <xdr:nvCxnSpPr>
        <xdr:cNvPr id="16" name="Straight Connector 15"/>
        <xdr:cNvCxnSpPr/>
      </xdr:nvCxnSpPr>
      <xdr:spPr>
        <a:xfrm>
          <a:off x="7551002" y="41516344"/>
          <a:ext cx="0" cy="9390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612322</xdr:colOff>
      <xdr:row>211</xdr:row>
      <xdr:rowOff>108857</xdr:rowOff>
    </xdr:from>
    <xdr:to>
      <xdr:col>8</xdr:col>
      <xdr:colOff>843647</xdr:colOff>
      <xdr:row>220</xdr:row>
      <xdr:rowOff>106136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993321</xdr:colOff>
      <xdr:row>211</xdr:row>
      <xdr:rowOff>108857</xdr:rowOff>
    </xdr:from>
    <xdr:to>
      <xdr:col>11</xdr:col>
      <xdr:colOff>190502</xdr:colOff>
      <xdr:row>220</xdr:row>
      <xdr:rowOff>106136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136085</xdr:colOff>
      <xdr:row>213</xdr:row>
      <xdr:rowOff>180565</xdr:rowOff>
    </xdr:from>
    <xdr:to>
      <xdr:col>7</xdr:col>
      <xdr:colOff>136085</xdr:colOff>
      <xdr:row>218</xdr:row>
      <xdr:rowOff>167132</xdr:rowOff>
    </xdr:to>
    <xdr:cxnSp macro="">
      <xdr:nvCxnSpPr>
        <xdr:cNvPr id="19" name="Straight Connector 18"/>
        <xdr:cNvCxnSpPr/>
      </xdr:nvCxnSpPr>
      <xdr:spPr>
        <a:xfrm>
          <a:off x="10927350" y="41507859"/>
          <a:ext cx="0" cy="9390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689349</xdr:colOff>
      <xdr:row>214</xdr:row>
      <xdr:rowOff>31206</xdr:rowOff>
    </xdr:from>
    <xdr:to>
      <xdr:col>9</xdr:col>
      <xdr:colOff>689349</xdr:colOff>
      <xdr:row>219</xdr:row>
      <xdr:rowOff>17773</xdr:rowOff>
    </xdr:to>
    <xdr:cxnSp macro="">
      <xdr:nvCxnSpPr>
        <xdr:cNvPr id="20" name="Straight Connector 19"/>
        <xdr:cNvCxnSpPr/>
      </xdr:nvCxnSpPr>
      <xdr:spPr>
        <a:xfrm>
          <a:off x="14214849" y="41549000"/>
          <a:ext cx="0" cy="9390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173183</xdr:colOff>
      <xdr:row>207</xdr:row>
      <xdr:rowOff>175076</xdr:rowOff>
    </xdr:from>
    <xdr:to>
      <xdr:col>25</xdr:col>
      <xdr:colOff>571500</xdr:colOff>
      <xdr:row>246</xdr:row>
      <xdr:rowOff>17317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18</xdr:col>
      <xdr:colOff>163561</xdr:colOff>
      <xdr:row>140</xdr:row>
      <xdr:rowOff>176595</xdr:rowOff>
    </xdr:from>
    <xdr:to>
      <xdr:col>22</xdr:col>
      <xdr:colOff>762000</xdr:colOff>
      <xdr:row>161</xdr:row>
      <xdr:rowOff>128835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619124" y="27108533"/>
          <a:ext cx="5741938" cy="3952740"/>
        </a:xfrm>
        <a:prstGeom prst="rect">
          <a:avLst/>
        </a:prstGeom>
      </xdr:spPr>
    </xdr:pic>
    <xdr:clientData/>
  </xdr:twoCellAnchor>
  <xdr:twoCellAnchor editAs="oneCell">
    <xdr:from>
      <xdr:col>33</xdr:col>
      <xdr:colOff>374973</xdr:colOff>
      <xdr:row>142</xdr:row>
      <xdr:rowOff>108856</xdr:rowOff>
    </xdr:from>
    <xdr:to>
      <xdr:col>36</xdr:col>
      <xdr:colOff>724519</xdr:colOff>
      <xdr:row>158</xdr:row>
      <xdr:rowOff>132957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141723" y="27459213"/>
          <a:ext cx="4377260" cy="3072101"/>
        </a:xfrm>
        <a:prstGeom prst="rect">
          <a:avLst/>
        </a:prstGeom>
      </xdr:spPr>
    </xdr:pic>
    <xdr:clientData/>
  </xdr:twoCellAnchor>
  <xdr:twoCellAnchor>
    <xdr:from>
      <xdr:col>37</xdr:col>
      <xdr:colOff>95250</xdr:colOff>
      <xdr:row>209</xdr:row>
      <xdr:rowOff>40821</xdr:rowOff>
    </xdr:from>
    <xdr:to>
      <xdr:col>51</xdr:col>
      <xdr:colOff>289460</xdr:colOff>
      <xdr:row>247</xdr:row>
      <xdr:rowOff>100776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204107</xdr:colOff>
      <xdr:row>161</xdr:row>
      <xdr:rowOff>13606</xdr:rowOff>
    </xdr:from>
    <xdr:to>
      <xdr:col>49</xdr:col>
      <xdr:colOff>544286</xdr:colOff>
      <xdr:row>193</xdr:row>
      <xdr:rowOff>136070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107674</xdr:colOff>
      <xdr:row>264</xdr:row>
      <xdr:rowOff>33617</xdr:rowOff>
    </xdr:from>
    <xdr:to>
      <xdr:col>11</xdr:col>
      <xdr:colOff>1316934</xdr:colOff>
      <xdr:row>272</xdr:row>
      <xdr:rowOff>179295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114300</xdr:colOff>
      <xdr:row>255</xdr:row>
      <xdr:rowOff>9525</xdr:rowOff>
    </xdr:from>
    <xdr:to>
      <xdr:col>11</xdr:col>
      <xdr:colOff>1323560</xdr:colOff>
      <xdr:row>263</xdr:row>
      <xdr:rowOff>164728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122465</xdr:colOff>
      <xdr:row>245</xdr:row>
      <xdr:rowOff>27215</xdr:rowOff>
    </xdr:from>
    <xdr:to>
      <xdr:col>11</xdr:col>
      <xdr:colOff>1331725</xdr:colOff>
      <xdr:row>254</xdr:row>
      <xdr:rowOff>168811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122464</xdr:colOff>
      <xdr:row>234</xdr:row>
      <xdr:rowOff>190500</xdr:rowOff>
    </xdr:from>
    <xdr:to>
      <xdr:col>11</xdr:col>
      <xdr:colOff>1331724</xdr:colOff>
      <xdr:row>244</xdr:row>
      <xdr:rowOff>81643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122464</xdr:colOff>
      <xdr:row>225</xdr:row>
      <xdr:rowOff>0</xdr:rowOff>
    </xdr:from>
    <xdr:to>
      <xdr:col>11</xdr:col>
      <xdr:colOff>1331724</xdr:colOff>
      <xdr:row>234</xdr:row>
      <xdr:rowOff>95249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0.14618</cdr:x>
      <cdr:y>0.19922</cdr:y>
    </cdr:from>
    <cdr:to>
      <cdr:x>0.28405</cdr:x>
      <cdr:y>0.33984</cdr:y>
    </cdr:to>
    <cdr:sp macro="" textlink="">
      <cdr:nvSpPr>
        <cdr:cNvPr id="2" name="Oval 1"/>
        <cdr:cNvSpPr/>
      </cdr:nvSpPr>
      <cdr:spPr>
        <a:xfrm xmlns:a="http://schemas.openxmlformats.org/drawingml/2006/main">
          <a:off x="838201" y="971550"/>
          <a:ext cx="790575" cy="6858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C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0.27907</cdr:x>
      <cdr:y>0.14453</cdr:y>
    </cdr:from>
    <cdr:to>
      <cdr:x>0.70432</cdr:x>
      <cdr:y>0.26953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1600201" y="704850"/>
          <a:ext cx="2438400" cy="60960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271924</xdr:colOff>
      <xdr:row>190</xdr:row>
      <xdr:rowOff>133672</xdr:rowOff>
    </xdr:from>
    <xdr:to>
      <xdr:col>28</xdr:col>
      <xdr:colOff>428624</xdr:colOff>
      <xdr:row>227</xdr:row>
      <xdr:rowOff>27081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409575</xdr:colOff>
      <xdr:row>1</xdr:row>
      <xdr:rowOff>85725</xdr:rowOff>
    </xdr:from>
    <xdr:to>
      <xdr:col>15</xdr:col>
      <xdr:colOff>95250</xdr:colOff>
      <xdr:row>21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499383</xdr:colOff>
      <xdr:row>24</xdr:row>
      <xdr:rowOff>43543</xdr:rowOff>
    </xdr:from>
    <xdr:to>
      <xdr:col>18</xdr:col>
      <xdr:colOff>423183</xdr:colOff>
      <xdr:row>37</xdr:row>
      <xdr:rowOff>77561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1822174</xdr:colOff>
      <xdr:row>59</xdr:row>
      <xdr:rowOff>136073</xdr:rowOff>
    </xdr:from>
    <xdr:to>
      <xdr:col>9</xdr:col>
      <xdr:colOff>72838</xdr:colOff>
      <xdr:row>82</xdr:row>
      <xdr:rowOff>75136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469117</xdr:colOff>
      <xdr:row>25</xdr:row>
      <xdr:rowOff>145677</xdr:rowOff>
    </xdr:from>
    <xdr:to>
      <xdr:col>27</xdr:col>
      <xdr:colOff>736735</xdr:colOff>
      <xdr:row>42</xdr:row>
      <xdr:rowOff>173102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8676" y="4908177"/>
          <a:ext cx="7597283" cy="3826219"/>
        </a:xfrm>
        <a:prstGeom prst="rect">
          <a:avLst/>
        </a:prstGeom>
      </xdr:spPr>
    </xdr:pic>
    <xdr:clientData/>
  </xdr:twoCellAnchor>
  <xdr:twoCellAnchor>
    <xdr:from>
      <xdr:col>5</xdr:col>
      <xdr:colOff>582706</xdr:colOff>
      <xdr:row>113</xdr:row>
      <xdr:rowOff>6724</xdr:rowOff>
    </xdr:from>
    <xdr:to>
      <xdr:col>11</xdr:col>
      <xdr:colOff>257736</xdr:colOff>
      <xdr:row>130</xdr:row>
      <xdr:rowOff>145676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190502</xdr:colOff>
      <xdr:row>76</xdr:row>
      <xdr:rowOff>186017</xdr:rowOff>
    </xdr:from>
    <xdr:to>
      <xdr:col>18</xdr:col>
      <xdr:colOff>179295</xdr:colOff>
      <xdr:row>91</xdr:row>
      <xdr:rowOff>71717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819150</xdr:colOff>
      <xdr:row>142</xdr:row>
      <xdr:rowOff>161925</xdr:rowOff>
    </xdr:from>
    <xdr:to>
      <xdr:col>11</xdr:col>
      <xdr:colOff>581025</xdr:colOff>
      <xdr:row>169</xdr:row>
      <xdr:rowOff>104775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22411</xdr:colOff>
      <xdr:row>175</xdr:row>
      <xdr:rowOff>62753</xdr:rowOff>
    </xdr:from>
    <xdr:to>
      <xdr:col>28</xdr:col>
      <xdr:colOff>156882</xdr:colOff>
      <xdr:row>189</xdr:row>
      <xdr:rowOff>127747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618506</xdr:colOff>
      <xdr:row>256</xdr:row>
      <xdr:rowOff>89646</xdr:rowOff>
    </xdr:from>
    <xdr:to>
      <xdr:col>21</xdr:col>
      <xdr:colOff>56029</xdr:colOff>
      <xdr:row>280</xdr:row>
      <xdr:rowOff>112059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423585</xdr:colOff>
      <xdr:row>200</xdr:row>
      <xdr:rowOff>75882</xdr:rowOff>
    </xdr:from>
    <xdr:to>
      <xdr:col>20</xdr:col>
      <xdr:colOff>567326</xdr:colOff>
      <xdr:row>203</xdr:row>
      <xdr:rowOff>165529</xdr:rowOff>
    </xdr:to>
    <xdr:sp macro="" textlink="">
      <xdr:nvSpPr>
        <xdr:cNvPr id="18" name="TextBox 1"/>
        <xdr:cNvSpPr txBox="1"/>
      </xdr:nvSpPr>
      <xdr:spPr>
        <a:xfrm>
          <a:off x="24943656" y="41019775"/>
          <a:ext cx="905741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3604</a:t>
          </a:r>
        </a:p>
      </xdr:txBody>
    </xdr:sp>
    <xdr:clientData/>
  </xdr:twoCellAnchor>
  <xdr:twoCellAnchor>
    <xdr:from>
      <xdr:col>18</xdr:col>
      <xdr:colOff>162486</xdr:colOff>
      <xdr:row>204</xdr:row>
      <xdr:rowOff>70437</xdr:rowOff>
    </xdr:from>
    <xdr:to>
      <xdr:col>18</xdr:col>
      <xdr:colOff>1076886</xdr:colOff>
      <xdr:row>214</xdr:row>
      <xdr:rowOff>160084</xdr:rowOff>
    </xdr:to>
    <xdr:sp macro="" textlink="">
      <xdr:nvSpPr>
        <xdr:cNvPr id="19" name="TextBox 1"/>
        <xdr:cNvSpPr txBox="1"/>
      </xdr:nvSpPr>
      <xdr:spPr>
        <a:xfrm>
          <a:off x="22233272" y="41708294"/>
          <a:ext cx="914400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 </a:t>
          </a:r>
        </a:p>
      </xdr:txBody>
    </xdr:sp>
    <xdr:clientData/>
  </xdr:twoCellAnchor>
  <xdr:twoCellAnchor>
    <xdr:from>
      <xdr:col>20</xdr:col>
      <xdr:colOff>275105</xdr:colOff>
      <xdr:row>198</xdr:row>
      <xdr:rowOff>15296</xdr:rowOff>
    </xdr:from>
    <xdr:to>
      <xdr:col>21</xdr:col>
      <xdr:colOff>386684</xdr:colOff>
      <xdr:row>201</xdr:row>
      <xdr:rowOff>104943</xdr:rowOff>
    </xdr:to>
    <xdr:sp macro="" textlink="">
      <xdr:nvSpPr>
        <xdr:cNvPr id="20" name="TextBox 1"/>
        <xdr:cNvSpPr txBox="1"/>
      </xdr:nvSpPr>
      <xdr:spPr>
        <a:xfrm>
          <a:off x="25557176" y="40578189"/>
          <a:ext cx="873579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4124</a:t>
          </a:r>
        </a:p>
      </xdr:txBody>
    </xdr:sp>
    <xdr:clientData/>
  </xdr:twoCellAnchor>
  <xdr:twoCellAnchor>
    <xdr:from>
      <xdr:col>21</xdr:col>
      <xdr:colOff>127657</xdr:colOff>
      <xdr:row>197</xdr:row>
      <xdr:rowOff>105817</xdr:rowOff>
    </xdr:from>
    <xdr:to>
      <xdr:col>22</xdr:col>
      <xdr:colOff>588218</xdr:colOff>
      <xdr:row>201</xdr:row>
      <xdr:rowOff>4964</xdr:rowOff>
    </xdr:to>
    <xdr:sp macro="" textlink="">
      <xdr:nvSpPr>
        <xdr:cNvPr id="21" name="TextBox 1"/>
        <xdr:cNvSpPr txBox="1"/>
      </xdr:nvSpPr>
      <xdr:spPr>
        <a:xfrm>
          <a:off x="26171728" y="40478210"/>
          <a:ext cx="1222561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4239 </a:t>
          </a:r>
        </a:p>
      </xdr:txBody>
    </xdr:sp>
    <xdr:clientData/>
  </xdr:twoCellAnchor>
  <xdr:twoCellAnchor>
    <xdr:from>
      <xdr:col>18</xdr:col>
      <xdr:colOff>447442</xdr:colOff>
      <xdr:row>205</xdr:row>
      <xdr:rowOff>6510</xdr:rowOff>
    </xdr:from>
    <xdr:to>
      <xdr:col>19</xdr:col>
      <xdr:colOff>112459</xdr:colOff>
      <xdr:row>209</xdr:row>
      <xdr:rowOff>47224</xdr:rowOff>
    </xdr:to>
    <xdr:sp macro="" textlink="">
      <xdr:nvSpPr>
        <xdr:cNvPr id="22" name="TextBox 1"/>
        <xdr:cNvSpPr txBox="1"/>
      </xdr:nvSpPr>
      <xdr:spPr>
        <a:xfrm>
          <a:off x="23729263" y="41902903"/>
          <a:ext cx="903267" cy="802714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2579</a:t>
          </a:r>
        </a:p>
      </xdr:txBody>
    </xdr:sp>
    <xdr:clientData/>
  </xdr:twoCellAnchor>
  <xdr:twoCellAnchor>
    <xdr:from>
      <xdr:col>18</xdr:col>
      <xdr:colOff>1056181</xdr:colOff>
      <xdr:row>202</xdr:row>
      <xdr:rowOff>103097</xdr:rowOff>
    </xdr:from>
    <xdr:to>
      <xdr:col>19</xdr:col>
      <xdr:colOff>732331</xdr:colOff>
      <xdr:row>213</xdr:row>
      <xdr:rowOff>2245</xdr:rowOff>
    </xdr:to>
    <xdr:sp macro="" textlink="">
      <xdr:nvSpPr>
        <xdr:cNvPr id="23" name="TextBox 1"/>
        <xdr:cNvSpPr txBox="1"/>
      </xdr:nvSpPr>
      <xdr:spPr>
        <a:xfrm>
          <a:off x="24338002" y="41427990"/>
          <a:ext cx="914400" cy="1994648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3118 </a:t>
          </a:r>
        </a:p>
      </xdr:txBody>
    </xdr:sp>
    <xdr:clientData/>
  </xdr:twoCellAnchor>
  <xdr:twoCellAnchor>
    <xdr:from>
      <xdr:col>18</xdr:col>
      <xdr:colOff>444306</xdr:colOff>
      <xdr:row>230</xdr:row>
      <xdr:rowOff>68036</xdr:rowOff>
    </xdr:from>
    <xdr:to>
      <xdr:col>25</xdr:col>
      <xdr:colOff>0</xdr:colOff>
      <xdr:row>248</xdr:row>
      <xdr:rowOff>110428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229721</xdr:colOff>
      <xdr:row>51</xdr:row>
      <xdr:rowOff>155280</xdr:rowOff>
    </xdr:from>
    <xdr:to>
      <xdr:col>36</xdr:col>
      <xdr:colOff>549089</xdr:colOff>
      <xdr:row>72</xdr:row>
      <xdr:rowOff>125026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760358</xdr:colOff>
      <xdr:row>196</xdr:row>
      <xdr:rowOff>135370</xdr:rowOff>
    </xdr:from>
    <xdr:to>
      <xdr:col>23</xdr:col>
      <xdr:colOff>109937</xdr:colOff>
      <xdr:row>200</xdr:row>
      <xdr:rowOff>34517</xdr:rowOff>
    </xdr:to>
    <xdr:sp macro="" textlink="">
      <xdr:nvSpPr>
        <xdr:cNvPr id="24" name="TextBox 1"/>
        <xdr:cNvSpPr txBox="1"/>
      </xdr:nvSpPr>
      <xdr:spPr>
        <a:xfrm>
          <a:off x="26804429" y="40317263"/>
          <a:ext cx="873579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4407</a:t>
          </a:r>
        </a:p>
      </xdr:txBody>
    </xdr:sp>
    <xdr:clientData/>
  </xdr:twoCellAnchor>
  <xdr:twoCellAnchor>
    <xdr:from>
      <xdr:col>22</xdr:col>
      <xdr:colOff>598743</xdr:colOff>
      <xdr:row>192</xdr:row>
      <xdr:rowOff>52446</xdr:rowOff>
    </xdr:from>
    <xdr:to>
      <xdr:col>23</xdr:col>
      <xdr:colOff>710322</xdr:colOff>
      <xdr:row>195</xdr:row>
      <xdr:rowOff>142093</xdr:rowOff>
    </xdr:to>
    <xdr:sp macro="" textlink="">
      <xdr:nvSpPr>
        <xdr:cNvPr id="25" name="TextBox 1"/>
        <xdr:cNvSpPr txBox="1"/>
      </xdr:nvSpPr>
      <xdr:spPr>
        <a:xfrm>
          <a:off x="27404814" y="39472339"/>
          <a:ext cx="873579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5396</a:t>
          </a:r>
        </a:p>
      </xdr:txBody>
    </xdr:sp>
    <xdr:clientData/>
  </xdr:twoCellAnchor>
  <xdr:twoCellAnchor>
    <xdr:from>
      <xdr:col>23</xdr:col>
      <xdr:colOff>454618</xdr:colOff>
      <xdr:row>191</xdr:row>
      <xdr:rowOff>167780</xdr:rowOff>
    </xdr:from>
    <xdr:to>
      <xdr:col>24</xdr:col>
      <xdr:colOff>566197</xdr:colOff>
      <xdr:row>195</xdr:row>
      <xdr:rowOff>66927</xdr:rowOff>
    </xdr:to>
    <xdr:sp macro="" textlink="">
      <xdr:nvSpPr>
        <xdr:cNvPr id="28" name="TextBox 1"/>
        <xdr:cNvSpPr txBox="1"/>
      </xdr:nvSpPr>
      <xdr:spPr>
        <a:xfrm>
          <a:off x="28022689" y="39397173"/>
          <a:ext cx="873579" cy="661147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400" b="1">
              <a:latin typeface="Gill Sans MT" panose="020B0502020104020203" pitchFamily="34" charset="0"/>
            </a:rPr>
            <a:t>5480</a:t>
          </a:r>
        </a:p>
      </xdr:txBody>
    </xdr:sp>
    <xdr:clientData/>
  </xdr:twoCellAnchor>
  <xdr:twoCellAnchor>
    <xdr:from>
      <xdr:col>25</xdr:col>
      <xdr:colOff>117764</xdr:colOff>
      <xdr:row>78</xdr:row>
      <xdr:rowOff>139411</xdr:rowOff>
    </xdr:from>
    <xdr:to>
      <xdr:col>36</xdr:col>
      <xdr:colOff>121406</xdr:colOff>
      <xdr:row>99</xdr:row>
      <xdr:rowOff>91837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703489</xdr:colOff>
      <xdr:row>5</xdr:row>
      <xdr:rowOff>1367</xdr:rowOff>
    </xdr:from>
    <xdr:to>
      <xdr:col>15</xdr:col>
      <xdr:colOff>532039</xdr:colOff>
      <xdr:row>19</xdr:row>
      <xdr:rowOff>77567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1</xdr:row>
      <xdr:rowOff>123825</xdr:rowOff>
    </xdr:from>
    <xdr:to>
      <xdr:col>19</xdr:col>
      <xdr:colOff>390525</xdr:colOff>
      <xdr:row>12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253581</xdr:colOff>
      <xdr:row>97</xdr:row>
      <xdr:rowOff>145677</xdr:rowOff>
    </xdr:from>
    <xdr:to>
      <xdr:col>12</xdr:col>
      <xdr:colOff>597146</xdr:colOff>
      <xdr:row>131</xdr:row>
      <xdr:rowOff>67237</xdr:rowOff>
    </xdr:to>
    <xdr:pic>
      <xdr:nvPicPr>
        <xdr:cNvPr id="3" name="Picture 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7816" y="18680206"/>
          <a:ext cx="4949183" cy="6409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360821</xdr:colOff>
      <xdr:row>133</xdr:row>
      <xdr:rowOff>149865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4813" y="18669000"/>
          <a:ext cx="9028571" cy="68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1028700</xdr:colOff>
      <xdr:row>3</xdr:row>
      <xdr:rowOff>28575</xdr:rowOff>
    </xdr:from>
    <xdr:ext cx="5317009" cy="248571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0" y="5972175"/>
          <a:ext cx="5317009" cy="2485714"/>
        </a:xfrm>
        <a:prstGeom prst="rect">
          <a:avLst/>
        </a:prstGeom>
      </xdr:spPr>
    </xdr:pic>
    <xdr:clientData/>
  </xdr:oneCellAnchor>
  <xdr:twoCellAnchor>
    <xdr:from>
      <xdr:col>4</xdr:col>
      <xdr:colOff>694765</xdr:colOff>
      <xdr:row>197</xdr:row>
      <xdr:rowOff>62753</xdr:rowOff>
    </xdr:from>
    <xdr:to>
      <xdr:col>9</xdr:col>
      <xdr:colOff>336177</xdr:colOff>
      <xdr:row>211</xdr:row>
      <xdr:rowOff>138953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373910</xdr:colOff>
      <xdr:row>208</xdr:row>
      <xdr:rowOff>156881</xdr:rowOff>
    </xdr:from>
    <xdr:to>
      <xdr:col>15</xdr:col>
      <xdr:colOff>86526</xdr:colOff>
      <xdr:row>254</xdr:row>
      <xdr:rowOff>71360</xdr:rowOff>
    </xdr:to>
    <xdr:pic>
      <xdr:nvPicPr>
        <xdr:cNvPr id="4" name="Picture 3" descr="https://cdn.shopify.com/s/files/1/0441/8845/files/bergmans-plant-food-feeding-schedule-soil-201807.png?182939696806557188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9145" y="41528999"/>
          <a:ext cx="5529590" cy="8699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7</xdr:col>
      <xdr:colOff>766482</xdr:colOff>
      <xdr:row>32</xdr:row>
      <xdr:rowOff>13660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955" y="3099955"/>
          <a:ext cx="10027227" cy="3061660"/>
        </a:xfrm>
        <a:prstGeom prst="rect">
          <a:avLst/>
        </a:prstGeom>
      </xdr:spPr>
    </xdr:pic>
    <xdr:clientData/>
  </xdr:twoCellAnchor>
  <xdr:twoCellAnchor editAs="oneCell">
    <xdr:from>
      <xdr:col>16</xdr:col>
      <xdr:colOff>1263650</xdr:colOff>
      <xdr:row>16</xdr:row>
      <xdr:rowOff>98425</xdr:rowOff>
    </xdr:from>
    <xdr:to>
      <xdr:col>27</xdr:col>
      <xdr:colOff>5361</xdr:colOff>
      <xdr:row>42</xdr:row>
      <xdr:rowOff>159475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74025" y="3194050"/>
          <a:ext cx="8410519" cy="5077550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42</xdr:row>
      <xdr:rowOff>133350</xdr:rowOff>
    </xdr:from>
    <xdr:to>
      <xdr:col>28</xdr:col>
      <xdr:colOff>23155</xdr:colOff>
      <xdr:row>44</xdr:row>
      <xdr:rowOff>160631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20675" y="8382000"/>
          <a:ext cx="7304762" cy="4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123266</xdr:colOff>
      <xdr:row>46</xdr:row>
      <xdr:rowOff>179294</xdr:rowOff>
    </xdr:from>
    <xdr:to>
      <xdr:col>27</xdr:col>
      <xdr:colOff>521294</xdr:colOff>
      <xdr:row>68</xdr:row>
      <xdr:rowOff>78441</xdr:rowOff>
    </xdr:to>
    <xdr:pic>
      <xdr:nvPicPr>
        <xdr:cNvPr id="5" name="Picture 4" descr="Image result for schematic heating and cooling system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9854" y="9233647"/>
          <a:ext cx="5182939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1288677</xdr:colOff>
      <xdr:row>72</xdr:row>
      <xdr:rowOff>168089</xdr:rowOff>
    </xdr:from>
    <xdr:to>
      <xdr:col>9</xdr:col>
      <xdr:colOff>780655</xdr:colOff>
      <xdr:row>82</xdr:row>
      <xdr:rowOff>164487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59706" y="14276295"/>
          <a:ext cx="6988713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1232646</xdr:colOff>
      <xdr:row>84</xdr:row>
      <xdr:rowOff>67236</xdr:rowOff>
    </xdr:from>
    <xdr:to>
      <xdr:col>4</xdr:col>
      <xdr:colOff>251011</xdr:colOff>
      <xdr:row>114</xdr:row>
      <xdr:rowOff>67236</xdr:rowOff>
    </xdr:to>
    <xdr:pic>
      <xdr:nvPicPr>
        <xdr:cNvPr id="7" name="Picture 6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646" y="16483854"/>
          <a:ext cx="5674659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1535207</xdr:colOff>
      <xdr:row>136</xdr:row>
      <xdr:rowOff>56028</xdr:rowOff>
    </xdr:from>
    <xdr:to>
      <xdr:col>14</xdr:col>
      <xdr:colOff>68694</xdr:colOff>
      <xdr:row>154</xdr:row>
      <xdr:rowOff>141314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35119" y="26401057"/>
          <a:ext cx="4990476" cy="3514286"/>
        </a:xfrm>
        <a:prstGeom prst="rect">
          <a:avLst/>
        </a:prstGeom>
      </xdr:spPr>
    </xdr:pic>
    <xdr:clientData/>
  </xdr:twoCellAnchor>
  <xdr:twoCellAnchor>
    <xdr:from>
      <xdr:col>8</xdr:col>
      <xdr:colOff>750793</xdr:colOff>
      <xdr:row>155</xdr:row>
      <xdr:rowOff>73959</xdr:rowOff>
    </xdr:from>
    <xdr:to>
      <xdr:col>17</xdr:col>
      <xdr:colOff>313764</xdr:colOff>
      <xdr:row>177</xdr:row>
      <xdr:rowOff>89647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236</xdr:row>
      <xdr:rowOff>0</xdr:rowOff>
    </xdr:from>
    <xdr:to>
      <xdr:col>5</xdr:col>
      <xdr:colOff>1988857</xdr:colOff>
      <xdr:row>252</xdr:row>
      <xdr:rowOff>13660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180250"/>
          <a:ext cx="10037482" cy="306166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224</xdr:row>
      <xdr:rowOff>111125</xdr:rowOff>
    </xdr:from>
    <xdr:to>
      <xdr:col>13</xdr:col>
      <xdr:colOff>475287</xdr:colOff>
      <xdr:row>251</xdr:row>
      <xdr:rowOff>45175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0" y="43386375"/>
          <a:ext cx="8410519" cy="5077550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448236</xdr:colOff>
      <xdr:row>288</xdr:row>
      <xdr:rowOff>134471</xdr:rowOff>
    </xdr:from>
    <xdr:to>
      <xdr:col>23</xdr:col>
      <xdr:colOff>2162307</xdr:colOff>
      <xdr:row>315</xdr:row>
      <xdr:rowOff>12492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81060" y="55502736"/>
          <a:ext cx="8426394" cy="50775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BAR\Baseline%20Models\Integrated%20Models\Integrated%20Guar%20Model%20v2.9%209_5_19_HM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BAR\Baseline%20Models\Guayule%20Model%20v1.16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mealing/Desktop/T:/SBAR/Baseline%20Models/Guayule%20Model%20v1.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 Out"/>
      <sheetName val="Intro"/>
      <sheetName val="Scenario Inputs"/>
      <sheetName val="Summarized Outputs"/>
      <sheetName val="Scenario Explanations"/>
      <sheetName val="Sensitivity Analysis"/>
      <sheetName val="Detailed Inputs"/>
      <sheetName val="Data Repository"/>
      <sheetName val="Ag LCI Calcs"/>
      <sheetName val="LCI Backup Calcs"/>
      <sheetName val="100-Economics"/>
      <sheetName val="100-&gt;200 Logistics"/>
      <sheetName val="LCI Master"/>
      <sheetName val="Guar Ag Ref"/>
      <sheetName val="100-LCIA"/>
      <sheetName val="200-LCIA"/>
      <sheetName val="Balance"/>
      <sheetName val="Economic - Backup Calcs"/>
      <sheetName val="200"/>
      <sheetName val="200b"/>
      <sheetName val="300"/>
      <sheetName val="300b"/>
      <sheetName val="500"/>
      <sheetName val="700"/>
      <sheetName val="900"/>
      <sheetName val="900b"/>
      <sheetName val="200-900 Economics"/>
      <sheetName val="Integrated LCA"/>
      <sheetName val="Figures"/>
      <sheetName val="Conversions"/>
      <sheetName val="Properties"/>
      <sheetName val="Sources"/>
    </sheetNames>
    <sheetDataSet>
      <sheetData sheetId="0"/>
      <sheetData sheetId="1"/>
      <sheetData sheetId="2"/>
      <sheetData sheetId="3"/>
      <sheetData sheetId="4"/>
      <sheetData sheetId="5"/>
      <sheetData sheetId="6">
        <row r="112">
          <cell r="K112">
            <v>1</v>
          </cell>
        </row>
      </sheetData>
      <sheetData sheetId="7"/>
      <sheetData sheetId="8"/>
      <sheetData sheetId="9"/>
      <sheetData sheetId="10">
        <row r="47">
          <cell r="AE47" t="str">
            <v>Total Acres by Field Operations Equipment per year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6">
          <cell r="F6">
            <v>1233.48</v>
          </cell>
        </row>
      </sheetData>
      <sheetData sheetId="30"/>
      <sheetData sheetId="3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 Inputs"/>
      <sheetName val="Import New Variable Inputs"/>
      <sheetName val="Lookup Tables"/>
      <sheetName val="Economic Analysis"/>
      <sheetName val="Economic - Backup Calcs"/>
      <sheetName val="Mass and Energy Repository"/>
      <sheetName val="Mass and Energy Balances"/>
      <sheetName val="200 - Model"/>
      <sheetName val="200 - Backup Calcs"/>
      <sheetName val="300"/>
      <sheetName val="300b"/>
      <sheetName val="700"/>
      <sheetName val="700b"/>
      <sheetName val="900 - Model"/>
      <sheetName val="900 - Backup Calcs"/>
      <sheetName val="Cash Flow"/>
      <sheetName val="Figures Workspace"/>
      <sheetName val="LCI"/>
      <sheetName val="LCI Backup Calcs"/>
      <sheetName val="Lit Comparis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New Variable Inpu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com/Zenport-ZL0014-Tapener-0-5-Inch-200-Feet/dp/B00G514B2Q/ref=pd_bxgy_86_img_2/140-9247318-6055757?_encoding=UTF8&amp;pd_rd_i=B00G514B2Q&amp;pd_rd_r=6902b928-b029-48b0-9beb-e89d2666e60f&amp;pd_rd_w=6PL1Z&amp;pd_rd_wg=738NV&amp;pf_rd_p=09627863-9889-4290-b90a-5e9f86682449&amp;pf_rd_r=V18ENE65K2K35AHRVM4R&amp;psc=1&amp;refRID=V18ENE65K2K35AHRVM4R" TargetMode="External"/><Relationship Id="rId2" Type="http://schemas.openxmlformats.org/officeDocument/2006/relationships/hyperlink" Target="https://growgen.pro/grower-s-edge-soft-mesh-trellis-netting-bulk-roll-5-ft-x-750-ft-w-6-in-squares.html?fee=15&amp;fep=17841&amp;utm_source=google-feed&amp;utm_medium=shopping%20feed&amp;utm_campaign=SCFeed&amp;utm_source=google&amp;utm_medium=cpc&amp;adpos=1o1&amp;scid=scplp740127&amp;sc_intid=740127&amp;gclid=EAIaIQobChMIwc3Eks_v5gIVxp6zCh10UAdBEAkYASABEgKp7PD_BwE" TargetMode="External"/><Relationship Id="rId1" Type="http://schemas.openxmlformats.org/officeDocument/2006/relationships/hyperlink" Target="https://www.amazon.com/Growers-Edge-Plant-Stake-Labels/dp/B007KIEL7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fns-prod.azureedge.net/sites/default/files/nutrition_insights_uploads/insight11.pdf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www.niaaa.nih.gov/what-standard-drink" TargetMode="External"/><Relationship Id="rId1" Type="http://schemas.openxmlformats.org/officeDocument/2006/relationships/hyperlink" Target="http://static.ewg.org/reports/2011/meateaters/pdf/methodology_ewg_meat_eaters_guide_to_health_and_climate_2011.pdf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drive.google.com/file/d/1120LdxmecGTuf7uil9l6YmjOQonYOnxV/view" TargetMode="External"/><Relationship Id="rId4" Type="http://schemas.openxmlformats.org/officeDocument/2006/relationships/hyperlink" Target="https://nutritiondata.self.com/facts/poultry-products/768/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greenerhydroponics.com/Premier-Pro-Mix-HP-BioFungicide-Mycorrhizae-38-cu-ft-_p_76424.html?gclid=EAIaIQobChMIyZngtsnm4gIVlcJkCh1r8A-iEAQYASABEgKCh_D_BwE" TargetMode="External"/><Relationship Id="rId1" Type="http://schemas.openxmlformats.org/officeDocument/2006/relationships/hyperlink" Target="https://www.greenerhydroponics.com/Premier-Pro-Mix-HP-BioFungicide-Mycorrhizae-38-cu-ft-_p_76424.html?gclid=EAIaIQobChMIyZngtsnm4gIVlcJkCh1r8A-iEAQYASABEgKCh_D_BwE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bigbudsmag.com/calculating-cfm-exhaust-fan-marijuana-grow-room/" TargetMode="External"/><Relationship Id="rId3" Type="http://schemas.openxmlformats.org/officeDocument/2006/relationships/hyperlink" Target="https://www.royalqueenseeds.com/blog-ventilation-guide-for-your-marijuana-grow-op-n738" TargetMode="External"/><Relationship Id="rId7" Type="http://schemas.openxmlformats.org/officeDocument/2006/relationships/hyperlink" Target="https://percysgrowroom.com/grow-room-ventilation/" TargetMode="External"/><Relationship Id="rId2" Type="http://schemas.openxmlformats.org/officeDocument/2006/relationships/hyperlink" Target="https://www.greencultured.co/essential-air-marijuana-growing-rooms/" TargetMode="External"/><Relationship Id="rId1" Type="http://schemas.openxmlformats.org/officeDocument/2006/relationships/hyperlink" Target="https://reader.elsevier.com/reader/sd/pii/S0959652615000293?token=C6DEB4104A6986D19994F24DB74EF9E949A49FD22B692DC5BE0656204DD7B0EB093D95BB3B953FE8E0439C92FE8822E5" TargetMode="External"/><Relationship Id="rId6" Type="http://schemas.openxmlformats.org/officeDocument/2006/relationships/hyperlink" Target="https://www.zamnesia.com/cannabis-grow-guide/140-ventilation-cannabis-grow-space" TargetMode="External"/><Relationship Id="rId5" Type="http://schemas.openxmlformats.org/officeDocument/2006/relationships/hyperlink" Target="https://www.leafly.com/news/growing/tips-for-improving-cannabis-grow-room-air-circulation" TargetMode="External"/><Relationship Id="rId10" Type="http://schemas.openxmlformats.org/officeDocument/2006/relationships/drawing" Target="../drawings/drawing10.xml"/><Relationship Id="rId4" Type="http://schemas.openxmlformats.org/officeDocument/2006/relationships/hyperlink" Target="https://www.royalqueenseeds.com/blog-ventilation-guide-for-your-marijuana-grow-op-n738" TargetMode="External"/><Relationship Id="rId9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electricityplans.com/power-consumption-for-cannabis-growers/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https://rockymtnashrae.com/images/downloads/Marijuana_Facilities_-_Expert_Presentation_4-28-17_-_BRCU_REVISED.pdf" TargetMode="External"/><Relationship Id="rId1" Type="http://schemas.openxmlformats.org/officeDocument/2006/relationships/hyperlink" Target="https://sohumsoils.com/how-much-water-does-it-take-to-grow-cannabis/" TargetMode="External"/><Relationship Id="rId6" Type="http://schemas.openxmlformats.org/officeDocument/2006/relationships/hyperlink" Target="http://www.ncsl.org/research/energy/electricity-use-in-marijuana-production.aspx" TargetMode="External"/><Relationship Id="rId5" Type="http://schemas.openxmlformats.org/officeDocument/2006/relationships/hyperlink" Target="http://www.ncsl.org/research/energy/electricity-use-in-marijuana-production.aspx" TargetMode="External"/><Relationship Id="rId4" Type="http://schemas.openxmlformats.org/officeDocument/2006/relationships/hyperlink" Target="https://weatherport.com/guide-to-starting-a-commercial-cannabis-grow-operation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searchgate.net/post/Can_I_convert_PAR_photo_active_radiation_value_of_micro_mole_M2_S_to_Solar_radiation_in_Watt_m22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qua-calc.com/page/density-table/substance/gasoline" TargetMode="External"/><Relationship Id="rId2" Type="http://schemas.openxmlformats.org/officeDocument/2006/relationships/hyperlink" Target="https://www.co2meter.com/blogs/news/41003521-co2-calculator-for-grow-room-or-indoor-greenhouse" TargetMode="External"/><Relationship Id="rId1" Type="http://schemas.openxmlformats.org/officeDocument/2006/relationships/hyperlink" Target="https://chemicalbook.com/ProductChemicalPropertiesCB4111739_EN.htm" TargetMode="External"/><Relationship Id="rId5" Type="http://schemas.openxmlformats.org/officeDocument/2006/relationships/hyperlink" Target="https://www.walmart.com/ip/FoxFarm-FX14100-Bush-Doctor-Coco-Loco-Plant-Garden-Potting-Soil-Mix-2-Cubic-Ft/194569731?wmlspartner=wlpa&amp;selectedSellerId=1187&amp;adid=22222222227053299007&amp;wl0=&amp;wl1=g&amp;wl2=c&amp;wl3=153877461783&amp;wl4=pla-265417260405&amp;wl5=9028895&amp;wl6=&amp;wl7=&amp;wl8=&amp;wl9=pla&amp;wl10=112549749&amp;wl11=online&amp;wl12=194569731&amp;veh=sem&amp;gclid=EAIaIQobChMI46nT_7f85QIViB-tBh0zSAjiEAQYBCABEgIr4_D_BwE" TargetMode="External"/><Relationship Id="rId4" Type="http://schemas.openxmlformats.org/officeDocument/2006/relationships/hyperlink" Target="https://www.oregon.gov/ode/educator-resources/standards/science/Documents/Current-Lesson-Materials-MS/msds-miracle-gro.pdf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line.com/Product/Detail/H-1422/Fans-Heaters-AC-and-Dehumidifiers/Industrial-Wall-Mount-Fan-30?pricode=WA9195&amp;gadtype=pla&amp;id=H-1422&amp;gclid=EAIaIQobChMImM-UmMLi4gIVzcDACh0D2gdZEAQYAiABEgKTkPD_BwE&amp;gclsrc=aw.ds" TargetMode="External"/><Relationship Id="rId18" Type="http://schemas.openxmlformats.org/officeDocument/2006/relationships/hyperlink" Target="https://www.leafly.com/news/growing/outdoor-cannabis-grows-101-everything-you-need-to-start-growing-o" TargetMode="External"/><Relationship Id="rId26" Type="http://schemas.openxmlformats.org/officeDocument/2006/relationships/hyperlink" Target="https://www.plu.edu/facilities-management/wp-content/uploads/sites/140/2017/01/plu-temperature-set-point-policy.pdf" TargetMode="External"/><Relationship Id="rId39" Type="http://schemas.openxmlformats.org/officeDocument/2006/relationships/hyperlink" Target="https://surna.com/product/climate-control/small-tonnage-commercial-chillers/" TargetMode="External"/><Relationship Id="rId21" Type="http://schemas.openxmlformats.org/officeDocument/2006/relationships/hyperlink" Target="https://growace.com/blog/how-many-grow-lights-do-your-plants-need/" TargetMode="External"/><Relationship Id="rId34" Type="http://schemas.openxmlformats.org/officeDocument/2006/relationships/hyperlink" Target="https://www.mdpi.com/2071-1050/11/10/2945/htm" TargetMode="External"/><Relationship Id="rId7" Type="http://schemas.openxmlformats.org/officeDocument/2006/relationships/hyperlink" Target="https://productiongrower.com/blogs/how-to-grow-weed/" TargetMode="External"/><Relationship Id="rId12" Type="http://schemas.openxmlformats.org/officeDocument/2006/relationships/hyperlink" Target="https://www.pattersonfan.com/uploads/2/9/7/4/29747215/ubb___ubx_specs.pdf" TargetMode="External"/><Relationship Id="rId17" Type="http://schemas.openxmlformats.org/officeDocument/2006/relationships/hyperlink" Target="https://www.jainsusa.com/blog/water-demands-for-cannabis" TargetMode="External"/><Relationship Id="rId25" Type="http://schemas.openxmlformats.org/officeDocument/2006/relationships/hyperlink" Target="https://www.leafly.com/news/growing/how-and-when-to-transplant-cannabis-plants" TargetMode="External"/><Relationship Id="rId33" Type="http://schemas.openxmlformats.org/officeDocument/2006/relationships/hyperlink" Target="https://www.greencultured.co/essential-air-marijuana-growing-rooms/" TargetMode="External"/><Relationship Id="rId38" Type="http://schemas.openxmlformats.org/officeDocument/2006/relationships/hyperlink" Target="file:///\\nasstore.engr.colostate.edu\students\GRAD\ME\hsummers\home\Colorado%20State\Other\Cannabis\Background%20Lit" TargetMode="External"/><Relationship Id="rId2" Type="http://schemas.openxmlformats.org/officeDocument/2006/relationships/hyperlink" Target="https://academic.oup.com/bioscience/article/65/8/822/240374" TargetMode="External"/><Relationship Id="rId16" Type="http://schemas.openxmlformats.org/officeDocument/2006/relationships/hyperlink" Target="https://www.royalqueenseeds.com/blog-growing-cannabis-outdoors-and-off-the-grid-part-1-getting-started-n953" TargetMode="External"/><Relationship Id="rId20" Type="http://schemas.openxmlformats.org/officeDocument/2006/relationships/hyperlink" Target="http://www.gfxtechnology.com/WaterTemp.pdf" TargetMode="External"/><Relationship Id="rId29" Type="http://schemas.openxmlformats.org/officeDocument/2006/relationships/hyperlink" Target="https://cannabistraininguniversity.com/learn-more-about-growing-cannabis-in-perlite-and-coco-coir/" TargetMode="External"/><Relationship Id="rId1" Type="http://schemas.openxmlformats.org/officeDocument/2006/relationships/hyperlink" Target="https://growersnetwork.org/industry/largest-cannabis-producers-in-north-america-2018/" TargetMode="External"/><Relationship Id="rId6" Type="http://schemas.openxmlformats.org/officeDocument/2006/relationships/hyperlink" Target="https://weatherport.com/guide-to-starting-a-commercial-cannabis-grow-operation/" TargetMode="External"/><Relationship Id="rId11" Type="http://schemas.openxmlformats.org/officeDocument/2006/relationships/hyperlink" Target="https://www.maximumyield.com/mastering-co2-ideal-co2-levels-for-growing-marijuana/2/4073" TargetMode="External"/><Relationship Id="rId24" Type="http://schemas.openxmlformats.org/officeDocument/2006/relationships/hyperlink" Target="https://shop.ilovegrowingmarijuana.com/products/marijuana-fertilizer-set" TargetMode="External"/><Relationship Id="rId32" Type="http://schemas.openxmlformats.org/officeDocument/2006/relationships/hyperlink" Target="https://drive.google.com/file/d/1120LdxmecGTuf7uil9l6YmjOQonYOnxV/view" TargetMode="External"/><Relationship Id="rId37" Type="http://schemas.openxmlformats.org/officeDocument/2006/relationships/hyperlink" Target="https://www.nwcouncil.org/sites/default/files/2018_0612_p4.pdf" TargetMode="External"/><Relationship Id="rId40" Type="http://schemas.openxmlformats.org/officeDocument/2006/relationships/printerSettings" Target="../printerSettings/printerSettings11.bin"/><Relationship Id="rId5" Type="http://schemas.openxmlformats.org/officeDocument/2006/relationships/hyperlink" Target="https://books.google.com/books?hl=en&amp;lr=&amp;id=fERzFsZhdxYC&amp;oi=fnd&amp;pg=PR1&amp;dq=greenhouse+marijuana+temperature&amp;ots=t3RvepNENv&amp;sig=4EPRmvOScYeECLnY5jZrhjSCguA" TargetMode="External"/><Relationship Id="rId15" Type="http://schemas.openxmlformats.org/officeDocument/2006/relationships/hyperlink" Target="https://www.colorado.gov/pacific/sites/default/files/AP-COGHGInventory2014Update.pdf" TargetMode="External"/><Relationship Id="rId23" Type="http://schemas.openxmlformats.org/officeDocument/2006/relationships/hyperlink" Target="https://www.vice.com/en_ca/article/vbnby3/canadas-weed-growers-destroy-a-lot-of-cannabis" TargetMode="External"/><Relationship Id="rId28" Type="http://schemas.openxmlformats.org/officeDocument/2006/relationships/hyperlink" Target="https://www.designingbuildings.co.uk/wiki/U-values" TargetMode="External"/><Relationship Id="rId36" Type="http://schemas.openxmlformats.org/officeDocument/2006/relationships/hyperlink" Target="https://mass-cannabis-control.com/wp-content/uploads/2018/03/Presentation_Cannabis-Energy-Overview-to-CCC.pdf" TargetMode="External"/><Relationship Id="rId10" Type="http://schemas.openxmlformats.org/officeDocument/2006/relationships/hyperlink" Target="https://www.nafahq.org/cannabis-facilities-air-filtration-uv-c-air-disinfection-and-odor-removal/" TargetMode="External"/><Relationship Id="rId19" Type="http://schemas.openxmlformats.org/officeDocument/2006/relationships/hyperlink" Target="https://smarterhouse.org/cooling-systems/types-cooling-systems" TargetMode="External"/><Relationship Id="rId31" Type="http://schemas.openxmlformats.org/officeDocument/2006/relationships/hyperlink" Target="file:///\\nasstore.engr.colostate.edu\students\GRAD\ME\hsummers\home\Colorado%20State\Other\Cannabis\Background%20Lit\2017-9-Presentation-Marijuana-Grow.pdf" TargetMode="External"/><Relationship Id="rId4" Type="http://schemas.openxmlformats.org/officeDocument/2006/relationships/hyperlink" Target="https://www.theguardian.com/us-news/2016/feb/27/marijuana-industry-huge-energy-footprint" TargetMode="External"/><Relationship Id="rId9" Type="http://schemas.openxmlformats.org/officeDocument/2006/relationships/hyperlink" Target="https://www.questclimate.com/wp-content/uploads/2018/08/Quest_506_Spec.pdf" TargetMode="External"/><Relationship Id="rId14" Type="http://schemas.openxmlformats.org/officeDocument/2006/relationships/hyperlink" Target="https://www.maximumyield.com/regulating-and-maintaining-reservoir-temperature/2/2350" TargetMode="External"/><Relationship Id="rId22" Type="http://schemas.openxmlformats.org/officeDocument/2006/relationships/hyperlink" Target="https://pugetsoundashrae.org/wp-content/uploads/2018/01/Seattle-ASHRAE-Grow-Room-Presentation.pdf" TargetMode="External"/><Relationship Id="rId27" Type="http://schemas.openxmlformats.org/officeDocument/2006/relationships/hyperlink" Target="https://www.engineeringtoolbox.com/relative-humidity-d_895.html" TargetMode="External"/><Relationship Id="rId30" Type="http://schemas.openxmlformats.org/officeDocument/2006/relationships/hyperlink" Target="https://www.royalqueenseeds.com/blog-neem-oil-the-organic-pesticide-of-choice-for-cannabis-n657" TargetMode="External"/><Relationship Id="rId35" Type="http://schemas.openxmlformats.org/officeDocument/2006/relationships/hyperlink" Target="https://www.fcrn.org.uk/sites/default/files/ALCOHOL%20final%20version%20TG%20feb%202007.pdf" TargetMode="External"/><Relationship Id="rId8" Type="http://schemas.openxmlformats.org/officeDocument/2006/relationships/hyperlink" Target="https://www.amazon.com/JHS-Powerful-Conditioner-A001-10KR-Dehumidifier/dp/B071VYD4WZ/ref=sr_1_5?creativeASIN=B071VYD4WZ&amp;linkCode=w61&amp;imprToken=HYcHXZ0l7vjGkiW4gDf.Xw&amp;slotNum=2&amp;ie=UTF8&amp;qid=1537033205&amp;sr=8-5&amp;keywords=grow+tent+dehumidifiers" TargetMode="External"/><Relationship Id="rId3" Type="http://schemas.openxmlformats.org/officeDocument/2006/relationships/hyperlink" Target="https://www.theguardian.com/society/2017/jun/20/cannabis-climate-change-fossil-fuels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-0.249977111117893"/>
  </sheetPr>
  <dimension ref="A1:X162"/>
  <sheetViews>
    <sheetView tabSelected="1" zoomScale="80" zoomScaleNormal="80" workbookViewId="0">
      <selection activeCell="B1" sqref="B1"/>
    </sheetView>
  </sheetViews>
  <sheetFormatPr defaultRowHeight="15" x14ac:dyDescent="0.25"/>
  <cols>
    <col min="1" max="1" width="9.140625" style="31"/>
    <col min="2" max="2" width="25.42578125" style="31" customWidth="1"/>
    <col min="3" max="3" width="0" hidden="1" customWidth="1"/>
    <col min="4" max="4" width="21" hidden="1" customWidth="1"/>
    <col min="5" max="5" width="56.42578125" customWidth="1"/>
    <col min="6" max="6" width="14.140625" customWidth="1"/>
    <col min="7" max="7" width="19" customWidth="1"/>
    <col min="8" max="8" width="12.42578125" customWidth="1"/>
    <col min="9" max="9" width="28.42578125" bestFit="1" customWidth="1"/>
    <col min="10" max="10" width="18.28515625" customWidth="1"/>
    <col min="11" max="11" width="16" style="31" bestFit="1" customWidth="1"/>
    <col min="12" max="12" width="28.7109375" style="31" customWidth="1"/>
    <col min="13" max="13" width="72.7109375" customWidth="1"/>
    <col min="14" max="17" width="10" customWidth="1"/>
    <col min="18" max="18" width="12.140625" customWidth="1"/>
  </cols>
  <sheetData>
    <row r="1" spans="1:18" s="171" customFormat="1" ht="18.75" x14ac:dyDescent="0.3">
      <c r="B1" s="852" t="s">
        <v>4911</v>
      </c>
    </row>
    <row r="2" spans="1:18" s="171" customFormat="1" x14ac:dyDescent="0.25"/>
    <row r="3" spans="1:18" s="171" customFormat="1" x14ac:dyDescent="0.25">
      <c r="F3" s="289"/>
    </row>
    <row r="4" spans="1:18" s="171" customFormat="1" x14ac:dyDescent="0.25"/>
    <row r="5" spans="1:18" s="85" customFormat="1" x14ac:dyDescent="0.25">
      <c r="A5" s="85" t="s">
        <v>594</v>
      </c>
      <c r="B5" s="198" t="s">
        <v>1643</v>
      </c>
      <c r="C5" s="87" t="s">
        <v>114</v>
      </c>
      <c r="D5" s="87" t="s">
        <v>189</v>
      </c>
      <c r="E5" s="87" t="s">
        <v>190</v>
      </c>
      <c r="F5" s="87" t="s">
        <v>305</v>
      </c>
      <c r="G5" s="95" t="s">
        <v>116</v>
      </c>
      <c r="H5" s="96" t="s">
        <v>304</v>
      </c>
      <c r="I5" s="87" t="s">
        <v>194</v>
      </c>
      <c r="J5" s="87" t="s">
        <v>195</v>
      </c>
      <c r="K5" s="87" t="s">
        <v>420</v>
      </c>
      <c r="L5" s="87" t="s">
        <v>194</v>
      </c>
      <c r="M5" s="87" t="s">
        <v>196</v>
      </c>
      <c r="N5" s="94" t="s">
        <v>192</v>
      </c>
      <c r="O5" s="94" t="s">
        <v>116</v>
      </c>
      <c r="P5" s="94" t="s">
        <v>193</v>
      </c>
      <c r="Q5" s="87" t="s">
        <v>191</v>
      </c>
      <c r="R5" s="84"/>
    </row>
    <row r="6" spans="1:18" s="31" customFormat="1" x14ac:dyDescent="0.25">
      <c r="A6" s="199">
        <v>1</v>
      </c>
      <c r="B6" s="199" t="s">
        <v>887</v>
      </c>
      <c r="C6" s="69" t="s">
        <v>197</v>
      </c>
      <c r="D6" s="69" t="s">
        <v>339</v>
      </c>
      <c r="E6" s="69" t="s">
        <v>415</v>
      </c>
      <c r="F6" s="69">
        <f>G6*0.8</f>
        <v>11848.90112</v>
      </c>
      <c r="G6" s="69">
        <f>86*16*m2_to_ft2</f>
        <v>14811.126399999999</v>
      </c>
      <c r="H6" s="69">
        <f>G6/10</f>
        <v>1481.1126399999998</v>
      </c>
      <c r="I6" s="69" t="s">
        <v>159</v>
      </c>
      <c r="J6" s="69" t="s">
        <v>197</v>
      </c>
      <c r="K6" s="88">
        <f>G6/m2_to_ft2</f>
        <v>1376</v>
      </c>
      <c r="L6" s="69" t="s">
        <v>157</v>
      </c>
      <c r="M6" s="69" t="s">
        <v>1931</v>
      </c>
      <c r="N6" s="69"/>
      <c r="O6" s="69"/>
      <c r="P6" s="69"/>
      <c r="Q6" s="69"/>
    </row>
    <row r="7" spans="1:18" s="146" customFormat="1" x14ac:dyDescent="0.25">
      <c r="A7" s="200">
        <v>2</v>
      </c>
      <c r="B7" s="200" t="s">
        <v>1741</v>
      </c>
      <c r="C7" s="144" t="s">
        <v>197</v>
      </c>
      <c r="D7" s="69" t="s">
        <v>532</v>
      </c>
      <c r="E7" s="144" t="s">
        <v>314</v>
      </c>
      <c r="F7" s="69">
        <f t="shared" ref="F7:F47" si="0">G7*0.8</f>
        <v>0.54545454545454541</v>
      </c>
      <c r="G7" s="147">
        <f>'Indoor Raw Data'!C124</f>
        <v>0.68181818181818177</v>
      </c>
      <c r="H7" s="147"/>
      <c r="I7" s="147" t="s">
        <v>315</v>
      </c>
      <c r="J7" s="144" t="s">
        <v>317</v>
      </c>
      <c r="K7" s="88">
        <f t="shared" ref="K7:K21" si="1">G7</f>
        <v>0.68181818181818177</v>
      </c>
      <c r="L7" s="69" t="str">
        <f t="shared" ref="L7:L20" si="2">I7</f>
        <v>m^2-grow/m^2-greenhouse</v>
      </c>
      <c r="M7" s="144"/>
      <c r="N7" s="144"/>
      <c r="O7" s="144"/>
      <c r="P7" s="144"/>
      <c r="Q7" s="144"/>
      <c r="R7" s="145"/>
    </row>
    <row r="8" spans="1:18" s="31" customFormat="1" x14ac:dyDescent="0.25">
      <c r="A8" s="199">
        <v>3</v>
      </c>
      <c r="B8" s="199" t="s">
        <v>1644</v>
      </c>
      <c r="C8" s="69" t="s">
        <v>253</v>
      </c>
      <c r="D8" s="69" t="s">
        <v>532</v>
      </c>
      <c r="E8" s="69" t="s">
        <v>416</v>
      </c>
      <c r="F8" s="69">
        <f t="shared" si="0"/>
        <v>750.5454545454545</v>
      </c>
      <c r="G8" s="69">
        <f>G7*G6/m2_to_ft2</f>
        <v>938.18181818181813</v>
      </c>
      <c r="H8" s="69"/>
      <c r="I8" s="69" t="s">
        <v>417</v>
      </c>
      <c r="J8" s="69"/>
      <c r="K8" s="88">
        <f t="shared" si="1"/>
        <v>938.18181818181813</v>
      </c>
      <c r="L8" s="69" t="str">
        <f t="shared" si="2"/>
        <v>m^2 grow area</v>
      </c>
      <c r="M8" s="69"/>
      <c r="N8" s="69"/>
      <c r="O8" s="69"/>
      <c r="P8" s="69"/>
      <c r="Q8" s="69"/>
    </row>
    <row r="9" spans="1:18" s="31" customFormat="1" x14ac:dyDescent="0.25">
      <c r="A9" s="199">
        <v>4</v>
      </c>
      <c r="B9" s="199" t="s">
        <v>1645</v>
      </c>
      <c r="C9" s="69" t="s">
        <v>197</v>
      </c>
      <c r="D9" s="69" t="s">
        <v>180</v>
      </c>
      <c r="E9" s="69" t="s">
        <v>578</v>
      </c>
      <c r="F9" s="69">
        <f t="shared" si="0"/>
        <v>3.6576000000000004</v>
      </c>
      <c r="G9" s="69">
        <f>15*feet_to_meters</f>
        <v>4.5720000000000001</v>
      </c>
      <c r="H9" s="69"/>
      <c r="I9" s="69" t="s">
        <v>583</v>
      </c>
      <c r="J9" s="69" t="s">
        <v>579</v>
      </c>
      <c r="K9" s="88">
        <f t="shared" si="1"/>
        <v>4.5720000000000001</v>
      </c>
      <c r="L9" s="69" t="s">
        <v>583</v>
      </c>
      <c r="M9" s="69"/>
      <c r="N9" s="69"/>
      <c r="O9" s="69"/>
      <c r="P9" s="69"/>
      <c r="Q9" s="69"/>
    </row>
    <row r="10" spans="1:18" s="211" customFormat="1" x14ac:dyDescent="0.25">
      <c r="A10" s="451">
        <v>5</v>
      </c>
      <c r="B10" s="451" t="s">
        <v>889</v>
      </c>
      <c r="C10" s="452" t="s">
        <v>197</v>
      </c>
      <c r="D10" s="452" t="s">
        <v>180</v>
      </c>
      <c r="E10" s="452" t="s">
        <v>121</v>
      </c>
      <c r="F10" s="69">
        <f t="shared" si="0"/>
        <v>5032.8576000000003</v>
      </c>
      <c r="G10" s="452">
        <f>G9*K6</f>
        <v>6291.0720000000001</v>
      </c>
      <c r="H10" s="452"/>
      <c r="I10" s="452" t="s">
        <v>122</v>
      </c>
      <c r="J10" s="452" t="s">
        <v>882</v>
      </c>
      <c r="K10" s="453">
        <f t="shared" si="1"/>
        <v>6291.0720000000001</v>
      </c>
      <c r="L10" s="452" t="s">
        <v>122</v>
      </c>
      <c r="M10" s="452"/>
      <c r="N10" s="452"/>
      <c r="O10" s="452"/>
      <c r="P10" s="452"/>
      <c r="Q10" s="452"/>
    </row>
    <row r="11" spans="1:18" s="31" customFormat="1" x14ac:dyDescent="0.25">
      <c r="A11" s="199">
        <v>6</v>
      </c>
      <c r="B11" s="200" t="s">
        <v>1646</v>
      </c>
      <c r="C11" s="69" t="s">
        <v>197</v>
      </c>
      <c r="D11" s="69" t="s">
        <v>180</v>
      </c>
      <c r="E11" s="69" t="s">
        <v>584</v>
      </c>
      <c r="F11" s="69">
        <f t="shared" si="0"/>
        <v>0.24384000000000003</v>
      </c>
      <c r="G11" s="69">
        <f>1*feet_to_meters</f>
        <v>0.30480000000000002</v>
      </c>
      <c r="H11" s="69"/>
      <c r="I11" s="69" t="s">
        <v>583</v>
      </c>
      <c r="J11" s="69"/>
      <c r="K11" s="88">
        <f t="shared" si="1"/>
        <v>0.30480000000000002</v>
      </c>
      <c r="L11" s="69" t="str">
        <f>I11</f>
        <v>meters</v>
      </c>
      <c r="M11" s="69"/>
      <c r="N11" s="69"/>
      <c r="O11" s="69"/>
      <c r="P11" s="69"/>
      <c r="Q11" s="69"/>
    </row>
    <row r="12" spans="1:18" s="31" customFormat="1" x14ac:dyDescent="0.25">
      <c r="A12" s="200">
        <v>7</v>
      </c>
      <c r="B12" s="200" t="s">
        <v>1647</v>
      </c>
      <c r="C12" s="69" t="s">
        <v>197</v>
      </c>
      <c r="D12" s="69" t="s">
        <v>180</v>
      </c>
      <c r="E12" s="69" t="s">
        <v>585</v>
      </c>
      <c r="F12" s="69">
        <f t="shared" si="0"/>
        <v>4.6400000000000004E-2</v>
      </c>
      <c r="G12" s="69">
        <v>5.8000000000000003E-2</v>
      </c>
      <c r="H12" s="69"/>
      <c r="I12" s="69" t="s">
        <v>586</v>
      </c>
      <c r="J12" s="69" t="s">
        <v>587</v>
      </c>
      <c r="K12" s="205">
        <f t="shared" si="1"/>
        <v>5.8000000000000003E-2</v>
      </c>
      <c r="L12" s="69" t="str">
        <f>I12</f>
        <v>W/m*K</v>
      </c>
      <c r="M12" s="69" t="s">
        <v>803</v>
      </c>
      <c r="N12" s="69"/>
      <c r="O12" s="69"/>
      <c r="P12" s="69"/>
      <c r="Q12" s="69"/>
    </row>
    <row r="13" spans="1:18" x14ac:dyDescent="0.25">
      <c r="A13" s="454">
        <v>8</v>
      </c>
      <c r="B13" s="200" t="s">
        <v>1729</v>
      </c>
      <c r="C13" s="89" t="s">
        <v>197</v>
      </c>
      <c r="D13" s="89" t="s">
        <v>180</v>
      </c>
      <c r="E13" s="89" t="s">
        <v>1731</v>
      </c>
      <c r="F13" s="69">
        <f t="shared" si="0"/>
        <v>24</v>
      </c>
      <c r="G13" s="388">
        <v>30</v>
      </c>
      <c r="H13" s="69"/>
      <c r="I13" s="89" t="s">
        <v>1733</v>
      </c>
      <c r="J13" s="69"/>
      <c r="K13" s="388">
        <f>G13</f>
        <v>30</v>
      </c>
      <c r="L13" s="69" t="str">
        <f>I13</f>
        <v>W/m^2-K</v>
      </c>
      <c r="M13" s="69"/>
      <c r="N13" s="69"/>
    </row>
    <row r="14" spans="1:18" x14ac:dyDescent="0.25">
      <c r="A14" s="454">
        <v>9</v>
      </c>
      <c r="B14" s="200" t="s">
        <v>1730</v>
      </c>
      <c r="C14" s="89" t="s">
        <v>197</v>
      </c>
      <c r="D14" s="89" t="s">
        <v>180</v>
      </c>
      <c r="E14" s="89" t="s">
        <v>1732</v>
      </c>
      <c r="F14" s="69">
        <f t="shared" si="0"/>
        <v>24</v>
      </c>
      <c r="G14" s="388">
        <v>30</v>
      </c>
      <c r="H14" s="69"/>
      <c r="I14" s="89" t="s">
        <v>1733</v>
      </c>
      <c r="J14" s="69"/>
      <c r="K14" s="388">
        <f>G14</f>
        <v>30</v>
      </c>
      <c r="L14" s="69" t="str">
        <f>I14</f>
        <v>W/m^2-K</v>
      </c>
      <c r="M14" s="69"/>
      <c r="N14" s="69"/>
    </row>
    <row r="15" spans="1:18" s="146" customFormat="1" x14ac:dyDescent="0.25">
      <c r="A15" s="200">
        <v>10</v>
      </c>
      <c r="B15" s="199" t="s">
        <v>1648</v>
      </c>
      <c r="C15" s="144" t="s">
        <v>197</v>
      </c>
      <c r="D15" s="144" t="s">
        <v>180</v>
      </c>
      <c r="E15" s="144" t="s">
        <v>946</v>
      </c>
      <c r="F15" s="69">
        <f>G15*0.8</f>
        <v>24</v>
      </c>
      <c r="G15" s="156">
        <v>30</v>
      </c>
      <c r="H15" s="88">
        <v>8</v>
      </c>
      <c r="I15" s="147" t="s">
        <v>380</v>
      </c>
      <c r="J15" s="144" t="s">
        <v>381</v>
      </c>
      <c r="K15" s="88">
        <f t="shared" si="1"/>
        <v>30</v>
      </c>
      <c r="L15" s="69" t="str">
        <f t="shared" si="2"/>
        <v>air changes/hour</v>
      </c>
      <c r="M15" s="144" t="s">
        <v>740</v>
      </c>
      <c r="N15" s="144"/>
      <c r="O15" s="144"/>
      <c r="P15" s="144"/>
      <c r="Q15" s="144"/>
      <c r="R15" s="145"/>
    </row>
    <row r="16" spans="1:18" s="146" customFormat="1" x14ac:dyDescent="0.25">
      <c r="A16" s="454">
        <v>11</v>
      </c>
      <c r="B16" s="199" t="s">
        <v>1711</v>
      </c>
      <c r="C16" s="144" t="s">
        <v>197</v>
      </c>
      <c r="D16" s="144" t="s">
        <v>180</v>
      </c>
      <c r="E16" s="144" t="s">
        <v>207</v>
      </c>
      <c r="F16" s="69">
        <f t="shared" si="0"/>
        <v>2.1527799999999999</v>
      </c>
      <c r="G16" s="88">
        <f>1/4*m2_to_ft2</f>
        <v>2.6909749999999999</v>
      </c>
      <c r="H16" s="469">
        <f>MIN('Indoor Raw Data'!F114,'Indoor Raw Data'!C116)</f>
        <v>2.6666666666666665</v>
      </c>
      <c r="I16" s="147" t="s">
        <v>387</v>
      </c>
      <c r="J16" s="144" t="s">
        <v>2460</v>
      </c>
      <c r="K16" s="88">
        <f t="shared" si="1"/>
        <v>2.6909749999999999</v>
      </c>
      <c r="L16" s="69" t="str">
        <f t="shared" si="2"/>
        <v>plants/m^2</v>
      </c>
      <c r="M16" s="144" t="s">
        <v>2461</v>
      </c>
      <c r="N16" s="144"/>
      <c r="O16" s="144"/>
      <c r="P16" s="144"/>
      <c r="Q16" s="144"/>
      <c r="R16" s="145"/>
    </row>
    <row r="17" spans="1:20" s="146" customFormat="1" x14ac:dyDescent="0.25">
      <c r="A17" s="454">
        <v>12</v>
      </c>
      <c r="B17" s="199" t="s">
        <v>2016</v>
      </c>
      <c r="C17" s="144" t="s">
        <v>197</v>
      </c>
      <c r="D17" s="144" t="s">
        <v>180</v>
      </c>
      <c r="E17" s="144" t="s">
        <v>2014</v>
      </c>
      <c r="F17" s="69">
        <f t="shared" si="0"/>
        <v>1335.2716986970154</v>
      </c>
      <c r="G17" s="601">
        <f>G8*G99*G16</f>
        <v>1669.0896233712692</v>
      </c>
      <c r="H17" s="469"/>
      <c r="I17" s="147" t="s">
        <v>2124</v>
      </c>
      <c r="J17" s="144"/>
      <c r="K17" s="88">
        <f>G17</f>
        <v>1669.0896233712692</v>
      </c>
      <c r="L17" s="69" t="str">
        <f t="shared" si="2"/>
        <v>plants/harvest-flower</v>
      </c>
      <c r="M17" s="144" t="s">
        <v>2015</v>
      </c>
      <c r="N17" s="144"/>
      <c r="O17" s="144"/>
      <c r="P17" s="144"/>
      <c r="Q17" s="144"/>
      <c r="R17" s="145"/>
    </row>
    <row r="18" spans="1:20" x14ac:dyDescent="0.25">
      <c r="A18" s="454">
        <v>12</v>
      </c>
      <c r="B18" s="199" t="s">
        <v>1734</v>
      </c>
      <c r="C18" s="69" t="s">
        <v>197</v>
      </c>
      <c r="D18" s="69" t="s">
        <v>180</v>
      </c>
      <c r="E18" s="69" t="s">
        <v>198</v>
      </c>
      <c r="F18" s="69">
        <f t="shared" si="0"/>
        <v>0.35119831470596596</v>
      </c>
      <c r="G18" s="69">
        <f>AVERAGE('Indoor Raw Data'!C151:C154)</f>
        <v>0.43899789338245743</v>
      </c>
      <c r="H18" s="69"/>
      <c r="I18" s="69" t="s">
        <v>411</v>
      </c>
      <c r="J18" s="69" t="s">
        <v>482</v>
      </c>
      <c r="K18" s="88">
        <f t="shared" si="1"/>
        <v>0.43899789338245743</v>
      </c>
      <c r="L18" s="69" t="str">
        <f t="shared" si="2"/>
        <v>kg/m^2-cycle</v>
      </c>
      <c r="M18" s="69" t="s">
        <v>531</v>
      </c>
      <c r="N18" s="69"/>
      <c r="O18" s="69"/>
      <c r="P18" s="69"/>
      <c r="Q18" s="69"/>
    </row>
    <row r="19" spans="1:20" s="31" customFormat="1" x14ac:dyDescent="0.25">
      <c r="A19" s="200">
        <v>13</v>
      </c>
      <c r="B19" s="200" t="s">
        <v>1703</v>
      </c>
      <c r="C19" s="150" t="s">
        <v>197</v>
      </c>
      <c r="D19" s="150" t="s">
        <v>180</v>
      </c>
      <c r="E19" s="150" t="s">
        <v>543</v>
      </c>
      <c r="F19" s="69">
        <f t="shared" si="0"/>
        <v>21.6</v>
      </c>
      <c r="G19" s="150">
        <v>27</v>
      </c>
      <c r="H19" s="150"/>
      <c r="I19" s="150" t="s">
        <v>544</v>
      </c>
      <c r="J19" s="150"/>
      <c r="K19" s="151">
        <f t="shared" si="1"/>
        <v>27</v>
      </c>
      <c r="L19" s="150" t="str">
        <f t="shared" si="2"/>
        <v>deg C</v>
      </c>
      <c r="M19" s="150"/>
      <c r="N19" s="69"/>
      <c r="O19" s="69"/>
      <c r="P19" s="69"/>
      <c r="Q19" s="69"/>
    </row>
    <row r="20" spans="1:20" s="31" customFormat="1" x14ac:dyDescent="0.25">
      <c r="A20" s="454">
        <v>14</v>
      </c>
      <c r="B20" s="200" t="s">
        <v>1704</v>
      </c>
      <c r="C20" s="150" t="s">
        <v>197</v>
      </c>
      <c r="D20" s="150" t="s">
        <v>180</v>
      </c>
      <c r="E20" s="150" t="s">
        <v>545</v>
      </c>
      <c r="F20" s="69">
        <f t="shared" si="0"/>
        <v>17.600000000000001</v>
      </c>
      <c r="G20" s="150">
        <v>22</v>
      </c>
      <c r="H20" s="150"/>
      <c r="I20" s="150" t="s">
        <v>544</v>
      </c>
      <c r="J20" s="150"/>
      <c r="K20" s="151">
        <f t="shared" si="1"/>
        <v>22</v>
      </c>
      <c r="L20" s="150" t="str">
        <f t="shared" si="2"/>
        <v>deg C</v>
      </c>
      <c r="M20" s="150"/>
      <c r="N20" s="69"/>
      <c r="O20" s="69"/>
      <c r="P20" s="69"/>
      <c r="Q20" s="69"/>
    </row>
    <row r="21" spans="1:20" s="31" customFormat="1" x14ac:dyDescent="0.25">
      <c r="A21" s="454">
        <v>15</v>
      </c>
      <c r="B21" s="199" t="s">
        <v>2119</v>
      </c>
      <c r="C21" s="235" t="s">
        <v>197</v>
      </c>
      <c r="D21" s="235" t="s">
        <v>180</v>
      </c>
      <c r="E21" s="514" t="s">
        <v>1203</v>
      </c>
      <c r="F21" s="69">
        <f t="shared" si="0"/>
        <v>390.59450252200008</v>
      </c>
      <c r="G21" s="514">
        <f>'Outdoor Backup Calcs'!B57</f>
        <v>488.24312815250005</v>
      </c>
      <c r="H21" s="514"/>
      <c r="I21" s="514" t="s">
        <v>1204</v>
      </c>
      <c r="J21" s="514" t="s">
        <v>1205</v>
      </c>
      <c r="K21" s="515">
        <f t="shared" si="1"/>
        <v>488.24312815250005</v>
      </c>
      <c r="L21" s="514" t="str">
        <f>I21</f>
        <v>kg/harvest</v>
      </c>
      <c r="M21" s="514" t="s">
        <v>1207</v>
      </c>
      <c r="N21" s="69"/>
      <c r="O21" s="69"/>
      <c r="P21" s="69"/>
      <c r="Q21" s="69"/>
      <c r="S21" s="53"/>
      <c r="T21" s="53"/>
    </row>
    <row r="22" spans="1:20" s="31" customFormat="1" x14ac:dyDescent="0.25">
      <c r="A22" s="200">
        <v>16</v>
      </c>
      <c r="B22" s="199" t="s">
        <v>2120</v>
      </c>
      <c r="C22" s="235" t="s">
        <v>197</v>
      </c>
      <c r="D22" s="235" t="s">
        <v>180</v>
      </c>
      <c r="E22" s="235" t="s">
        <v>1202</v>
      </c>
      <c r="F22" s="69">
        <f t="shared" si="0"/>
        <v>1.101554496E-2</v>
      </c>
      <c r="G22" s="235">
        <f>G91/0.7*0.3</f>
        <v>1.37694312E-2</v>
      </c>
      <c r="H22" s="235"/>
      <c r="I22" s="235" t="s">
        <v>1910</v>
      </c>
      <c r="J22" s="235" t="s">
        <v>1205</v>
      </c>
      <c r="K22" s="236">
        <f>G22*prop_perlite_density*G17</f>
        <v>25280.656209209064</v>
      </c>
      <c r="L22" s="235" t="s">
        <v>1204</v>
      </c>
      <c r="M22" s="235" t="s">
        <v>2134</v>
      </c>
      <c r="N22" s="69"/>
      <c r="O22" s="69"/>
      <c r="P22" s="69"/>
      <c r="Q22" s="69"/>
      <c r="S22" s="53"/>
      <c r="T22" s="53"/>
    </row>
    <row r="23" spans="1:20" s="31" customFormat="1" x14ac:dyDescent="0.25">
      <c r="A23" s="454">
        <v>17</v>
      </c>
      <c r="B23" s="199" t="s">
        <v>2121</v>
      </c>
      <c r="C23" s="235" t="s">
        <v>197</v>
      </c>
      <c r="D23" s="235" t="s">
        <v>180</v>
      </c>
      <c r="E23" s="235" t="s">
        <v>1862</v>
      </c>
      <c r="F23" s="69">
        <f t="shared" si="0"/>
        <v>31.09889001337719</v>
      </c>
      <c r="G23" s="235">
        <f>SUM('Indoor Raw Data'!P296:P297)*kgs_to_grams</f>
        <v>38.873612516721487</v>
      </c>
      <c r="H23" s="235"/>
      <c r="I23" s="235" t="s">
        <v>1865</v>
      </c>
      <c r="J23" s="235"/>
      <c r="K23" s="464">
        <f>G23/kgs_to_grams</f>
        <v>3.8873612516721487E-2</v>
      </c>
      <c r="L23" s="235" t="s">
        <v>1866</v>
      </c>
      <c r="M23" s="235" t="s">
        <v>1207</v>
      </c>
      <c r="N23" s="69"/>
      <c r="O23" s="69"/>
      <c r="P23" s="69"/>
      <c r="Q23" s="69"/>
      <c r="S23" s="53"/>
      <c r="T23" s="53"/>
    </row>
    <row r="24" spans="1:20" s="31" customFormat="1" x14ac:dyDescent="0.25">
      <c r="A24" s="454">
        <v>18</v>
      </c>
      <c r="B24" s="199" t="s">
        <v>2122</v>
      </c>
      <c r="C24" s="235" t="s">
        <v>197</v>
      </c>
      <c r="D24" s="235" t="s">
        <v>180</v>
      </c>
      <c r="E24" s="235" t="s">
        <v>1863</v>
      </c>
      <c r="F24" s="69">
        <f t="shared" si="0"/>
        <v>69.218973587356572</v>
      </c>
      <c r="G24" s="235">
        <f>SUM('Indoor Raw Data'!Q296:Q297)*kgs_to_grams</f>
        <v>86.523716984195715</v>
      </c>
      <c r="H24" s="235"/>
      <c r="I24" s="235" t="s">
        <v>1865</v>
      </c>
      <c r="J24" s="235"/>
      <c r="K24" s="236">
        <f>G24/kgs_to_grams</f>
        <v>8.6523716984195712E-2</v>
      </c>
      <c r="L24" s="235" t="s">
        <v>1866</v>
      </c>
      <c r="M24" s="235"/>
      <c r="N24" s="69"/>
      <c r="O24" s="69"/>
      <c r="P24" s="69"/>
      <c r="Q24" s="69"/>
      <c r="S24" s="53"/>
      <c r="T24" s="53"/>
    </row>
    <row r="25" spans="1:20" s="31" customFormat="1" x14ac:dyDescent="0.25">
      <c r="A25" s="200">
        <v>19</v>
      </c>
      <c r="B25" s="463" t="s">
        <v>2123</v>
      </c>
      <c r="C25" s="235" t="s">
        <v>197</v>
      </c>
      <c r="D25" s="235" t="s">
        <v>180</v>
      </c>
      <c r="E25" s="235" t="s">
        <v>1864</v>
      </c>
      <c r="F25" s="69">
        <f t="shared" si="0"/>
        <v>47.268263884350219</v>
      </c>
      <c r="G25" s="235">
        <f>SUM('Indoor Raw Data'!R296:R297)*kgs_to_grams</f>
        <v>59.08532985543777</v>
      </c>
      <c r="H25" s="235"/>
      <c r="I25" s="235" t="s">
        <v>1865</v>
      </c>
      <c r="J25" s="235"/>
      <c r="K25" s="235">
        <f>G25/kgs_to_grams</f>
        <v>5.9085329855437768E-2</v>
      </c>
      <c r="L25" s="235" t="s">
        <v>1866</v>
      </c>
      <c r="M25" s="235"/>
      <c r="N25" s="69"/>
      <c r="O25" s="69"/>
      <c r="P25" s="69"/>
      <c r="Q25" s="69"/>
      <c r="S25" s="53"/>
      <c r="T25" s="53"/>
    </row>
    <row r="26" spans="1:20" s="31" customFormat="1" x14ac:dyDescent="0.25">
      <c r="A26" s="454">
        <v>20</v>
      </c>
      <c r="B26" s="200" t="s">
        <v>2160</v>
      </c>
      <c r="C26" s="235" t="s">
        <v>197</v>
      </c>
      <c r="D26" s="235" t="s">
        <v>180</v>
      </c>
      <c r="E26" s="512" t="s">
        <v>2165</v>
      </c>
      <c r="F26" s="69">
        <f t="shared" si="0"/>
        <v>0.22000000000000003</v>
      </c>
      <c r="G26" s="512">
        <f>'Indoor Raw Data'!B367</f>
        <v>0.27500000000000002</v>
      </c>
      <c r="H26" s="512"/>
      <c r="I26" s="512" t="str">
        <f>'Indoor Raw Data'!C367</f>
        <v>liters/plant-cycle</v>
      </c>
      <c r="J26" s="512" t="s">
        <v>2166</v>
      </c>
      <c r="K26" s="525">
        <f>G26</f>
        <v>0.27500000000000002</v>
      </c>
      <c r="L26" s="512" t="str">
        <f>I26</f>
        <v>liters/plant-cycle</v>
      </c>
      <c r="M26" s="235"/>
      <c r="N26" s="69"/>
      <c r="O26" s="69"/>
      <c r="P26" s="69"/>
      <c r="Q26" s="69"/>
      <c r="R26" s="618"/>
      <c r="S26" s="148"/>
      <c r="T26" s="53"/>
    </row>
    <row r="27" spans="1:20" s="31" customFormat="1" x14ac:dyDescent="0.25">
      <c r="A27" s="454">
        <v>21</v>
      </c>
      <c r="B27" s="200" t="s">
        <v>2161</v>
      </c>
      <c r="C27" s="235"/>
      <c r="D27" s="235"/>
      <c r="E27" s="512" t="s">
        <v>2164</v>
      </c>
      <c r="F27" s="69">
        <f t="shared" si="0"/>
        <v>8.8000000000000007</v>
      </c>
      <c r="G27" s="512">
        <f>'Indoor Raw Data'!B366</f>
        <v>11</v>
      </c>
      <c r="H27" s="512"/>
      <c r="I27" s="512" t="str">
        <f>'Indoor Raw Data'!C366</f>
        <v>liters/plant-cycle</v>
      </c>
      <c r="J27" s="512" t="s">
        <v>2166</v>
      </c>
      <c r="K27" s="525">
        <f>G27</f>
        <v>11</v>
      </c>
      <c r="L27" s="512" t="s">
        <v>2159</v>
      </c>
      <c r="M27" s="235"/>
      <c r="N27" s="69"/>
      <c r="O27" s="69"/>
      <c r="P27" s="69"/>
      <c r="Q27" s="69"/>
      <c r="R27" s="618"/>
      <c r="S27" s="148"/>
      <c r="T27" s="53"/>
    </row>
    <row r="28" spans="1:20" s="31" customFormat="1" x14ac:dyDescent="0.25">
      <c r="A28" s="200">
        <v>22</v>
      </c>
      <c r="B28" s="200" t="s">
        <v>2162</v>
      </c>
      <c r="C28" s="235"/>
      <c r="D28" s="235"/>
      <c r="E28" s="512" t="s">
        <v>2163</v>
      </c>
      <c r="F28" s="69">
        <f t="shared" si="0"/>
        <v>4.3374495999999998E-2</v>
      </c>
      <c r="G28" s="512">
        <f>'Indoor Raw Data'!B368</f>
        <v>5.4218119999999995E-2</v>
      </c>
      <c r="H28" s="512"/>
      <c r="I28" s="512" t="str">
        <f>'Indoor Raw Data'!C368</f>
        <v>liters/plant-cycle</v>
      </c>
      <c r="J28" s="512" t="s">
        <v>2166</v>
      </c>
      <c r="K28" s="525">
        <f>G28</f>
        <v>5.4218119999999995E-2</v>
      </c>
      <c r="L28" s="512" t="s">
        <v>2159</v>
      </c>
      <c r="M28" s="235"/>
      <c r="N28" s="69"/>
      <c r="O28" s="69"/>
      <c r="P28" s="69"/>
      <c r="Q28" s="69"/>
      <c r="S28" s="53"/>
      <c r="T28" s="53"/>
    </row>
    <row r="29" spans="1:20" s="31" customFormat="1" x14ac:dyDescent="0.25">
      <c r="A29" s="454">
        <v>23</v>
      </c>
      <c r="B29" s="199" t="s">
        <v>1706</v>
      </c>
      <c r="C29" s="69" t="s">
        <v>253</v>
      </c>
      <c r="D29" s="69" t="s">
        <v>180</v>
      </c>
      <c r="E29" s="69" t="s">
        <v>275</v>
      </c>
      <c r="F29" s="69">
        <f t="shared" si="0"/>
        <v>4.9491525423728824</v>
      </c>
      <c r="G29" s="99">
        <f>8760/(('Indoor Inputs'!G52*7+'Indoor Inputs'!G54)*24)</f>
        <v>6.1864406779661021</v>
      </c>
      <c r="H29" s="69"/>
      <c r="I29" s="69" t="s">
        <v>276</v>
      </c>
      <c r="J29" s="69"/>
      <c r="K29" s="88">
        <f t="shared" ref="K29:K90" si="3">G29</f>
        <v>6.1864406779661021</v>
      </c>
      <c r="L29" s="69" t="str">
        <f>I29</f>
        <v>harvest/year</v>
      </c>
      <c r="M29" s="69"/>
      <c r="N29" s="69"/>
      <c r="O29" s="69"/>
      <c r="P29" s="69"/>
      <c r="Q29" s="69"/>
      <c r="S29" s="53"/>
      <c r="T29" s="53"/>
    </row>
    <row r="30" spans="1:20" s="31" customFormat="1" x14ac:dyDescent="0.25">
      <c r="A30" s="454">
        <v>24</v>
      </c>
      <c r="B30" s="200" t="s">
        <v>1708</v>
      </c>
      <c r="C30" s="208" t="s">
        <v>302</v>
      </c>
      <c r="D30" s="208" t="s">
        <v>180</v>
      </c>
      <c r="E30" s="208" t="s">
        <v>979</v>
      </c>
      <c r="F30" s="69">
        <f t="shared" si="0"/>
        <v>27299383.090426698</v>
      </c>
      <c r="G30" s="387">
        <f>SUM(Validation!B346:E346)</f>
        <v>34124228.863033369</v>
      </c>
      <c r="H30" s="208"/>
      <c r="I30" s="208" t="s">
        <v>548</v>
      </c>
      <c r="J30" s="208" t="s">
        <v>608</v>
      </c>
      <c r="K30" s="209">
        <f>G30</f>
        <v>34124228.863033369</v>
      </c>
      <c r="L30" s="208" t="s">
        <v>548</v>
      </c>
      <c r="M30" s="277"/>
      <c r="N30" s="349"/>
      <c r="O30" s="69"/>
      <c r="P30" s="69"/>
      <c r="Q30" s="69"/>
      <c r="T30" s="53"/>
    </row>
    <row r="31" spans="1:20" s="31" customFormat="1" x14ac:dyDescent="0.25">
      <c r="A31" s="454">
        <v>25</v>
      </c>
      <c r="B31" s="199" t="s">
        <v>1707</v>
      </c>
      <c r="C31" s="208" t="s">
        <v>302</v>
      </c>
      <c r="D31" s="208" t="s">
        <v>180</v>
      </c>
      <c r="E31" s="208" t="s">
        <v>978</v>
      </c>
      <c r="F31" s="69">
        <f t="shared" si="0"/>
        <v>919676864.13338876</v>
      </c>
      <c r="G31" s="387">
        <f>SUM(Validation!B347:E347)</f>
        <v>1149596080.1667359</v>
      </c>
      <c r="H31" s="208"/>
      <c r="I31" s="208" t="s">
        <v>548</v>
      </c>
      <c r="J31" s="208" t="s">
        <v>608</v>
      </c>
      <c r="K31" s="209">
        <f t="shared" ref="K31:K38" si="4">G31</f>
        <v>1149596080.1667359</v>
      </c>
      <c r="L31" s="208" t="s">
        <v>548</v>
      </c>
      <c r="M31" s="277"/>
      <c r="N31" s="349"/>
      <c r="O31" s="69"/>
      <c r="P31" s="69"/>
      <c r="Q31" s="69"/>
      <c r="T31" s="53"/>
    </row>
    <row r="32" spans="1:20" s="31" customFormat="1" x14ac:dyDescent="0.25">
      <c r="A32" s="200">
        <v>26</v>
      </c>
      <c r="B32" s="199" t="s">
        <v>1764</v>
      </c>
      <c r="C32" s="208" t="s">
        <v>302</v>
      </c>
      <c r="D32" s="208" t="s">
        <v>180</v>
      </c>
      <c r="E32" s="208" t="s">
        <v>1761</v>
      </c>
      <c r="F32" s="69">
        <f t="shared" si="0"/>
        <v>80019910.59436819</v>
      </c>
      <c r="G32" s="387">
        <f>SUM(Validation!B348:E348)</f>
        <v>100024888.24296023</v>
      </c>
      <c r="H32" s="208"/>
      <c r="I32" s="208" t="s">
        <v>548</v>
      </c>
      <c r="J32" s="208" t="s">
        <v>608</v>
      </c>
      <c r="K32" s="209">
        <f>G32</f>
        <v>100024888.24296023</v>
      </c>
      <c r="L32" s="208" t="str">
        <f>I32</f>
        <v>Wh/yr</v>
      </c>
      <c r="M32" s="210"/>
      <c r="N32" s="69"/>
      <c r="O32" s="69"/>
      <c r="P32" s="69"/>
      <c r="Q32" s="69"/>
      <c r="T32" s="148"/>
    </row>
    <row r="33" spans="1:20" s="31" customFormat="1" x14ac:dyDescent="0.25">
      <c r="A33" s="454">
        <v>27</v>
      </c>
      <c r="B33" s="199" t="s">
        <v>1765</v>
      </c>
      <c r="C33" s="208" t="s">
        <v>302</v>
      </c>
      <c r="D33" s="208" t="s">
        <v>180</v>
      </c>
      <c r="E33" s="208" t="s">
        <v>1762</v>
      </c>
      <c r="F33" s="69">
        <f t="shared" si="0"/>
        <v>163429607.57115003</v>
      </c>
      <c r="G33" s="387">
        <f>SUM(Validation!B349:E349)</f>
        <v>204287009.46393752</v>
      </c>
      <c r="H33" s="208"/>
      <c r="I33" s="208" t="s">
        <v>548</v>
      </c>
      <c r="J33" s="208" t="s">
        <v>608</v>
      </c>
      <c r="K33" s="209">
        <f>G33</f>
        <v>204287009.46393752</v>
      </c>
      <c r="L33" s="208" t="str">
        <f>I33</f>
        <v>Wh/yr</v>
      </c>
      <c r="M33" s="208"/>
      <c r="N33" s="69"/>
      <c r="O33" s="69"/>
      <c r="P33" s="69"/>
      <c r="Q33" s="69"/>
      <c r="T33" s="148"/>
    </row>
    <row r="34" spans="1:20" s="31" customFormat="1" x14ac:dyDescent="0.25">
      <c r="A34" s="454" t="s">
        <v>2356</v>
      </c>
      <c r="B34" s="199" t="s">
        <v>1760</v>
      </c>
      <c r="C34" s="208" t="s">
        <v>302</v>
      </c>
      <c r="D34" s="208" t="s">
        <v>180</v>
      </c>
      <c r="E34" s="208" t="s">
        <v>1767</v>
      </c>
      <c r="F34" s="69">
        <f t="shared" si="0"/>
        <v>135947413.05457076</v>
      </c>
      <c r="G34" s="387">
        <f>SUM(Validation!B350:E350)</f>
        <v>169934266.31821343</v>
      </c>
      <c r="H34" s="208"/>
      <c r="I34" s="208" t="s">
        <v>548</v>
      </c>
      <c r="J34" s="208" t="s">
        <v>608</v>
      </c>
      <c r="K34" s="209">
        <f>G34</f>
        <v>169934266.31821343</v>
      </c>
      <c r="L34" s="208" t="str">
        <f>I34</f>
        <v>Wh/yr</v>
      </c>
      <c r="M34" s="210"/>
      <c r="N34" s="69"/>
      <c r="O34" s="69"/>
      <c r="P34" s="69"/>
      <c r="Q34" s="69"/>
      <c r="S34" s="53"/>
      <c r="T34" s="53"/>
    </row>
    <row r="35" spans="1:20" s="31" customFormat="1" x14ac:dyDescent="0.25">
      <c r="A35" s="200">
        <v>29</v>
      </c>
      <c r="B35" s="199" t="s">
        <v>1759</v>
      </c>
      <c r="C35" s="208" t="s">
        <v>302</v>
      </c>
      <c r="D35" s="208" t="s">
        <v>180</v>
      </c>
      <c r="E35" s="208" t="s">
        <v>1766</v>
      </c>
      <c r="F35" s="69">
        <f t="shared" si="0"/>
        <v>105300963.56949827</v>
      </c>
      <c r="G35" s="387">
        <f>SUM(Validation!B351:E351)</f>
        <v>131626204.46187283</v>
      </c>
      <c r="H35" s="208"/>
      <c r="I35" s="208" t="s">
        <v>548</v>
      </c>
      <c r="J35" s="208" t="s">
        <v>608</v>
      </c>
      <c r="K35" s="209">
        <f>G35</f>
        <v>131626204.46187283</v>
      </c>
      <c r="L35" s="208" t="str">
        <f>I35</f>
        <v>Wh/yr</v>
      </c>
      <c r="M35" s="208"/>
      <c r="N35" s="69"/>
      <c r="O35" s="69"/>
      <c r="P35" s="69"/>
      <c r="Q35" s="69"/>
    </row>
    <row r="36" spans="1:20" s="31" customFormat="1" x14ac:dyDescent="0.25">
      <c r="A36" s="454">
        <v>30</v>
      </c>
      <c r="B36" s="200" t="s">
        <v>1709</v>
      </c>
      <c r="C36" s="208" t="s">
        <v>302</v>
      </c>
      <c r="D36" s="208" t="s">
        <v>180</v>
      </c>
      <c r="E36" s="208" t="s">
        <v>2316</v>
      </c>
      <c r="F36" s="69">
        <f t="shared" si="0"/>
        <v>7499349826.2475071</v>
      </c>
      <c r="G36" s="387">
        <f>SUM(Validation!B352:E352)</f>
        <v>9374187282.8093834</v>
      </c>
      <c r="H36" s="208"/>
      <c r="I36" s="208" t="s">
        <v>548</v>
      </c>
      <c r="J36" s="208" t="s">
        <v>608</v>
      </c>
      <c r="K36" s="209">
        <f t="shared" si="4"/>
        <v>9374187282.8093834</v>
      </c>
      <c r="L36" s="208" t="s">
        <v>548</v>
      </c>
      <c r="M36" s="208"/>
      <c r="N36" s="69"/>
      <c r="O36" s="69"/>
      <c r="P36" s="69"/>
      <c r="Q36" s="69"/>
    </row>
    <row r="37" spans="1:20" s="31" customFormat="1" x14ac:dyDescent="0.25">
      <c r="A37" s="454">
        <v>31</v>
      </c>
      <c r="B37" s="200" t="s">
        <v>2315</v>
      </c>
      <c r="C37" s="208"/>
      <c r="D37" s="208"/>
      <c r="E37" s="208" t="s">
        <v>2317</v>
      </c>
      <c r="F37" s="69">
        <f t="shared" si="0"/>
        <v>4227476820.3104563</v>
      </c>
      <c r="G37" s="387">
        <f>SUM(Validation!B353:E353)</f>
        <v>5284346025.3880701</v>
      </c>
      <c r="H37" s="208"/>
      <c r="I37" s="208" t="s">
        <v>548</v>
      </c>
      <c r="J37" s="208" t="s">
        <v>608</v>
      </c>
      <c r="K37" s="209">
        <f>G37</f>
        <v>5284346025.3880701</v>
      </c>
      <c r="L37" s="208" t="s">
        <v>548</v>
      </c>
      <c r="M37" s="208"/>
      <c r="N37" s="69"/>
      <c r="O37" s="69"/>
      <c r="P37" s="69"/>
      <c r="Q37" s="69"/>
    </row>
    <row r="38" spans="1:20" s="31" customFormat="1" x14ac:dyDescent="0.25">
      <c r="A38" s="200">
        <v>32</v>
      </c>
      <c r="B38" s="199" t="s">
        <v>1710</v>
      </c>
      <c r="C38" s="208" t="s">
        <v>302</v>
      </c>
      <c r="D38" s="208" t="s">
        <v>180</v>
      </c>
      <c r="E38" s="208" t="s">
        <v>1763</v>
      </c>
      <c r="F38" s="69">
        <f t="shared" si="0"/>
        <v>55982535.469432548</v>
      </c>
      <c r="G38" s="387">
        <f>SUM(Validation!B354:E354)</f>
        <v>69978169.336790681</v>
      </c>
      <c r="H38" s="208"/>
      <c r="I38" s="208" t="s">
        <v>548</v>
      </c>
      <c r="J38" s="208" t="s">
        <v>608</v>
      </c>
      <c r="K38" s="209">
        <f t="shared" si="4"/>
        <v>69978169.336790681</v>
      </c>
      <c r="L38" s="208" t="s">
        <v>548</v>
      </c>
      <c r="M38" s="208"/>
      <c r="N38" s="69"/>
      <c r="O38" s="69"/>
      <c r="P38" s="69"/>
      <c r="Q38" s="69"/>
    </row>
    <row r="39" spans="1:20" s="31" customFormat="1" x14ac:dyDescent="0.25">
      <c r="A39" s="454">
        <v>33</v>
      </c>
      <c r="B39" s="200" t="s">
        <v>1713</v>
      </c>
      <c r="C39" s="285" t="s">
        <v>197</v>
      </c>
      <c r="D39" s="285" t="s">
        <v>180</v>
      </c>
      <c r="E39" s="208" t="s">
        <v>546</v>
      </c>
      <c r="F39" s="69">
        <f t="shared" si="0"/>
        <v>1846328201.4796944</v>
      </c>
      <c r="G39" s="411">
        <f>SUM(Validation!B355:E355)</f>
        <v>2307910251.849618</v>
      </c>
      <c r="H39" s="208"/>
      <c r="I39" s="208" t="s">
        <v>548</v>
      </c>
      <c r="J39" s="208" t="s">
        <v>608</v>
      </c>
      <c r="K39" s="209">
        <f t="shared" ref="K39:K46" si="5">G39</f>
        <v>2307910251.849618</v>
      </c>
      <c r="L39" s="208" t="s">
        <v>548</v>
      </c>
      <c r="M39" s="208"/>
      <c r="N39" s="69"/>
      <c r="O39" s="69"/>
      <c r="P39" s="69"/>
      <c r="Q39" s="69"/>
    </row>
    <row r="40" spans="1:20" x14ac:dyDescent="0.25">
      <c r="A40" s="454">
        <v>34</v>
      </c>
      <c r="B40" s="200" t="s">
        <v>1725</v>
      </c>
      <c r="C40" s="208" t="s">
        <v>302</v>
      </c>
      <c r="D40" s="208" t="s">
        <v>180</v>
      </c>
      <c r="E40" s="208" t="s">
        <v>1257</v>
      </c>
      <c r="F40" s="69">
        <f t="shared" si="0"/>
        <v>4448257.8267872157</v>
      </c>
      <c r="G40" s="277">
        <f>SUM(Validation!B356:E356)</f>
        <v>5560322.2834840193</v>
      </c>
      <c r="H40" s="208"/>
      <c r="I40" s="208" t="s">
        <v>548</v>
      </c>
      <c r="J40" s="208" t="s">
        <v>608</v>
      </c>
      <c r="K40" s="277">
        <f t="shared" si="5"/>
        <v>5560322.2834840193</v>
      </c>
      <c r="L40" s="277" t="str">
        <f>I40</f>
        <v>Wh/yr</v>
      </c>
      <c r="M40" s="208"/>
      <c r="N40" s="69"/>
    </row>
    <row r="41" spans="1:20" x14ac:dyDescent="0.25">
      <c r="A41" s="454">
        <v>35</v>
      </c>
      <c r="B41" s="200" t="s">
        <v>1726</v>
      </c>
      <c r="C41" s="208" t="s">
        <v>302</v>
      </c>
      <c r="D41" s="208" t="s">
        <v>180</v>
      </c>
      <c r="E41" s="208" t="s">
        <v>1283</v>
      </c>
      <c r="F41" s="69">
        <f t="shared" si="0"/>
        <v>103086622.56028631</v>
      </c>
      <c r="G41" s="387">
        <f>SUM(Validation!B357:E357)</f>
        <v>128858278.20035788</v>
      </c>
      <c r="H41" s="208"/>
      <c r="I41" s="208" t="s">
        <v>548</v>
      </c>
      <c r="J41" s="208" t="s">
        <v>608</v>
      </c>
      <c r="K41" s="277">
        <f t="shared" si="5"/>
        <v>128858278.20035788</v>
      </c>
      <c r="L41" s="208" t="str">
        <f>I41</f>
        <v>Wh/yr</v>
      </c>
      <c r="M41" s="208"/>
      <c r="N41" s="69"/>
    </row>
    <row r="42" spans="1:20" s="31" customFormat="1" x14ac:dyDescent="0.25">
      <c r="A42" s="200">
        <v>36</v>
      </c>
      <c r="B42" s="199" t="s">
        <v>1705</v>
      </c>
      <c r="C42" s="208" t="s">
        <v>302</v>
      </c>
      <c r="D42" s="208" t="s">
        <v>180</v>
      </c>
      <c r="E42" s="208" t="s">
        <v>1273</v>
      </c>
      <c r="F42" s="69">
        <f t="shared" si="0"/>
        <v>0</v>
      </c>
      <c r="G42" s="411">
        <f>SUM(Validation!B358:E358)</f>
        <v>0</v>
      </c>
      <c r="H42" s="208"/>
      <c r="I42" s="208" t="s">
        <v>548</v>
      </c>
      <c r="J42" s="208" t="s">
        <v>608</v>
      </c>
      <c r="K42" s="377">
        <f t="shared" si="5"/>
        <v>0</v>
      </c>
      <c r="L42" s="208" t="str">
        <f>I42</f>
        <v>Wh/yr</v>
      </c>
      <c r="M42" s="208"/>
      <c r="N42" s="69"/>
      <c r="O42" s="69"/>
      <c r="P42" s="69"/>
      <c r="Q42" s="69"/>
    </row>
    <row r="43" spans="1:20" s="31" customFormat="1" x14ac:dyDescent="0.25">
      <c r="A43" s="454">
        <v>37</v>
      </c>
      <c r="B43" s="199" t="s">
        <v>2097</v>
      </c>
      <c r="C43" s="208"/>
      <c r="D43" s="208"/>
      <c r="E43" s="208" t="s">
        <v>2096</v>
      </c>
      <c r="F43" s="69">
        <f t="shared" si="0"/>
        <v>29162946.611925948</v>
      </c>
      <c r="G43" s="411">
        <f>SUM(Validation!B359:E359)</f>
        <v>36453683.264907435</v>
      </c>
      <c r="H43" s="208"/>
      <c r="I43" s="208" t="s">
        <v>548</v>
      </c>
      <c r="J43" s="208" t="s">
        <v>608</v>
      </c>
      <c r="K43" s="377">
        <f t="shared" si="5"/>
        <v>36453683.264907435</v>
      </c>
      <c r="L43" s="208" t="str">
        <f>I43</f>
        <v>Wh/yr</v>
      </c>
      <c r="M43" s="208"/>
      <c r="N43" s="69"/>
      <c r="O43" s="69"/>
      <c r="P43" s="69"/>
      <c r="Q43" s="69"/>
    </row>
    <row r="44" spans="1:20" s="31" customFormat="1" x14ac:dyDescent="0.25">
      <c r="A44" s="454">
        <v>38</v>
      </c>
      <c r="B44" s="199" t="s">
        <v>1715</v>
      </c>
      <c r="C44" s="89" t="s">
        <v>302</v>
      </c>
      <c r="D44" s="89" t="s">
        <v>339</v>
      </c>
      <c r="E44" s="208" t="s">
        <v>538</v>
      </c>
      <c r="F44" s="69">
        <f t="shared" si="0"/>
        <v>3357393.5759456381</v>
      </c>
      <c r="G44" s="511">
        <f>SUM(Validation!B360:E360)</f>
        <v>4196741.9699320477</v>
      </c>
      <c r="H44" s="208"/>
      <c r="I44" s="208" t="s">
        <v>549</v>
      </c>
      <c r="J44" s="208" t="s">
        <v>608</v>
      </c>
      <c r="K44" s="208">
        <f t="shared" si="5"/>
        <v>4196741.9699320477</v>
      </c>
      <c r="L44" s="208" t="s">
        <v>548</v>
      </c>
      <c r="M44" s="208"/>
      <c r="N44" s="69"/>
      <c r="O44" s="69"/>
      <c r="P44" s="69"/>
      <c r="Q44" s="69"/>
    </row>
    <row r="45" spans="1:20" x14ac:dyDescent="0.25">
      <c r="A45" s="200">
        <v>39</v>
      </c>
      <c r="B45" s="200" t="s">
        <v>1720</v>
      </c>
      <c r="C45" s="285" t="s">
        <v>197</v>
      </c>
      <c r="D45" s="285" t="s">
        <v>180</v>
      </c>
      <c r="E45" s="208" t="s">
        <v>1045</v>
      </c>
      <c r="F45" s="69">
        <f t="shared" si="0"/>
        <v>895566.72831608285</v>
      </c>
      <c r="G45" s="208">
        <f>SUM(Validation!B361:E361)</f>
        <v>1119458.4103951035</v>
      </c>
      <c r="H45" s="208"/>
      <c r="I45" s="208" t="s">
        <v>1046</v>
      </c>
      <c r="J45" s="208" t="s">
        <v>608</v>
      </c>
      <c r="K45" s="277">
        <f t="shared" si="5"/>
        <v>1119458.4103951035</v>
      </c>
      <c r="L45" s="208" t="str">
        <f>I45</f>
        <v>gal/year</v>
      </c>
      <c r="M45" s="208"/>
      <c r="N45" s="69"/>
    </row>
    <row r="46" spans="1:20" x14ac:dyDescent="0.25">
      <c r="A46" s="454">
        <v>40</v>
      </c>
      <c r="B46" s="199" t="s">
        <v>1718</v>
      </c>
      <c r="C46" s="208" t="s">
        <v>302</v>
      </c>
      <c r="D46" s="208" t="s">
        <v>180</v>
      </c>
      <c r="E46" s="208" t="s">
        <v>1028</v>
      </c>
      <c r="F46" s="69">
        <f t="shared" si="0"/>
        <v>4391.2759277760188</v>
      </c>
      <c r="G46" s="277">
        <f>SUM(Validation!B362:E362)</f>
        <v>5489.0949097200237</v>
      </c>
      <c r="H46" s="278"/>
      <c r="I46" s="210" t="s">
        <v>1029</v>
      </c>
      <c r="J46" s="208" t="s">
        <v>608</v>
      </c>
      <c r="K46" s="277">
        <f t="shared" si="5"/>
        <v>5489.0949097200237</v>
      </c>
      <c r="L46" s="208" t="str">
        <f>I46</f>
        <v>kg H2O/m^2 grow area-yr</v>
      </c>
      <c r="M46" s="208"/>
      <c r="N46" s="69"/>
      <c r="O46" s="69"/>
      <c r="P46" s="69"/>
      <c r="Q46" s="69"/>
    </row>
    <row r="47" spans="1:20" x14ac:dyDescent="0.25">
      <c r="A47" s="454">
        <v>41</v>
      </c>
      <c r="B47" s="200" t="s">
        <v>1717</v>
      </c>
      <c r="C47" s="285" t="s">
        <v>197</v>
      </c>
      <c r="D47" s="285" t="s">
        <v>180</v>
      </c>
      <c r="E47" s="208" t="s">
        <v>558</v>
      </c>
      <c r="F47" s="69">
        <f t="shared" si="0"/>
        <v>879966.5029893656</v>
      </c>
      <c r="G47" s="208">
        <f>SUM(Validation!B363:E363)</f>
        <v>1099958.1287367069</v>
      </c>
      <c r="H47" s="208"/>
      <c r="I47" s="208" t="s">
        <v>1064</v>
      </c>
      <c r="J47" s="208" t="s">
        <v>608</v>
      </c>
      <c r="K47" s="208">
        <f>G47*kg_to_lb</f>
        <v>2424989.6897755186</v>
      </c>
      <c r="L47" s="208" t="s">
        <v>763</v>
      </c>
      <c r="M47" s="208"/>
      <c r="N47" s="69"/>
      <c r="O47" s="69"/>
      <c r="P47" s="69"/>
      <c r="Q47" s="69"/>
    </row>
    <row r="48" spans="1:20" s="31" customFormat="1" x14ac:dyDescent="0.25">
      <c r="A48" s="454">
        <v>42</v>
      </c>
      <c r="B48" s="199" t="s">
        <v>1697</v>
      </c>
      <c r="C48" s="69" t="s">
        <v>197</v>
      </c>
      <c r="D48" s="69" t="s">
        <v>532</v>
      </c>
      <c r="E48" s="69" t="s">
        <v>950</v>
      </c>
      <c r="F48" s="238">
        <f>MAX('Indoor Backup Calcs'!D94:L94)</f>
        <v>4.0150894444444436</v>
      </c>
      <c r="G48" s="238">
        <v>3.25</v>
      </c>
      <c r="H48" s="238">
        <v>2.0499999999999998</v>
      </c>
      <c r="I48" s="69" t="s">
        <v>950</v>
      </c>
      <c r="J48" s="69" t="s">
        <v>734</v>
      </c>
      <c r="K48" s="239">
        <f t="shared" si="3"/>
        <v>3.25</v>
      </c>
      <c r="L48" s="69" t="s">
        <v>732</v>
      </c>
      <c r="M48" s="69"/>
      <c r="N48" s="69"/>
      <c r="O48" s="69">
        <f>1000/16</f>
        <v>62.5</v>
      </c>
      <c r="P48" s="69">
        <f>O48*m2_to_ft2</f>
        <v>672.74374999999998</v>
      </c>
      <c r="Q48" s="69"/>
    </row>
    <row r="49" spans="1:18" s="146" customFormat="1" x14ac:dyDescent="0.25">
      <c r="A49" s="200">
        <v>43</v>
      </c>
      <c r="B49" s="199" t="s">
        <v>1698</v>
      </c>
      <c r="C49" s="144" t="s">
        <v>197</v>
      </c>
      <c r="D49" s="144" t="s">
        <v>308</v>
      </c>
      <c r="E49" s="144" t="s">
        <v>1535</v>
      </c>
      <c r="F49" s="88">
        <v>0.9</v>
      </c>
      <c r="G49" s="88">
        <v>0.8</v>
      </c>
      <c r="H49" s="88">
        <v>0.7</v>
      </c>
      <c r="I49" s="144" t="s">
        <v>1536</v>
      </c>
      <c r="J49" s="144" t="s">
        <v>1537</v>
      </c>
      <c r="K49" s="88">
        <f t="shared" si="3"/>
        <v>0.8</v>
      </c>
      <c r="L49" s="69" t="str">
        <f>I49</f>
        <v>% of energy delivered</v>
      </c>
      <c r="M49" s="144"/>
      <c r="N49" s="456"/>
      <c r="O49" s="144">
        <f>m2_to_ft2</f>
        <v>10.7639</v>
      </c>
      <c r="P49" s="144"/>
      <c r="Q49" s="144"/>
      <c r="R49" s="145"/>
    </row>
    <row r="50" spans="1:18" s="31" customFormat="1" x14ac:dyDescent="0.25">
      <c r="A50" s="454">
        <v>44</v>
      </c>
      <c r="B50" s="200" t="s">
        <v>1649</v>
      </c>
      <c r="C50" s="69" t="s">
        <v>197</v>
      </c>
      <c r="D50" s="69" t="s">
        <v>180</v>
      </c>
      <c r="E50" s="69" t="s">
        <v>832</v>
      </c>
      <c r="F50" s="69">
        <v>4</v>
      </c>
      <c r="G50" s="69">
        <f>22/7</f>
        <v>3.1428571428571428</v>
      </c>
      <c r="H50" s="69">
        <v>1</v>
      </c>
      <c r="I50" s="69" t="s">
        <v>274</v>
      </c>
      <c r="J50" s="69" t="s">
        <v>829</v>
      </c>
      <c r="K50" s="88">
        <f t="shared" si="3"/>
        <v>3.1428571428571428</v>
      </c>
      <c r="L50" s="69" t="str">
        <f t="shared" ref="L50:L90" si="6">I50</f>
        <v>weeks/harvest</v>
      </c>
      <c r="M50" s="69" t="s">
        <v>1756</v>
      </c>
      <c r="N50" s="69"/>
      <c r="O50" s="69"/>
      <c r="P50" s="69"/>
      <c r="Q50" s="69"/>
    </row>
    <row r="51" spans="1:18" x14ac:dyDescent="0.25">
      <c r="A51" s="454">
        <v>45</v>
      </c>
      <c r="B51" s="200" t="s">
        <v>1650</v>
      </c>
      <c r="C51" s="69" t="s">
        <v>197</v>
      </c>
      <c r="D51" s="69" t="s">
        <v>180</v>
      </c>
      <c r="E51" s="69" t="s">
        <v>265</v>
      </c>
      <c r="F51" s="69">
        <v>8</v>
      </c>
      <c r="G51" s="69">
        <f>50/7</f>
        <v>7.1428571428571432</v>
      </c>
      <c r="H51" s="69">
        <v>2</v>
      </c>
      <c r="I51" s="69" t="s">
        <v>274</v>
      </c>
      <c r="J51" s="69" t="s">
        <v>243</v>
      </c>
      <c r="K51" s="88">
        <f t="shared" si="3"/>
        <v>7.1428571428571432</v>
      </c>
      <c r="L51" s="69" t="str">
        <f t="shared" si="6"/>
        <v>weeks/harvest</v>
      </c>
      <c r="M51" s="69" t="s">
        <v>1757</v>
      </c>
      <c r="N51" s="69"/>
      <c r="O51" s="69"/>
      <c r="P51" s="69"/>
      <c r="Q51" s="69"/>
    </row>
    <row r="52" spans="1:18" x14ac:dyDescent="0.25">
      <c r="A52" s="200">
        <v>46</v>
      </c>
      <c r="B52" s="199" t="s">
        <v>1651</v>
      </c>
      <c r="C52" s="69" t="s">
        <v>197</v>
      </c>
      <c r="D52" s="69" t="s">
        <v>180</v>
      </c>
      <c r="E52" s="69" t="s">
        <v>262</v>
      </c>
      <c r="F52" s="69">
        <v>12</v>
      </c>
      <c r="G52" s="69">
        <f>57/7</f>
        <v>8.1428571428571423</v>
      </c>
      <c r="H52" s="69">
        <v>8</v>
      </c>
      <c r="I52" s="69" t="s">
        <v>274</v>
      </c>
      <c r="J52" s="69" t="s">
        <v>243</v>
      </c>
      <c r="K52" s="88">
        <f t="shared" si="3"/>
        <v>8.1428571428571423</v>
      </c>
      <c r="L52" s="69" t="str">
        <f t="shared" si="6"/>
        <v>weeks/harvest</v>
      </c>
      <c r="M52" s="69" t="s">
        <v>1758</v>
      </c>
      <c r="N52" s="69"/>
      <c r="O52" s="69"/>
      <c r="P52" s="69"/>
      <c r="Q52" s="69"/>
    </row>
    <row r="53" spans="1:18" s="31" customFormat="1" x14ac:dyDescent="0.25">
      <c r="A53" s="454">
        <v>47</v>
      </c>
      <c r="B53" s="199" t="s">
        <v>1652</v>
      </c>
      <c r="C53" s="69" t="s">
        <v>197</v>
      </c>
      <c r="D53" s="69" t="s">
        <v>339</v>
      </c>
      <c r="E53" s="69" t="s">
        <v>374</v>
      </c>
      <c r="F53" s="69">
        <v>8</v>
      </c>
      <c r="G53" s="69">
        <f>14/7</f>
        <v>2</v>
      </c>
      <c r="H53" s="69">
        <v>4</v>
      </c>
      <c r="I53" s="69" t="s">
        <v>274</v>
      </c>
      <c r="J53" s="69" t="s">
        <v>358</v>
      </c>
      <c r="K53" s="88">
        <f t="shared" si="3"/>
        <v>2</v>
      </c>
      <c r="L53" s="69" t="str">
        <f t="shared" si="6"/>
        <v>weeks/harvest</v>
      </c>
      <c r="M53" s="69"/>
      <c r="N53" s="69"/>
      <c r="O53" s="69"/>
      <c r="P53" s="69"/>
      <c r="Q53" s="69"/>
    </row>
    <row r="54" spans="1:18" s="31" customFormat="1" x14ac:dyDescent="0.25">
      <c r="A54" s="454">
        <v>48</v>
      </c>
      <c r="B54" s="199" t="s">
        <v>1803</v>
      </c>
      <c r="C54" s="69" t="s">
        <v>197</v>
      </c>
      <c r="D54" s="69" t="s">
        <v>180</v>
      </c>
      <c r="E54" s="69" t="s">
        <v>1787</v>
      </c>
      <c r="F54" s="69"/>
      <c r="G54" s="69">
        <v>2</v>
      </c>
      <c r="H54" s="69"/>
      <c r="I54" s="69" t="s">
        <v>1788</v>
      </c>
      <c r="J54" s="69" t="s">
        <v>1789</v>
      </c>
      <c r="K54" s="88">
        <f>G54</f>
        <v>2</v>
      </c>
      <c r="L54" s="69" t="str">
        <f t="shared" si="6"/>
        <v>days/stage</v>
      </c>
      <c r="M54" s="69"/>
      <c r="N54" s="69"/>
      <c r="O54" s="69"/>
      <c r="P54" s="69"/>
      <c r="Q54" s="69"/>
    </row>
    <row r="55" spans="1:18" s="31" customFormat="1" x14ac:dyDescent="0.25">
      <c r="A55" s="454">
        <v>49</v>
      </c>
      <c r="B55" s="199" t="s">
        <v>1653</v>
      </c>
      <c r="C55" s="69" t="s">
        <v>197</v>
      </c>
      <c r="D55" s="69" t="s">
        <v>180</v>
      </c>
      <c r="E55" s="69" t="s">
        <v>831</v>
      </c>
      <c r="F55" s="69">
        <v>24</v>
      </c>
      <c r="G55" s="455">
        <v>24</v>
      </c>
      <c r="H55" s="69">
        <v>16</v>
      </c>
      <c r="I55" s="69" t="s">
        <v>269</v>
      </c>
      <c r="J55" s="69"/>
      <c r="K55" s="88">
        <f t="shared" si="3"/>
        <v>24</v>
      </c>
      <c r="L55" s="69" t="str">
        <f t="shared" si="6"/>
        <v>hrs/day</v>
      </c>
      <c r="M55" s="69"/>
      <c r="N55" s="69"/>
      <c r="O55" s="69"/>
      <c r="P55" s="69"/>
      <c r="Q55" s="69"/>
    </row>
    <row r="56" spans="1:18" x14ac:dyDescent="0.25">
      <c r="A56" s="200">
        <v>50</v>
      </c>
      <c r="B56" s="200" t="s">
        <v>1654</v>
      </c>
      <c r="C56" s="69" t="s">
        <v>197</v>
      </c>
      <c r="D56" s="69" t="s">
        <v>180</v>
      </c>
      <c r="E56" s="69" t="s">
        <v>272</v>
      </c>
      <c r="F56" s="69">
        <v>20</v>
      </c>
      <c r="G56" s="69">
        <v>18</v>
      </c>
      <c r="H56" s="69">
        <v>16</v>
      </c>
      <c r="I56" s="69" t="s">
        <v>269</v>
      </c>
      <c r="J56" s="69" t="s">
        <v>268</v>
      </c>
      <c r="K56" s="88">
        <f t="shared" si="3"/>
        <v>18</v>
      </c>
      <c r="L56" s="69" t="str">
        <f t="shared" si="6"/>
        <v>hrs/day</v>
      </c>
      <c r="M56" s="98"/>
      <c r="N56" s="69"/>
      <c r="O56" s="69"/>
      <c r="P56" s="69"/>
      <c r="Q56" s="69"/>
    </row>
    <row r="57" spans="1:18" s="31" customFormat="1" x14ac:dyDescent="0.25">
      <c r="A57" s="454">
        <v>51</v>
      </c>
      <c r="B57" s="200" t="s">
        <v>1655</v>
      </c>
      <c r="C57" s="69" t="s">
        <v>197</v>
      </c>
      <c r="D57" s="69" t="s">
        <v>180</v>
      </c>
      <c r="E57" s="69" t="s">
        <v>273</v>
      </c>
      <c r="F57" s="69"/>
      <c r="G57" s="69">
        <v>12</v>
      </c>
      <c r="H57" s="69"/>
      <c r="I57" s="69" t="s">
        <v>269</v>
      </c>
      <c r="J57" s="69" t="s">
        <v>268</v>
      </c>
      <c r="K57" s="88">
        <f t="shared" si="3"/>
        <v>12</v>
      </c>
      <c r="L57" s="69" t="str">
        <f t="shared" si="6"/>
        <v>hrs/day</v>
      </c>
      <c r="M57" s="98"/>
      <c r="N57" s="69"/>
      <c r="O57" s="69"/>
      <c r="P57" s="69"/>
      <c r="Q57" s="69"/>
    </row>
    <row r="58" spans="1:18" s="31" customFormat="1" x14ac:dyDescent="0.25">
      <c r="A58" s="454">
        <v>52</v>
      </c>
      <c r="B58" s="199" t="s">
        <v>1656</v>
      </c>
      <c r="C58" s="69" t="s">
        <v>197</v>
      </c>
      <c r="D58" s="69" t="s">
        <v>180</v>
      </c>
      <c r="E58" s="69" t="s">
        <v>933</v>
      </c>
      <c r="F58" s="69">
        <v>0</v>
      </c>
      <c r="G58" s="450">
        <v>18</v>
      </c>
      <c r="H58" s="69">
        <v>0</v>
      </c>
      <c r="I58" s="69" t="s">
        <v>269</v>
      </c>
      <c r="J58" s="69"/>
      <c r="K58" s="88">
        <f t="shared" si="3"/>
        <v>18</v>
      </c>
      <c r="L58" s="69" t="str">
        <f t="shared" si="6"/>
        <v>hrs/day</v>
      </c>
      <c r="M58" s="98" t="s">
        <v>934</v>
      </c>
      <c r="N58" s="69"/>
      <c r="O58" s="69"/>
      <c r="P58" s="69"/>
      <c r="Q58" s="69"/>
    </row>
    <row r="59" spans="1:18" s="31" customFormat="1" x14ac:dyDescent="0.25">
      <c r="A59" s="200">
        <v>53</v>
      </c>
      <c r="B59" s="199" t="s">
        <v>1816</v>
      </c>
      <c r="C59" s="69" t="s">
        <v>197</v>
      </c>
      <c r="D59" s="69" t="s">
        <v>180</v>
      </c>
      <c r="E59" s="69" t="s">
        <v>1817</v>
      </c>
      <c r="F59" s="69"/>
      <c r="G59" s="450">
        <v>18</v>
      </c>
      <c r="H59" s="69"/>
      <c r="I59" s="69" t="s">
        <v>269</v>
      </c>
      <c r="J59" s="69" t="s">
        <v>1789</v>
      </c>
      <c r="K59" s="88">
        <f t="shared" si="3"/>
        <v>18</v>
      </c>
      <c r="L59" s="69" t="str">
        <f t="shared" si="6"/>
        <v>hrs/day</v>
      </c>
      <c r="M59" s="98"/>
      <c r="N59" s="69"/>
      <c r="O59" s="69"/>
      <c r="P59" s="69"/>
      <c r="Q59" s="69"/>
    </row>
    <row r="60" spans="1:18" s="31" customFormat="1" x14ac:dyDescent="0.25">
      <c r="A60" s="454">
        <v>54</v>
      </c>
      <c r="B60" s="199" t="s">
        <v>1657</v>
      </c>
      <c r="C60" s="69" t="s">
        <v>197</v>
      </c>
      <c r="D60" s="69" t="s">
        <v>180</v>
      </c>
      <c r="E60" s="69" t="s">
        <v>839</v>
      </c>
      <c r="F60" s="69">
        <v>600</v>
      </c>
      <c r="G60" s="69">
        <f>'Indoor Raw Data'!G93</f>
        <v>403.64625000000001</v>
      </c>
      <c r="H60" s="69">
        <v>200</v>
      </c>
      <c r="I60" s="69" t="s">
        <v>261</v>
      </c>
      <c r="J60" s="69" t="s">
        <v>2462</v>
      </c>
      <c r="K60" s="88">
        <f t="shared" si="3"/>
        <v>403.64625000000001</v>
      </c>
      <c r="L60" s="69" t="str">
        <f t="shared" si="6"/>
        <v>W/m^2</v>
      </c>
      <c r="M60" s="98"/>
      <c r="N60" s="69"/>
      <c r="O60" s="69"/>
      <c r="P60" s="69"/>
      <c r="Q60" s="69"/>
    </row>
    <row r="61" spans="1:18" x14ac:dyDescent="0.25">
      <c r="A61" s="454">
        <v>55</v>
      </c>
      <c r="B61" s="199" t="s">
        <v>1658</v>
      </c>
      <c r="C61" s="69" t="s">
        <v>197</v>
      </c>
      <c r="D61" s="69" t="s">
        <v>180</v>
      </c>
      <c r="E61" s="69" t="s">
        <v>271</v>
      </c>
      <c r="F61" s="69">
        <v>600</v>
      </c>
      <c r="G61" s="69">
        <f>'Indoor Raw Data'!G93</f>
        <v>403.64625000000001</v>
      </c>
      <c r="H61" s="69">
        <v>200</v>
      </c>
      <c r="I61" s="69" t="s">
        <v>261</v>
      </c>
      <c r="J61" s="69" t="s">
        <v>2460</v>
      </c>
      <c r="K61" s="88">
        <f t="shared" si="3"/>
        <v>403.64625000000001</v>
      </c>
      <c r="L61" s="69" t="str">
        <f t="shared" si="6"/>
        <v>W/m^2</v>
      </c>
      <c r="M61" s="69"/>
      <c r="N61" s="69"/>
      <c r="O61" s="69"/>
      <c r="P61" s="69"/>
      <c r="Q61" s="69"/>
    </row>
    <row r="62" spans="1:18" x14ac:dyDescent="0.25">
      <c r="A62" s="454">
        <v>56</v>
      </c>
      <c r="B62" s="200" t="s">
        <v>1659</v>
      </c>
      <c r="C62" s="69" t="s">
        <v>197</v>
      </c>
      <c r="D62" s="69" t="s">
        <v>180</v>
      </c>
      <c r="E62" s="69" t="s">
        <v>270</v>
      </c>
      <c r="F62" s="69">
        <v>800</v>
      </c>
      <c r="G62" s="69">
        <f>'Indoor Raw Data'!H93</f>
        <v>672.74374999999998</v>
      </c>
      <c r="H62" s="69">
        <v>400</v>
      </c>
      <c r="I62" s="69" t="s">
        <v>261</v>
      </c>
      <c r="J62" s="69" t="s">
        <v>2460</v>
      </c>
      <c r="K62" s="88">
        <f t="shared" si="3"/>
        <v>672.74374999999998</v>
      </c>
      <c r="L62" s="69" t="str">
        <f t="shared" si="6"/>
        <v>W/m^2</v>
      </c>
      <c r="M62" s="69"/>
      <c r="N62" s="69"/>
      <c r="O62" s="69"/>
      <c r="P62" s="69"/>
      <c r="Q62" s="69"/>
    </row>
    <row r="63" spans="1:18" s="31" customFormat="1" x14ac:dyDescent="0.25">
      <c r="A63" s="200">
        <v>57</v>
      </c>
      <c r="B63" s="200" t="s">
        <v>1660</v>
      </c>
      <c r="C63" s="69" t="s">
        <v>197</v>
      </c>
      <c r="D63" s="69" t="s">
        <v>180</v>
      </c>
      <c r="E63" s="69" t="s">
        <v>935</v>
      </c>
      <c r="F63" s="69"/>
      <c r="G63" s="69">
        <v>30</v>
      </c>
      <c r="H63" s="69"/>
      <c r="I63" s="69" t="s">
        <v>261</v>
      </c>
      <c r="J63" s="69"/>
      <c r="K63" s="88">
        <f t="shared" si="3"/>
        <v>30</v>
      </c>
      <c r="L63" s="69" t="str">
        <f t="shared" si="6"/>
        <v>W/m^2</v>
      </c>
      <c r="M63" s="69" t="s">
        <v>934</v>
      </c>
      <c r="N63" s="69">
        <v>0.7</v>
      </c>
      <c r="O63" s="69">
        <v>0.67500000000000004</v>
      </c>
      <c r="P63" s="69">
        <v>0.65</v>
      </c>
      <c r="Q63" s="69"/>
    </row>
    <row r="64" spans="1:18" s="31" customFormat="1" x14ac:dyDescent="0.25">
      <c r="A64" s="454">
        <v>58</v>
      </c>
      <c r="B64" s="200" t="s">
        <v>1804</v>
      </c>
      <c r="C64" s="69" t="s">
        <v>197</v>
      </c>
      <c r="D64" s="69" t="s">
        <v>180</v>
      </c>
      <c r="E64" s="69" t="s">
        <v>1805</v>
      </c>
      <c r="F64" s="69"/>
      <c r="G64" s="69">
        <v>30</v>
      </c>
      <c r="H64" s="69"/>
      <c r="I64" s="69" t="s">
        <v>261</v>
      </c>
      <c r="J64" s="69" t="s">
        <v>1789</v>
      </c>
      <c r="K64" s="88">
        <f t="shared" si="3"/>
        <v>30</v>
      </c>
      <c r="L64" s="69" t="str">
        <f t="shared" si="6"/>
        <v>W/m^2</v>
      </c>
      <c r="M64" s="69"/>
      <c r="N64" s="69">
        <v>0.57499999999999996</v>
      </c>
      <c r="O64" s="69">
        <v>0.55000000000000004</v>
      </c>
      <c r="P64" s="69">
        <v>0.52500000000000002</v>
      </c>
      <c r="Q64" s="69"/>
    </row>
    <row r="65" spans="1:24" s="31" customFormat="1" x14ac:dyDescent="0.25">
      <c r="A65" s="454">
        <v>59</v>
      </c>
      <c r="B65" s="200" t="s">
        <v>1661</v>
      </c>
      <c r="C65" s="69" t="s">
        <v>197</v>
      </c>
      <c r="D65" s="69" t="s">
        <v>180</v>
      </c>
      <c r="E65" s="69" t="s">
        <v>1664</v>
      </c>
      <c r="F65" s="69">
        <v>0.7</v>
      </c>
      <c r="G65" s="69">
        <v>0.67500000000000004</v>
      </c>
      <c r="H65" s="69">
        <v>0.65</v>
      </c>
      <c r="I65" s="69" t="s">
        <v>840</v>
      </c>
      <c r="J65" s="69" t="s">
        <v>764</v>
      </c>
      <c r="K65" s="88">
        <f t="shared" si="3"/>
        <v>0.67500000000000004</v>
      </c>
      <c r="L65" s="69" t="str">
        <f>I65</f>
        <v>% Relative Humidity</v>
      </c>
      <c r="M65" s="69"/>
      <c r="N65" s="69">
        <v>0.45</v>
      </c>
      <c r="O65" s="69">
        <v>0.42499999999999999</v>
      </c>
      <c r="P65" s="69">
        <v>0.4</v>
      </c>
      <c r="Q65" s="69"/>
    </row>
    <row r="66" spans="1:24" s="31" customFormat="1" x14ac:dyDescent="0.25">
      <c r="A66" s="200">
        <v>60</v>
      </c>
      <c r="B66" s="200" t="s">
        <v>1662</v>
      </c>
      <c r="C66" s="69" t="s">
        <v>197</v>
      </c>
      <c r="D66" s="69" t="s">
        <v>180</v>
      </c>
      <c r="E66" s="69" t="s">
        <v>1665</v>
      </c>
      <c r="F66" s="69">
        <v>0.57499999999999996</v>
      </c>
      <c r="G66" s="69">
        <v>0.55000000000000004</v>
      </c>
      <c r="H66" s="69">
        <v>0.52500000000000002</v>
      </c>
      <c r="I66" s="69" t="s">
        <v>840</v>
      </c>
      <c r="J66" s="69" t="s">
        <v>764</v>
      </c>
      <c r="K66" s="88">
        <f t="shared" si="3"/>
        <v>0.55000000000000004</v>
      </c>
      <c r="L66" s="69" t="str">
        <f>I66</f>
        <v>% Relative Humidity</v>
      </c>
      <c r="M66" s="69"/>
      <c r="N66" s="69">
        <v>0.5</v>
      </c>
      <c r="O66" s="69">
        <v>0.47499999999999998</v>
      </c>
      <c r="P66" s="69">
        <v>0.45</v>
      </c>
      <c r="Q66" s="69"/>
    </row>
    <row r="67" spans="1:24" s="31" customFormat="1" x14ac:dyDescent="0.25">
      <c r="A67" s="454">
        <v>61</v>
      </c>
      <c r="B67" s="199" t="s">
        <v>1663</v>
      </c>
      <c r="C67" s="69" t="s">
        <v>197</v>
      </c>
      <c r="D67" s="69" t="s">
        <v>180</v>
      </c>
      <c r="E67" s="69" t="s">
        <v>1666</v>
      </c>
      <c r="F67" s="69">
        <v>0.45</v>
      </c>
      <c r="G67" s="69">
        <v>0.42499999999999999</v>
      </c>
      <c r="H67" s="69">
        <v>0.4</v>
      </c>
      <c r="I67" s="69" t="s">
        <v>840</v>
      </c>
      <c r="J67" s="69" t="s">
        <v>764</v>
      </c>
      <c r="K67" s="88">
        <f t="shared" si="3"/>
        <v>0.42499999999999999</v>
      </c>
      <c r="L67" s="69" t="str">
        <f t="shared" si="6"/>
        <v>% Relative Humidity</v>
      </c>
      <c r="M67" s="69"/>
      <c r="N67" s="69">
        <v>0.47499999999999998</v>
      </c>
      <c r="O67" s="69">
        <v>0.45</v>
      </c>
      <c r="P67" s="69">
        <v>0.42499999999999999</v>
      </c>
      <c r="Q67" s="69"/>
    </row>
    <row r="68" spans="1:24" s="31" customFormat="1" x14ac:dyDescent="0.25">
      <c r="A68" s="454">
        <v>62</v>
      </c>
      <c r="B68" s="199" t="s">
        <v>1667</v>
      </c>
      <c r="C68" s="69" t="s">
        <v>197</v>
      </c>
      <c r="D68" s="69" t="s">
        <v>180</v>
      </c>
      <c r="E68" s="69" t="s">
        <v>1670</v>
      </c>
      <c r="F68" s="69">
        <v>0.5</v>
      </c>
      <c r="G68" s="69">
        <v>0.47499999999999998</v>
      </c>
      <c r="H68" s="69">
        <v>0.45</v>
      </c>
      <c r="I68" s="69" t="s">
        <v>840</v>
      </c>
      <c r="J68" s="69" t="s">
        <v>764</v>
      </c>
      <c r="K68" s="88">
        <f t="shared" si="3"/>
        <v>0.47499999999999998</v>
      </c>
      <c r="L68" s="69" t="str">
        <f t="shared" ref="L68:L79" si="7">I68</f>
        <v>% Relative Humidity</v>
      </c>
      <c r="M68" s="69"/>
      <c r="N68" s="69">
        <v>0.45</v>
      </c>
      <c r="O68" s="69">
        <v>0.42499999999999999</v>
      </c>
      <c r="P68" s="69">
        <v>0.4</v>
      </c>
      <c r="Q68" s="69"/>
      <c r="R68" s="31">
        <v>0.2777777777777779</v>
      </c>
    </row>
    <row r="69" spans="1:24" s="31" customFormat="1" x14ac:dyDescent="0.25">
      <c r="A69" s="454">
        <v>63</v>
      </c>
      <c r="B69" s="199" t="s">
        <v>1668</v>
      </c>
      <c r="C69" s="69" t="s">
        <v>197</v>
      </c>
      <c r="D69" s="69" t="s">
        <v>180</v>
      </c>
      <c r="E69" s="69" t="s">
        <v>1671</v>
      </c>
      <c r="F69" s="69">
        <v>0.47499999999999998</v>
      </c>
      <c r="G69" s="69">
        <v>0.45</v>
      </c>
      <c r="H69" s="69">
        <v>0.42499999999999999</v>
      </c>
      <c r="I69" s="69" t="s">
        <v>840</v>
      </c>
      <c r="J69" s="69" t="s">
        <v>764</v>
      </c>
      <c r="K69" s="88">
        <f t="shared" si="3"/>
        <v>0.45</v>
      </c>
      <c r="L69" s="69" t="str">
        <f t="shared" si="7"/>
        <v>% Relative Humidity</v>
      </c>
      <c r="M69" s="69"/>
      <c r="N69" s="69">
        <v>0.5</v>
      </c>
      <c r="O69" s="69">
        <v>0.47499999999999998</v>
      </c>
      <c r="P69" s="69">
        <v>0.45</v>
      </c>
      <c r="Q69" s="69"/>
      <c r="R69" s="31">
        <v>0.2777777777777779</v>
      </c>
    </row>
    <row r="70" spans="1:24" s="31" customFormat="1" x14ac:dyDescent="0.25">
      <c r="A70" s="200">
        <v>64</v>
      </c>
      <c r="B70" s="199" t="s">
        <v>1669</v>
      </c>
      <c r="C70" s="69" t="s">
        <v>197</v>
      </c>
      <c r="D70" s="69" t="s">
        <v>180</v>
      </c>
      <c r="E70" s="69" t="s">
        <v>1672</v>
      </c>
      <c r="F70" s="69">
        <v>0.45</v>
      </c>
      <c r="G70" s="69">
        <v>0.42499999999999999</v>
      </c>
      <c r="H70" s="69">
        <v>0.4</v>
      </c>
      <c r="I70" s="69" t="s">
        <v>840</v>
      </c>
      <c r="J70" s="69" t="s">
        <v>764</v>
      </c>
      <c r="K70" s="88">
        <f t="shared" si="3"/>
        <v>0.42499999999999999</v>
      </c>
      <c r="L70" s="69" t="str">
        <f t="shared" si="7"/>
        <v>% Relative Humidity</v>
      </c>
      <c r="M70" s="69"/>
      <c r="N70" s="69">
        <v>0.47499999999999998</v>
      </c>
      <c r="O70" s="69">
        <v>0.45</v>
      </c>
      <c r="P70" s="69">
        <v>0.42499999999999999</v>
      </c>
      <c r="Q70" s="69"/>
      <c r="R70" s="31">
        <v>0.27777777777777746</v>
      </c>
    </row>
    <row r="71" spans="1:24" s="31" customFormat="1" x14ac:dyDescent="0.25">
      <c r="A71" s="454">
        <v>65</v>
      </c>
      <c r="B71" s="199" t="s">
        <v>1673</v>
      </c>
      <c r="C71" s="69" t="s">
        <v>197</v>
      </c>
      <c r="D71" s="69" t="s">
        <v>180</v>
      </c>
      <c r="E71" s="69" t="s">
        <v>1676</v>
      </c>
      <c r="F71" s="69">
        <v>0.5</v>
      </c>
      <c r="G71" s="69">
        <v>0.47499999999999998</v>
      </c>
      <c r="H71" s="69">
        <v>0.45</v>
      </c>
      <c r="I71" s="69" t="s">
        <v>840</v>
      </c>
      <c r="J71" s="69" t="s">
        <v>764</v>
      </c>
      <c r="K71" s="88">
        <f t="shared" si="3"/>
        <v>0.47499999999999998</v>
      </c>
      <c r="L71" s="69" t="str">
        <f t="shared" si="7"/>
        <v>% Relative Humidity</v>
      </c>
      <c r="M71" s="69"/>
      <c r="N71" s="69">
        <v>0.45</v>
      </c>
      <c r="O71" s="69">
        <v>0.42499999999999999</v>
      </c>
      <c r="P71" s="69">
        <v>0.4</v>
      </c>
      <c r="Q71" s="69"/>
      <c r="R71" s="31">
        <v>0.2777777777777779</v>
      </c>
    </row>
    <row r="72" spans="1:24" s="31" customFormat="1" x14ac:dyDescent="0.25">
      <c r="A72" s="454">
        <v>66</v>
      </c>
      <c r="B72" s="199" t="s">
        <v>1674</v>
      </c>
      <c r="C72" s="69" t="s">
        <v>197</v>
      </c>
      <c r="D72" s="69" t="s">
        <v>180</v>
      </c>
      <c r="E72" s="69" t="s">
        <v>1677</v>
      </c>
      <c r="F72" s="69">
        <v>0.47499999999999998</v>
      </c>
      <c r="G72" s="69">
        <v>0.45</v>
      </c>
      <c r="H72" s="69">
        <v>0.42499999999999999</v>
      </c>
      <c r="I72" s="69" t="s">
        <v>840</v>
      </c>
      <c r="J72" s="69" t="s">
        <v>764</v>
      </c>
      <c r="K72" s="88">
        <f t="shared" si="3"/>
        <v>0.45</v>
      </c>
      <c r="L72" s="69" t="str">
        <f t="shared" si="7"/>
        <v>% Relative Humidity</v>
      </c>
      <c r="M72" s="69"/>
      <c r="N72" s="69">
        <v>0.5</v>
      </c>
      <c r="O72" s="69">
        <v>0.47499999999999998</v>
      </c>
      <c r="P72" s="69">
        <v>0.45</v>
      </c>
      <c r="Q72" s="69"/>
      <c r="R72" s="31">
        <v>0.2222222222222221</v>
      </c>
    </row>
    <row r="73" spans="1:24" s="31" customFormat="1" x14ac:dyDescent="0.25">
      <c r="A73" s="200">
        <v>67</v>
      </c>
      <c r="B73" s="199" t="s">
        <v>1675</v>
      </c>
      <c r="C73" s="69" t="s">
        <v>197</v>
      </c>
      <c r="D73" s="69" t="s">
        <v>180</v>
      </c>
      <c r="E73" s="69" t="s">
        <v>1678</v>
      </c>
      <c r="F73" s="69">
        <v>0.45</v>
      </c>
      <c r="G73" s="69">
        <v>0.42499999999999999</v>
      </c>
      <c r="H73" s="69">
        <v>0.4</v>
      </c>
      <c r="I73" s="69" t="s">
        <v>840</v>
      </c>
      <c r="J73" s="69" t="s">
        <v>764</v>
      </c>
      <c r="K73" s="88">
        <f t="shared" si="3"/>
        <v>0.42499999999999999</v>
      </c>
      <c r="L73" s="69" t="str">
        <f t="shared" si="7"/>
        <v>% Relative Humidity</v>
      </c>
      <c r="M73" s="69"/>
      <c r="N73" s="69">
        <v>0.42499999999999999</v>
      </c>
      <c r="O73" s="69">
        <v>0.4</v>
      </c>
      <c r="P73" s="69">
        <v>0.375</v>
      </c>
      <c r="Q73" s="69"/>
      <c r="R73" s="31">
        <v>0.2777777777777779</v>
      </c>
    </row>
    <row r="74" spans="1:24" s="31" customFormat="1" x14ac:dyDescent="0.25">
      <c r="A74" s="454">
        <v>68</v>
      </c>
      <c r="B74" s="199" t="s">
        <v>1679</v>
      </c>
      <c r="C74" s="69" t="s">
        <v>197</v>
      </c>
      <c r="D74" s="69" t="s">
        <v>180</v>
      </c>
      <c r="E74" s="69" t="s">
        <v>1682</v>
      </c>
      <c r="F74" s="69">
        <v>0.5</v>
      </c>
      <c r="G74" s="69">
        <v>0.47499999999999998</v>
      </c>
      <c r="H74" s="69">
        <v>0.45</v>
      </c>
      <c r="I74" s="69" t="s">
        <v>840</v>
      </c>
      <c r="J74" s="69" t="s">
        <v>764</v>
      </c>
      <c r="K74" s="88">
        <f t="shared" si="3"/>
        <v>0.47499999999999998</v>
      </c>
      <c r="L74" s="69" t="str">
        <f t="shared" si="7"/>
        <v>% Relative Humidity</v>
      </c>
      <c r="M74" s="69"/>
      <c r="N74" s="69">
        <v>0.35</v>
      </c>
      <c r="O74" s="69">
        <v>0.32500000000000001</v>
      </c>
      <c r="P74" s="69">
        <v>0.3</v>
      </c>
      <c r="Q74" s="69"/>
      <c r="R74" s="31">
        <v>0.27777777777777768</v>
      </c>
    </row>
    <row r="75" spans="1:24" s="31" customFormat="1" x14ac:dyDescent="0.25">
      <c r="A75" s="454">
        <v>69</v>
      </c>
      <c r="B75" s="199" t="s">
        <v>1680</v>
      </c>
      <c r="C75" s="69" t="s">
        <v>197</v>
      </c>
      <c r="D75" s="69" t="s">
        <v>180</v>
      </c>
      <c r="E75" s="69" t="s">
        <v>1683</v>
      </c>
      <c r="F75" s="69">
        <v>0.42499999999999999</v>
      </c>
      <c r="G75" s="69">
        <v>0.4</v>
      </c>
      <c r="H75" s="69">
        <v>0.375</v>
      </c>
      <c r="I75" s="69" t="s">
        <v>840</v>
      </c>
      <c r="J75" s="69" t="s">
        <v>764</v>
      </c>
      <c r="K75" s="88">
        <f t="shared" si="3"/>
        <v>0.4</v>
      </c>
      <c r="L75" s="69" t="str">
        <f t="shared" si="7"/>
        <v>% Relative Humidity</v>
      </c>
      <c r="M75" s="69"/>
      <c r="N75" s="69">
        <v>0.9</v>
      </c>
      <c r="O75" s="69">
        <v>0.8</v>
      </c>
      <c r="P75" s="69">
        <v>0.7</v>
      </c>
      <c r="Q75" s="69"/>
      <c r="R75" s="31">
        <v>0.2777777777777779</v>
      </c>
    </row>
    <row r="76" spans="1:24" s="31" customFormat="1" x14ac:dyDescent="0.25">
      <c r="A76" s="454">
        <v>70</v>
      </c>
      <c r="B76" s="200" t="s">
        <v>1681</v>
      </c>
      <c r="C76" s="69" t="s">
        <v>197</v>
      </c>
      <c r="D76" s="69" t="s">
        <v>180</v>
      </c>
      <c r="E76" s="69" t="s">
        <v>1684</v>
      </c>
      <c r="F76" s="69">
        <v>0.35</v>
      </c>
      <c r="G76" s="69">
        <v>0.32500000000000001</v>
      </c>
      <c r="H76" s="69">
        <v>0.3</v>
      </c>
      <c r="I76" s="69" t="s">
        <v>840</v>
      </c>
      <c r="J76" s="69" t="s">
        <v>764</v>
      </c>
      <c r="K76" s="88">
        <f t="shared" si="3"/>
        <v>0.32500000000000001</v>
      </c>
      <c r="L76" s="69" t="str">
        <f t="shared" si="7"/>
        <v>% Relative Humidity</v>
      </c>
      <c r="M76" s="69"/>
      <c r="N76" s="69">
        <v>0.6</v>
      </c>
      <c r="O76" s="69">
        <v>0.5</v>
      </c>
      <c r="P76" s="69">
        <v>0.4</v>
      </c>
      <c r="Q76" s="69"/>
      <c r="R76" s="31">
        <v>0.27777777777777768</v>
      </c>
    </row>
    <row r="77" spans="1:24" s="31" customFormat="1" x14ac:dyDescent="0.25">
      <c r="A77" s="200">
        <v>71</v>
      </c>
      <c r="B77" s="200" t="s">
        <v>1809</v>
      </c>
      <c r="C77" s="69" t="s">
        <v>197</v>
      </c>
      <c r="D77" s="69" t="s">
        <v>180</v>
      </c>
      <c r="E77" s="69" t="s">
        <v>1806</v>
      </c>
      <c r="F77" s="69">
        <v>0.9</v>
      </c>
      <c r="G77" s="69">
        <v>0.8</v>
      </c>
      <c r="H77" s="69">
        <v>0.7</v>
      </c>
      <c r="I77" s="69" t="s">
        <v>840</v>
      </c>
      <c r="J77" s="69" t="s">
        <v>1789</v>
      </c>
      <c r="K77" s="88">
        <f t="shared" si="3"/>
        <v>0.8</v>
      </c>
      <c r="L77" s="69" t="str">
        <f t="shared" si="7"/>
        <v>% Relative Humidity</v>
      </c>
      <c r="M77" s="69"/>
      <c r="N77" s="69">
        <v>0.3</v>
      </c>
      <c r="O77" s="69">
        <v>0.2</v>
      </c>
      <c r="P77" s="69">
        <v>0.1</v>
      </c>
      <c r="Q77" s="69"/>
      <c r="R77" s="31">
        <v>0.2222222222222221</v>
      </c>
    </row>
    <row r="78" spans="1:24" s="31" customFormat="1" x14ac:dyDescent="0.25">
      <c r="A78" s="454">
        <v>72</v>
      </c>
      <c r="B78" s="200" t="s">
        <v>1810</v>
      </c>
      <c r="C78" s="69" t="s">
        <v>197</v>
      </c>
      <c r="D78" s="69" t="s">
        <v>180</v>
      </c>
      <c r="E78" s="69" t="s">
        <v>1807</v>
      </c>
      <c r="F78" s="69">
        <v>0.6</v>
      </c>
      <c r="G78" s="69">
        <v>0.5</v>
      </c>
      <c r="H78" s="69">
        <v>0.4</v>
      </c>
      <c r="I78" s="69" t="s">
        <v>840</v>
      </c>
      <c r="J78" s="69" t="s">
        <v>1789</v>
      </c>
      <c r="K78" s="88">
        <f t="shared" si="3"/>
        <v>0.5</v>
      </c>
      <c r="L78" s="69" t="str">
        <f t="shared" si="7"/>
        <v>% Relative Humidity</v>
      </c>
      <c r="M78" s="69"/>
      <c r="N78" s="89"/>
      <c r="O78" s="89"/>
      <c r="P78" s="89"/>
      <c r="Q78" s="69"/>
    </row>
    <row r="79" spans="1:24" s="31" customFormat="1" x14ac:dyDescent="0.25">
      <c r="A79" s="454">
        <v>73</v>
      </c>
      <c r="B79" s="200" t="s">
        <v>1811</v>
      </c>
      <c r="C79" s="69" t="s">
        <v>197</v>
      </c>
      <c r="D79" s="69" t="s">
        <v>180</v>
      </c>
      <c r="E79" s="69" t="s">
        <v>1808</v>
      </c>
      <c r="F79" s="69">
        <v>0.3</v>
      </c>
      <c r="G79" s="69">
        <v>0.2</v>
      </c>
      <c r="H79" s="69">
        <v>0.1</v>
      </c>
      <c r="I79" s="69" t="s">
        <v>840</v>
      </c>
      <c r="J79" s="69" t="s">
        <v>1789</v>
      </c>
      <c r="K79" s="88">
        <f>G79</f>
        <v>0.2</v>
      </c>
      <c r="L79" s="69" t="str">
        <f t="shared" si="7"/>
        <v>% Relative Humidity</v>
      </c>
      <c r="M79" s="69"/>
      <c r="N79" s="450">
        <v>1.2</v>
      </c>
      <c r="O79" s="450"/>
      <c r="P79" s="89"/>
      <c r="Q79" s="69"/>
      <c r="V79" s="31" t="s">
        <v>2360</v>
      </c>
    </row>
    <row r="80" spans="1:24" s="31" customFormat="1" x14ac:dyDescent="0.25">
      <c r="A80" s="200">
        <v>74</v>
      </c>
      <c r="B80" s="200" t="s">
        <v>1744</v>
      </c>
      <c r="C80" s="69" t="s">
        <v>197</v>
      </c>
      <c r="D80" s="69" t="s">
        <v>180</v>
      </c>
      <c r="E80" s="69" t="s">
        <v>1747</v>
      </c>
      <c r="F80" s="69">
        <v>26.666666666666668</v>
      </c>
      <c r="G80" s="69">
        <v>25.277777777777779</v>
      </c>
      <c r="H80" s="69">
        <v>23.888888888888889</v>
      </c>
      <c r="I80" s="69" t="s">
        <v>544</v>
      </c>
      <c r="J80" s="69" t="s">
        <v>764</v>
      </c>
      <c r="K80" s="88">
        <f t="shared" si="3"/>
        <v>25.277777777777779</v>
      </c>
      <c r="L80" s="69" t="s">
        <v>544</v>
      </c>
      <c r="M80" s="69"/>
      <c r="N80" s="69">
        <v>26.666666666666668</v>
      </c>
      <c r="O80" s="69">
        <v>25.277777777777779</v>
      </c>
      <c r="P80" s="69">
        <v>23.888888888888889</v>
      </c>
      <c r="Q80" s="69">
        <f>F80-H80</f>
        <v>2.7777777777777786</v>
      </c>
      <c r="R80" s="31">
        <f>Q80*$N$79</f>
        <v>3.3333333333333344</v>
      </c>
      <c r="S80" s="31">
        <f>R80-Q80</f>
        <v>0.5555555555555558</v>
      </c>
      <c r="T80" s="31">
        <v>0.2777777777777779</v>
      </c>
      <c r="V80" s="31">
        <v>26.388888888888889</v>
      </c>
      <c r="W80" s="31">
        <v>25.277777777777779</v>
      </c>
      <c r="X80" s="31">
        <v>24.166666666666668</v>
      </c>
    </row>
    <row r="81" spans="1:24" s="31" customFormat="1" x14ac:dyDescent="0.25">
      <c r="A81" s="454">
        <v>75</v>
      </c>
      <c r="B81" s="199" t="s">
        <v>1685</v>
      </c>
      <c r="C81" s="69" t="s">
        <v>197</v>
      </c>
      <c r="D81" s="69" t="s">
        <v>180</v>
      </c>
      <c r="E81" s="69" t="s">
        <v>844</v>
      </c>
      <c r="F81" s="69">
        <v>23.888888888888889</v>
      </c>
      <c r="G81" s="69">
        <v>22.5</v>
      </c>
      <c r="H81" s="69">
        <v>21.111111111111111</v>
      </c>
      <c r="I81" s="69" t="s">
        <v>544</v>
      </c>
      <c r="J81" s="69" t="s">
        <v>764</v>
      </c>
      <c r="K81" s="88">
        <f t="shared" si="3"/>
        <v>22.5</v>
      </c>
      <c r="L81" s="69" t="str">
        <f t="shared" ref="L81:L88" si="8">I81</f>
        <v>deg C</v>
      </c>
      <c r="M81" s="69"/>
      <c r="N81" s="69">
        <v>23.888888888888889</v>
      </c>
      <c r="O81" s="69">
        <v>22.5</v>
      </c>
      <c r="P81" s="69">
        <v>21.111111111111111</v>
      </c>
      <c r="Q81" s="69">
        <f t="shared" ref="Q81:Q89" si="9">F81-H81</f>
        <v>2.7777777777777786</v>
      </c>
      <c r="R81" s="31">
        <f t="shared" ref="R81:R89" si="10">Q81*$N$79</f>
        <v>3.3333333333333344</v>
      </c>
      <c r="S81" s="31">
        <f t="shared" ref="S81:S89" si="11">R81-Q81</f>
        <v>0.5555555555555558</v>
      </c>
      <c r="T81" s="31">
        <v>0.2777777777777779</v>
      </c>
      <c r="V81" s="31">
        <v>23.611111111111111</v>
      </c>
      <c r="W81" s="31">
        <v>22.5</v>
      </c>
      <c r="X81" s="31">
        <v>21.388888888888889</v>
      </c>
    </row>
    <row r="82" spans="1:24" s="31" customFormat="1" x14ac:dyDescent="0.25">
      <c r="A82" s="454">
        <v>76</v>
      </c>
      <c r="B82" s="199" t="s">
        <v>1686</v>
      </c>
      <c r="C82" s="69" t="s">
        <v>197</v>
      </c>
      <c r="D82" s="69" t="s">
        <v>180</v>
      </c>
      <c r="E82" s="69" t="s">
        <v>847</v>
      </c>
      <c r="F82" s="69">
        <v>29.444444444444443</v>
      </c>
      <c r="G82" s="69">
        <v>28.055555555555557</v>
      </c>
      <c r="H82" s="69">
        <v>26.666666666666668</v>
      </c>
      <c r="I82" s="69" t="s">
        <v>544</v>
      </c>
      <c r="J82" s="69" t="s">
        <v>764</v>
      </c>
      <c r="K82" s="88">
        <f t="shared" si="3"/>
        <v>28.055555555555557</v>
      </c>
      <c r="L82" s="69" t="str">
        <f t="shared" si="8"/>
        <v>deg C</v>
      </c>
      <c r="M82" s="69"/>
      <c r="N82" s="69">
        <v>29.444444444444443</v>
      </c>
      <c r="O82" s="69">
        <v>28.055555555555557</v>
      </c>
      <c r="P82" s="69">
        <v>26.666666666666668</v>
      </c>
      <c r="Q82" s="69">
        <f t="shared" si="9"/>
        <v>2.777777777777775</v>
      </c>
      <c r="R82" s="31">
        <f t="shared" si="10"/>
        <v>3.3333333333333299</v>
      </c>
      <c r="S82" s="31">
        <f t="shared" si="11"/>
        <v>0.55555555555555491</v>
      </c>
      <c r="T82" s="31">
        <v>0.27777777777777746</v>
      </c>
      <c r="V82" s="31">
        <v>29.166666666666664</v>
      </c>
      <c r="W82" s="31">
        <v>28.055555555555557</v>
      </c>
      <c r="X82" s="31">
        <v>26.944444444444446</v>
      </c>
    </row>
    <row r="83" spans="1:24" s="31" customFormat="1" x14ac:dyDescent="0.25">
      <c r="A83" s="454">
        <v>77</v>
      </c>
      <c r="B83" s="199" t="s">
        <v>1687</v>
      </c>
      <c r="C83" s="69" t="s">
        <v>197</v>
      </c>
      <c r="D83" s="69" t="s">
        <v>180</v>
      </c>
      <c r="E83" s="69" t="s">
        <v>846</v>
      </c>
      <c r="F83" s="69">
        <v>23.888888888888889</v>
      </c>
      <c r="G83" s="69">
        <v>22.5</v>
      </c>
      <c r="H83" s="69">
        <v>21.111111111111111</v>
      </c>
      <c r="I83" s="69" t="s">
        <v>544</v>
      </c>
      <c r="J83" s="69" t="s">
        <v>764</v>
      </c>
      <c r="K83" s="88">
        <f t="shared" si="3"/>
        <v>22.5</v>
      </c>
      <c r="L83" s="69" t="str">
        <f t="shared" si="8"/>
        <v>deg C</v>
      </c>
      <c r="M83" s="69"/>
      <c r="N83" s="69">
        <v>23.888888888888889</v>
      </c>
      <c r="O83" s="69">
        <v>22.5</v>
      </c>
      <c r="P83" s="69">
        <v>21.111111111111111</v>
      </c>
      <c r="Q83" s="69">
        <f t="shared" si="9"/>
        <v>2.7777777777777786</v>
      </c>
      <c r="R83" s="31">
        <f t="shared" si="10"/>
        <v>3.3333333333333344</v>
      </c>
      <c r="S83" s="31">
        <f t="shared" si="11"/>
        <v>0.5555555555555558</v>
      </c>
      <c r="T83" s="31">
        <v>0.2777777777777779</v>
      </c>
      <c r="V83" s="31">
        <v>23.611111111111111</v>
      </c>
      <c r="W83" s="31">
        <v>22.5</v>
      </c>
      <c r="X83" s="31">
        <v>21.388888888888889</v>
      </c>
    </row>
    <row r="84" spans="1:24" s="31" customFormat="1" x14ac:dyDescent="0.25">
      <c r="A84" s="200">
        <v>78</v>
      </c>
      <c r="B84" s="199" t="s">
        <v>1812</v>
      </c>
      <c r="C84" s="69" t="s">
        <v>197</v>
      </c>
      <c r="D84" s="69" t="s">
        <v>180</v>
      </c>
      <c r="E84" s="69" t="s">
        <v>1813</v>
      </c>
      <c r="F84" s="69">
        <v>21.111111111111111</v>
      </c>
      <c r="G84" s="69">
        <v>20</v>
      </c>
      <c r="H84" s="69">
        <v>18.888888888888889</v>
      </c>
      <c r="I84" s="69" t="s">
        <v>544</v>
      </c>
      <c r="J84" s="69" t="s">
        <v>1789</v>
      </c>
      <c r="K84" s="88">
        <f>G84</f>
        <v>20</v>
      </c>
      <c r="L84" s="69" t="str">
        <f t="shared" si="8"/>
        <v>deg C</v>
      </c>
      <c r="M84" s="69"/>
      <c r="N84" s="69">
        <v>21.111111111111111</v>
      </c>
      <c r="O84" s="69">
        <v>20</v>
      </c>
      <c r="P84" s="69">
        <v>18.888888888888889</v>
      </c>
      <c r="Q84" s="69">
        <f t="shared" si="9"/>
        <v>2.2222222222222214</v>
      </c>
      <c r="R84" s="31">
        <f t="shared" si="10"/>
        <v>2.6666666666666656</v>
      </c>
      <c r="S84" s="31">
        <f t="shared" si="11"/>
        <v>0.4444444444444442</v>
      </c>
      <c r="T84" s="31">
        <v>0.2222222222222221</v>
      </c>
      <c r="V84" s="31">
        <v>20.888888888888889</v>
      </c>
      <c r="W84" s="31">
        <v>20</v>
      </c>
      <c r="X84" s="31">
        <v>19.111111111111111</v>
      </c>
    </row>
    <row r="85" spans="1:24" s="31" customFormat="1" x14ac:dyDescent="0.25">
      <c r="A85" s="454">
        <v>79</v>
      </c>
      <c r="B85" s="199" t="s">
        <v>1745</v>
      </c>
      <c r="C85" s="69" t="s">
        <v>197</v>
      </c>
      <c r="D85" s="69" t="s">
        <v>180</v>
      </c>
      <c r="E85" s="69" t="s">
        <v>1746</v>
      </c>
      <c r="F85" s="69">
        <v>23.888888888888889</v>
      </c>
      <c r="G85" s="69">
        <v>22.5</v>
      </c>
      <c r="H85" s="69">
        <v>21.111111111111111</v>
      </c>
      <c r="I85" s="69" t="s">
        <v>544</v>
      </c>
      <c r="J85" s="69" t="s">
        <v>764</v>
      </c>
      <c r="K85" s="88">
        <f>G85</f>
        <v>22.5</v>
      </c>
      <c r="L85" s="69" t="str">
        <f t="shared" si="8"/>
        <v>deg C</v>
      </c>
      <c r="M85" s="69"/>
      <c r="N85" s="69">
        <v>23.888888888888889</v>
      </c>
      <c r="O85" s="69">
        <v>22.5</v>
      </c>
      <c r="P85" s="69">
        <v>21.111111111111111</v>
      </c>
      <c r="Q85" s="69">
        <f t="shared" si="9"/>
        <v>2.7777777777777786</v>
      </c>
      <c r="R85" s="31">
        <f t="shared" si="10"/>
        <v>3.3333333333333344</v>
      </c>
      <c r="S85" s="31">
        <f t="shared" si="11"/>
        <v>0.5555555555555558</v>
      </c>
      <c r="T85" s="31">
        <v>0.2777777777777779</v>
      </c>
      <c r="V85" s="31">
        <v>23.611111111111111</v>
      </c>
      <c r="W85" s="31">
        <v>22.5</v>
      </c>
      <c r="X85" s="31">
        <v>21.388888888888889</v>
      </c>
    </row>
    <row r="86" spans="1:24" s="31" customFormat="1" x14ac:dyDescent="0.25">
      <c r="A86" s="454">
        <v>80</v>
      </c>
      <c r="B86" s="200" t="s">
        <v>1688</v>
      </c>
      <c r="C86" s="69" t="s">
        <v>197</v>
      </c>
      <c r="D86" s="69" t="s">
        <v>180</v>
      </c>
      <c r="E86" s="69" t="s">
        <v>848</v>
      </c>
      <c r="F86" s="69">
        <v>18.333333333333332</v>
      </c>
      <c r="G86" s="69">
        <v>16.944444444444443</v>
      </c>
      <c r="H86" s="69">
        <v>15.555555555555555</v>
      </c>
      <c r="I86" s="69" t="s">
        <v>544</v>
      </c>
      <c r="J86" s="69" t="s">
        <v>764</v>
      </c>
      <c r="K86" s="88">
        <f t="shared" si="3"/>
        <v>16.944444444444443</v>
      </c>
      <c r="L86" s="69" t="str">
        <f t="shared" si="8"/>
        <v>deg C</v>
      </c>
      <c r="M86" s="69"/>
      <c r="N86" s="69">
        <v>18.333333333333332</v>
      </c>
      <c r="O86" s="69">
        <v>16.944444444444443</v>
      </c>
      <c r="P86" s="69">
        <v>15.555555555555555</v>
      </c>
      <c r="Q86" s="69">
        <f t="shared" si="9"/>
        <v>2.7777777777777768</v>
      </c>
      <c r="R86" s="31">
        <f t="shared" si="10"/>
        <v>3.3333333333333321</v>
      </c>
      <c r="S86" s="31">
        <f t="shared" si="11"/>
        <v>0.55555555555555536</v>
      </c>
      <c r="T86" s="31">
        <v>0.27777777777777768</v>
      </c>
      <c r="V86" s="31">
        <v>18.055555555555554</v>
      </c>
      <c r="W86" s="31">
        <v>16.944444444444443</v>
      </c>
      <c r="X86" s="31">
        <v>15.833333333333332</v>
      </c>
    </row>
    <row r="87" spans="1:24" s="31" customFormat="1" x14ac:dyDescent="0.25">
      <c r="A87" s="200">
        <v>81</v>
      </c>
      <c r="B87" s="200" t="s">
        <v>1689</v>
      </c>
      <c r="C87" s="69" t="s">
        <v>197</v>
      </c>
      <c r="D87" s="69" t="s">
        <v>180</v>
      </c>
      <c r="E87" s="69" t="s">
        <v>845</v>
      </c>
      <c r="F87" s="69">
        <v>23.888888888888889</v>
      </c>
      <c r="G87" s="69">
        <v>22.5</v>
      </c>
      <c r="H87" s="69">
        <v>21.111111111111111</v>
      </c>
      <c r="I87" s="69" t="s">
        <v>544</v>
      </c>
      <c r="J87" s="69" t="s">
        <v>764</v>
      </c>
      <c r="K87" s="88">
        <f t="shared" si="3"/>
        <v>22.5</v>
      </c>
      <c r="L87" s="69" t="str">
        <f t="shared" si="8"/>
        <v>deg C</v>
      </c>
      <c r="M87" s="69"/>
      <c r="N87" s="69">
        <v>23.888888888888889</v>
      </c>
      <c r="O87" s="69">
        <v>22.5</v>
      </c>
      <c r="P87" s="69">
        <v>21.111111111111111</v>
      </c>
      <c r="Q87" s="69">
        <f t="shared" si="9"/>
        <v>2.7777777777777786</v>
      </c>
      <c r="R87" s="31">
        <f t="shared" si="10"/>
        <v>3.3333333333333344</v>
      </c>
      <c r="S87" s="31">
        <f t="shared" si="11"/>
        <v>0.5555555555555558</v>
      </c>
      <c r="T87" s="31">
        <v>0.2777777777777779</v>
      </c>
      <c r="V87" s="31">
        <v>23.611111111111111</v>
      </c>
      <c r="W87" s="31">
        <v>22.5</v>
      </c>
      <c r="X87" s="31">
        <v>21.388888888888889</v>
      </c>
    </row>
    <row r="88" spans="1:24" s="31" customFormat="1" x14ac:dyDescent="0.25">
      <c r="A88" s="454">
        <v>82</v>
      </c>
      <c r="B88" s="199" t="s">
        <v>1690</v>
      </c>
      <c r="C88" s="69" t="s">
        <v>197</v>
      </c>
      <c r="D88" s="69" t="s">
        <v>180</v>
      </c>
      <c r="E88" s="69" t="s">
        <v>849</v>
      </c>
      <c r="F88" s="69">
        <v>18.333333333333332</v>
      </c>
      <c r="G88" s="69">
        <v>16.944444444444443</v>
      </c>
      <c r="H88" s="69">
        <v>15.555555555555555</v>
      </c>
      <c r="I88" s="69" t="s">
        <v>544</v>
      </c>
      <c r="J88" s="69" t="s">
        <v>764</v>
      </c>
      <c r="K88" s="88">
        <f t="shared" si="3"/>
        <v>16.944444444444443</v>
      </c>
      <c r="L88" s="69" t="str">
        <f t="shared" si="8"/>
        <v>deg C</v>
      </c>
      <c r="M88" s="69"/>
      <c r="N88" s="69">
        <v>18.333333333333332</v>
      </c>
      <c r="O88" s="69">
        <v>16.944444444444443</v>
      </c>
      <c r="P88" s="69">
        <v>15.555555555555555</v>
      </c>
      <c r="Q88" s="69">
        <f t="shared" si="9"/>
        <v>2.7777777777777768</v>
      </c>
      <c r="R88" s="31">
        <f t="shared" si="10"/>
        <v>3.3333333333333321</v>
      </c>
      <c r="S88" s="31">
        <f t="shared" si="11"/>
        <v>0.55555555555555536</v>
      </c>
      <c r="T88" s="31">
        <v>0.27777777777777768</v>
      </c>
      <c r="V88" s="31">
        <v>18.055555555555554</v>
      </c>
      <c r="W88" s="31">
        <v>16.944444444444443</v>
      </c>
      <c r="X88" s="31">
        <v>15.833333333333332</v>
      </c>
    </row>
    <row r="89" spans="1:24" s="31" customFormat="1" x14ac:dyDescent="0.25">
      <c r="A89" s="454">
        <v>83</v>
      </c>
      <c r="B89" s="199" t="s">
        <v>1814</v>
      </c>
      <c r="C89" s="69" t="s">
        <v>197</v>
      </c>
      <c r="D89" s="69" t="s">
        <v>180</v>
      </c>
      <c r="E89" s="69" t="s">
        <v>1815</v>
      </c>
      <c r="F89" s="69">
        <v>21.111111111111111</v>
      </c>
      <c r="G89" s="69">
        <v>20</v>
      </c>
      <c r="H89" s="69">
        <v>18.888888888888889</v>
      </c>
      <c r="I89" s="69" t="s">
        <v>544</v>
      </c>
      <c r="J89" s="69" t="s">
        <v>1789</v>
      </c>
      <c r="K89" s="88">
        <f>G89</f>
        <v>20</v>
      </c>
      <c r="L89" s="69" t="str">
        <f>I89</f>
        <v>deg C</v>
      </c>
      <c r="M89" s="69"/>
      <c r="N89" s="69">
        <v>21.111111111111111</v>
      </c>
      <c r="O89" s="69">
        <v>20</v>
      </c>
      <c r="P89" s="69">
        <v>18.888888888888889</v>
      </c>
      <c r="Q89" s="69">
        <f t="shared" si="9"/>
        <v>2.2222222222222214</v>
      </c>
      <c r="R89" s="31">
        <f t="shared" si="10"/>
        <v>2.6666666666666656</v>
      </c>
      <c r="S89" s="31">
        <f t="shared" si="11"/>
        <v>0.4444444444444442</v>
      </c>
      <c r="T89" s="31">
        <v>0.2222222222222221</v>
      </c>
      <c r="V89" s="31">
        <v>20.888888888888889</v>
      </c>
      <c r="W89" s="31">
        <v>20</v>
      </c>
      <c r="X89" s="31">
        <v>19.111111111111111</v>
      </c>
    </row>
    <row r="90" spans="1:24" s="211" customFormat="1" x14ac:dyDescent="0.25">
      <c r="A90" s="454">
        <v>84</v>
      </c>
      <c r="B90" s="451" t="s">
        <v>1712</v>
      </c>
      <c r="C90" s="452" t="s">
        <v>197</v>
      </c>
      <c r="D90" s="452" t="s">
        <v>180</v>
      </c>
      <c r="E90" s="452" t="s">
        <v>469</v>
      </c>
      <c r="F90" s="452"/>
      <c r="G90" s="452"/>
      <c r="H90" s="452"/>
      <c r="I90" s="452" t="s">
        <v>470</v>
      </c>
      <c r="J90" s="452"/>
      <c r="K90" s="453">
        <f t="shared" si="3"/>
        <v>0</v>
      </c>
      <c r="L90" s="452" t="str">
        <f t="shared" si="6"/>
        <v>BTUs/W-hr</v>
      </c>
      <c r="M90" s="452"/>
      <c r="N90" s="452"/>
      <c r="O90" s="452"/>
      <c r="P90" s="452"/>
      <c r="Q90" s="452"/>
      <c r="R90" s="31"/>
      <c r="S90" s="31"/>
      <c r="T90" s="31"/>
    </row>
    <row r="91" spans="1:24" x14ac:dyDescent="0.25">
      <c r="A91" s="200">
        <v>85</v>
      </c>
      <c r="B91" s="199" t="s">
        <v>2138</v>
      </c>
      <c r="C91" s="438" t="s">
        <v>197</v>
      </c>
      <c r="D91" s="438" t="s">
        <v>532</v>
      </c>
      <c r="E91" s="438" t="s">
        <v>2130</v>
      </c>
      <c r="F91" s="438"/>
      <c r="G91" s="438">
        <f>(16*oz_to_m3+5*gal_to_m3+7*gal_to_m3)*0.7</f>
        <v>3.2128672800000001E-2</v>
      </c>
      <c r="H91" s="438"/>
      <c r="I91" s="438" t="s">
        <v>2125</v>
      </c>
      <c r="J91" s="438" t="s">
        <v>358</v>
      </c>
      <c r="K91" s="439">
        <f>G91*prop_coco_density*G17</f>
        <v>17910.206195475868</v>
      </c>
      <c r="L91" s="438" t="s">
        <v>1204</v>
      </c>
      <c r="M91" s="438" t="s">
        <v>2134</v>
      </c>
      <c r="N91" s="69"/>
      <c r="O91" s="69"/>
      <c r="P91" s="69"/>
      <c r="Q91" s="69"/>
      <c r="R91" s="31"/>
      <c r="S91" s="31"/>
      <c r="T91" s="31"/>
    </row>
    <row r="92" spans="1:24" s="31" customFormat="1" x14ac:dyDescent="0.25">
      <c r="A92" s="454">
        <v>86</v>
      </c>
      <c r="B92" s="200" t="s">
        <v>2089</v>
      </c>
      <c r="C92" s="285"/>
      <c r="D92" s="285"/>
      <c r="E92" s="89" t="s">
        <v>2090</v>
      </c>
      <c r="F92" s="89"/>
      <c r="G92" s="458">
        <f>15/130*G8</f>
        <v>108.25174825174825</v>
      </c>
      <c r="H92" s="89"/>
      <c r="I92" s="89" t="s">
        <v>2126</v>
      </c>
      <c r="J92" s="89"/>
      <c r="K92" s="88">
        <f>G92</f>
        <v>108.25174825174825</v>
      </c>
      <c r="L92" s="89" t="s">
        <v>2091</v>
      </c>
      <c r="M92" s="89" t="s">
        <v>2092</v>
      </c>
      <c r="N92" s="69"/>
      <c r="O92" s="69"/>
      <c r="P92" s="69"/>
      <c r="Q92" s="69"/>
    </row>
    <row r="93" spans="1:24" s="31" customFormat="1" x14ac:dyDescent="0.25">
      <c r="A93" s="454">
        <v>87</v>
      </c>
      <c r="B93" s="200" t="s">
        <v>1714</v>
      </c>
      <c r="C93" s="89" t="s">
        <v>197</v>
      </c>
      <c r="D93" s="89" t="s">
        <v>532</v>
      </c>
      <c r="E93" s="89" t="s">
        <v>1096</v>
      </c>
      <c r="F93" s="69"/>
      <c r="G93" s="69">
        <f>K92*'Indoor Raw Data'!B220</f>
        <v>36.08391608391608</v>
      </c>
      <c r="H93" s="69"/>
      <c r="I93" s="69" t="s">
        <v>2088</v>
      </c>
      <c r="J93" s="69"/>
      <c r="K93" s="69">
        <f>G93*HP_to_kW*kW_to_W*day_to_hour*year_to_day</f>
        <v>235712119.72027969</v>
      </c>
      <c r="L93" s="69" t="s">
        <v>548</v>
      </c>
      <c r="M93" s="69" t="s">
        <v>1089</v>
      </c>
      <c r="N93" s="69"/>
      <c r="O93" s="69"/>
      <c r="P93" s="69"/>
      <c r="Q93" s="69"/>
    </row>
    <row r="94" spans="1:24" s="31" customFormat="1" x14ac:dyDescent="0.25">
      <c r="A94" s="200">
        <v>88</v>
      </c>
      <c r="B94" s="199" t="s">
        <v>1778</v>
      </c>
      <c r="C94" s="89" t="s">
        <v>197</v>
      </c>
      <c r="D94" s="89" t="s">
        <v>339</v>
      </c>
      <c r="E94" s="89" t="s">
        <v>1777</v>
      </c>
      <c r="F94" s="89">
        <f>'Indoor Backup Calcs'!E12</f>
        <v>4.7945205479452057E-3</v>
      </c>
      <c r="G94" s="67">
        <f>AVERAGE('Indoor Backup Calcs'!C10/'Indoor Backup Calcs'!C8,'Indoor Backup Calcs'!E12)</f>
        <v>3.7489038725885197E-3</v>
      </c>
      <c r="H94" s="89">
        <f>'Indoor Backup Calcs'!C9/'Indoor Backup Calcs'!C8</f>
        <v>2.1626297577854669E-3</v>
      </c>
      <c r="I94" s="89" t="s">
        <v>539</v>
      </c>
      <c r="J94" s="89" t="s">
        <v>541</v>
      </c>
      <c r="K94" s="89">
        <f>G94</f>
        <v>3.7489038725885197E-3</v>
      </c>
      <c r="L94" s="89" t="str">
        <f>I94</f>
        <v>kWh/gallon</v>
      </c>
      <c r="M94" s="89" t="s">
        <v>557</v>
      </c>
      <c r="N94" s="69"/>
      <c r="O94" s="69"/>
      <c r="P94" s="69"/>
      <c r="Q94" s="69"/>
    </row>
    <row r="95" spans="1:24" s="31" customFormat="1" x14ac:dyDescent="0.25">
      <c r="A95" s="454">
        <v>89</v>
      </c>
      <c r="B95" s="199" t="s">
        <v>1693</v>
      </c>
      <c r="C95" s="89" t="s">
        <v>197</v>
      </c>
      <c r="D95" s="89" t="s">
        <v>339</v>
      </c>
      <c r="E95" s="89" t="s">
        <v>560</v>
      </c>
      <c r="F95" s="89"/>
      <c r="G95" s="67">
        <v>1</v>
      </c>
      <c r="H95" s="89"/>
      <c r="I95" s="89" t="s">
        <v>872</v>
      </c>
      <c r="J95" s="89" t="s">
        <v>358</v>
      </c>
      <c r="K95" s="89">
        <f>G95</f>
        <v>1</v>
      </c>
      <c r="L95" s="89" t="str">
        <f>I95</f>
        <v>gal/plant/day</v>
      </c>
      <c r="M95" s="89" t="s">
        <v>2073</v>
      </c>
      <c r="N95" s="69"/>
      <c r="O95" s="69"/>
      <c r="P95" s="69"/>
      <c r="Q95" s="69"/>
    </row>
    <row r="96" spans="1:24" x14ac:dyDescent="0.25">
      <c r="A96" s="454">
        <v>90</v>
      </c>
      <c r="B96" s="199" t="s">
        <v>1716</v>
      </c>
      <c r="C96" s="235" t="s">
        <v>197</v>
      </c>
      <c r="D96" s="235" t="s">
        <v>180</v>
      </c>
      <c r="E96" s="235" t="s">
        <v>559</v>
      </c>
      <c r="F96" s="235"/>
      <c r="G96" s="235">
        <f>Transportation!E160</f>
        <v>83.643333333333331</v>
      </c>
      <c r="H96" s="235"/>
      <c r="I96" s="235" t="s">
        <v>1156</v>
      </c>
      <c r="J96" s="235" t="s">
        <v>1097</v>
      </c>
      <c r="K96" s="235">
        <f>G96</f>
        <v>83.643333333333331</v>
      </c>
      <c r="L96" s="235" t="str">
        <f>I96</f>
        <v>miles/trip</v>
      </c>
      <c r="M96" s="235" t="s">
        <v>707</v>
      </c>
      <c r="N96" s="69"/>
      <c r="O96" s="69"/>
      <c r="P96" s="69"/>
      <c r="Q96" s="69"/>
      <c r="T96" s="31"/>
    </row>
    <row r="97" spans="1:20" x14ac:dyDescent="0.25">
      <c r="A97" s="454">
        <v>91</v>
      </c>
      <c r="B97" s="191" t="s">
        <v>1699</v>
      </c>
      <c r="C97" s="69" t="s">
        <v>197</v>
      </c>
      <c r="D97" s="69" t="s">
        <v>180</v>
      </c>
      <c r="E97" s="69" t="s">
        <v>984</v>
      </c>
      <c r="F97" s="69"/>
      <c r="G97" s="267">
        <f>'Indoor Backup Calcs'!AB99</f>
        <v>3.5179332142366362E-2</v>
      </c>
      <c r="H97" s="69"/>
      <c r="I97" s="69" t="s">
        <v>992</v>
      </c>
      <c r="J97" s="69" t="s">
        <v>993</v>
      </c>
      <c r="K97" s="267">
        <f t="shared" ref="K97:K104" si="12">G97</f>
        <v>3.5179332142366362E-2</v>
      </c>
      <c r="L97" s="69" t="str">
        <f>I97</f>
        <v>of usable grow area</v>
      </c>
      <c r="M97" s="69"/>
      <c r="N97" s="69"/>
      <c r="O97" s="69"/>
      <c r="P97" s="69"/>
      <c r="Q97" s="69"/>
      <c r="T97" s="31"/>
    </row>
    <row r="98" spans="1:20" x14ac:dyDescent="0.25">
      <c r="A98" s="200">
        <v>92</v>
      </c>
      <c r="B98" s="191" t="s">
        <v>1700</v>
      </c>
      <c r="C98" s="69" t="s">
        <v>197</v>
      </c>
      <c r="D98" s="69" t="s">
        <v>180</v>
      </c>
      <c r="E98" s="69" t="s">
        <v>985</v>
      </c>
      <c r="F98" s="69"/>
      <c r="G98" s="267">
        <f>'Indoor Backup Calcs'!AB100</f>
        <v>0.2253675965370345</v>
      </c>
      <c r="H98" s="69"/>
      <c r="I98" s="69" t="s">
        <v>992</v>
      </c>
      <c r="J98" s="69" t="s">
        <v>993</v>
      </c>
      <c r="K98" s="267">
        <f t="shared" si="12"/>
        <v>0.2253675965370345</v>
      </c>
      <c r="L98" s="69" t="str">
        <f t="shared" ref="L98:L100" si="13">I98</f>
        <v>of usable grow area</v>
      </c>
      <c r="M98" s="69"/>
      <c r="N98" s="69"/>
      <c r="O98" s="69"/>
      <c r="P98" s="69"/>
      <c r="Q98" s="69"/>
      <c r="T98" s="31"/>
    </row>
    <row r="99" spans="1:20" x14ac:dyDescent="0.25">
      <c r="A99" s="454">
        <v>93</v>
      </c>
      <c r="B99" s="200" t="s">
        <v>1701</v>
      </c>
      <c r="C99" s="69" t="s">
        <v>197</v>
      </c>
      <c r="D99" s="69" t="s">
        <v>180</v>
      </c>
      <c r="E99" s="69" t="s">
        <v>986</v>
      </c>
      <c r="F99" s="69"/>
      <c r="G99" s="267">
        <f>'Indoor Backup Calcs'!AB101</f>
        <v>0.66112408959736157</v>
      </c>
      <c r="H99" s="69"/>
      <c r="I99" s="69" t="s">
        <v>992</v>
      </c>
      <c r="J99" s="69" t="s">
        <v>993</v>
      </c>
      <c r="K99" s="267">
        <f t="shared" si="12"/>
        <v>0.66112408959736157</v>
      </c>
      <c r="L99" s="69" t="str">
        <f t="shared" si="13"/>
        <v>of usable grow area</v>
      </c>
      <c r="M99" s="69"/>
      <c r="N99" s="69"/>
      <c r="O99" s="69"/>
      <c r="P99" s="69"/>
      <c r="Q99" s="69"/>
      <c r="T99" s="31"/>
    </row>
    <row r="100" spans="1:20" x14ac:dyDescent="0.25">
      <c r="A100" s="454">
        <v>94</v>
      </c>
      <c r="B100" s="200" t="s">
        <v>1702</v>
      </c>
      <c r="C100" s="69" t="s">
        <v>197</v>
      </c>
      <c r="D100" s="69" t="s">
        <v>180</v>
      </c>
      <c r="E100" s="69" t="s">
        <v>991</v>
      </c>
      <c r="F100" s="69"/>
      <c r="G100" s="276">
        <f>'Indoor Backup Calcs'!AB102</f>
        <v>7.8328981723237587E-2</v>
      </c>
      <c r="H100" s="69"/>
      <c r="I100" s="69" t="s">
        <v>992</v>
      </c>
      <c r="J100" s="69" t="s">
        <v>993</v>
      </c>
      <c r="K100" s="267">
        <f t="shared" si="12"/>
        <v>7.8328981723237587E-2</v>
      </c>
      <c r="L100" s="69" t="str">
        <f t="shared" si="13"/>
        <v>of usable grow area</v>
      </c>
      <c r="M100" s="69"/>
      <c r="N100" s="69"/>
      <c r="O100" s="69"/>
      <c r="P100" s="69"/>
      <c r="Q100" s="69"/>
      <c r="T100" s="31"/>
    </row>
    <row r="101" spans="1:20" x14ac:dyDescent="0.25">
      <c r="A101" s="200">
        <v>95</v>
      </c>
      <c r="B101" s="200" t="s">
        <v>1719</v>
      </c>
      <c r="C101" s="69" t="s">
        <v>197</v>
      </c>
      <c r="D101" s="69" t="s">
        <v>180</v>
      </c>
      <c r="E101" s="69" t="s">
        <v>1041</v>
      </c>
      <c r="F101" s="69"/>
      <c r="G101" s="69">
        <f>SUM(G50:G52)*G29</f>
        <v>114.00726392251818</v>
      </c>
      <c r="H101" s="69"/>
      <c r="I101" s="69" t="s">
        <v>533</v>
      </c>
      <c r="J101" s="69" t="s">
        <v>882</v>
      </c>
      <c r="K101" s="69">
        <f t="shared" si="12"/>
        <v>114.00726392251818</v>
      </c>
      <c r="L101" s="69" t="str">
        <f t="shared" ref="L101:L104" si="14">I101</f>
        <v>weeks/year</v>
      </c>
      <c r="M101" s="69"/>
      <c r="N101" s="69"/>
      <c r="O101" s="361"/>
      <c r="P101" s="69"/>
      <c r="Q101" s="69"/>
      <c r="T101" s="31"/>
    </row>
    <row r="102" spans="1:20" x14ac:dyDescent="0.25">
      <c r="A102" s="454">
        <v>96</v>
      </c>
      <c r="B102" s="200" t="s">
        <v>1694</v>
      </c>
      <c r="C102" s="89" t="s">
        <v>197</v>
      </c>
      <c r="D102" s="89" t="s">
        <v>180</v>
      </c>
      <c r="E102" s="89" t="s">
        <v>1058</v>
      </c>
      <c r="F102" s="69">
        <v>800</v>
      </c>
      <c r="G102" s="69">
        <v>700</v>
      </c>
      <c r="H102" s="69">
        <v>600</v>
      </c>
      <c r="I102" s="89" t="s">
        <v>606</v>
      </c>
      <c r="J102" s="89" t="s">
        <v>1060</v>
      </c>
      <c r="K102" s="69">
        <f t="shared" si="12"/>
        <v>700</v>
      </c>
      <c r="L102" s="89" t="str">
        <f t="shared" si="14"/>
        <v>ppm</v>
      </c>
      <c r="M102" s="69"/>
      <c r="N102" s="69"/>
      <c r="T102" s="31"/>
    </row>
    <row r="103" spans="1:20" x14ac:dyDescent="0.25">
      <c r="A103" s="454">
        <v>97</v>
      </c>
      <c r="B103" s="200" t="s">
        <v>1695</v>
      </c>
      <c r="C103" s="89" t="s">
        <v>253</v>
      </c>
      <c r="D103" s="69" t="s">
        <v>180</v>
      </c>
      <c r="E103" s="89" t="s">
        <v>1059</v>
      </c>
      <c r="F103" s="69">
        <v>1600</v>
      </c>
      <c r="G103" s="69">
        <v>1400</v>
      </c>
      <c r="H103" s="69">
        <v>1200</v>
      </c>
      <c r="I103" s="89" t="s">
        <v>606</v>
      </c>
      <c r="J103" s="89" t="s">
        <v>1060</v>
      </c>
      <c r="K103" s="69">
        <f t="shared" si="12"/>
        <v>1400</v>
      </c>
      <c r="L103" s="89" t="str">
        <f t="shared" si="14"/>
        <v>ppm</v>
      </c>
      <c r="M103" s="69"/>
      <c r="N103" s="69"/>
      <c r="T103" s="31"/>
    </row>
    <row r="104" spans="1:20" x14ac:dyDescent="0.25">
      <c r="A104" s="454">
        <v>98</v>
      </c>
      <c r="B104" s="200" t="s">
        <v>1696</v>
      </c>
      <c r="C104" s="89" t="s">
        <v>253</v>
      </c>
      <c r="D104" s="89" t="s">
        <v>180</v>
      </c>
      <c r="E104" s="89" t="s">
        <v>1063</v>
      </c>
      <c r="F104" s="69"/>
      <c r="G104" s="89">
        <v>400</v>
      </c>
      <c r="H104" s="69"/>
      <c r="I104" s="89" t="s">
        <v>606</v>
      </c>
      <c r="J104" s="89" t="s">
        <v>1060</v>
      </c>
      <c r="K104" s="89">
        <f t="shared" si="12"/>
        <v>400</v>
      </c>
      <c r="L104" s="89" t="str">
        <f t="shared" si="14"/>
        <v>ppm</v>
      </c>
      <c r="M104" s="69"/>
      <c r="N104" s="69"/>
      <c r="T104" s="31"/>
    </row>
    <row r="105" spans="1:20" x14ac:dyDescent="0.25">
      <c r="A105" s="200">
        <v>99</v>
      </c>
      <c r="B105" s="200" t="s">
        <v>1721</v>
      </c>
      <c r="C105" s="89" t="s">
        <v>197</v>
      </c>
      <c r="D105" s="89" t="s">
        <v>180</v>
      </c>
      <c r="E105" s="98" t="s">
        <v>1079</v>
      </c>
      <c r="F105" s="69"/>
      <c r="G105" s="69">
        <f>((K10*G15/ft3_to_m3/hr_to_min)-261.41)/3826.9</f>
        <v>28.95877296911635</v>
      </c>
      <c r="H105" s="69"/>
      <c r="I105" s="69" t="s">
        <v>2088</v>
      </c>
      <c r="J105" s="69"/>
      <c r="K105" s="69">
        <f>G105*HP_to_kW*kW_to_W*day_to_hour*year_to_day</f>
        <v>189168319.34689373</v>
      </c>
      <c r="L105" s="69" t="s">
        <v>548</v>
      </c>
      <c r="M105" s="69" t="s">
        <v>1089</v>
      </c>
      <c r="N105" s="69"/>
      <c r="T105" s="31"/>
    </row>
    <row r="106" spans="1:20" s="31" customFormat="1" x14ac:dyDescent="0.25">
      <c r="A106" s="454">
        <v>100</v>
      </c>
      <c r="B106" s="200" t="s">
        <v>2094</v>
      </c>
      <c r="C106" s="89"/>
      <c r="D106" s="89"/>
      <c r="E106" s="98" t="s">
        <v>2093</v>
      </c>
      <c r="F106" s="69"/>
      <c r="G106" s="69">
        <f>G105</f>
        <v>28.95877296911635</v>
      </c>
      <c r="H106" s="69"/>
      <c r="I106" s="69" t="s">
        <v>2088</v>
      </c>
      <c r="J106" s="69"/>
      <c r="K106" s="69">
        <f>G106*HP_to_kW*kW_to_W*day_to_hour*year_to_day</f>
        <v>189168319.34689373</v>
      </c>
      <c r="L106" s="69" t="s">
        <v>548</v>
      </c>
      <c r="M106" s="69"/>
      <c r="N106" s="69"/>
    </row>
    <row r="107" spans="1:20" x14ac:dyDescent="0.25">
      <c r="A107" s="454">
        <v>101</v>
      </c>
      <c r="B107" s="200" t="s">
        <v>1722</v>
      </c>
      <c r="C107" s="89" t="s">
        <v>197</v>
      </c>
      <c r="D107" s="89" t="s">
        <v>180</v>
      </c>
      <c r="E107" s="98" t="s">
        <v>1135</v>
      </c>
      <c r="F107" s="69"/>
      <c r="G107" s="69">
        <f>'Fuel Economy'!AD4</f>
        <v>23.956897997214828</v>
      </c>
      <c r="H107" s="69"/>
      <c r="I107" s="89" t="s">
        <v>1136</v>
      </c>
      <c r="J107" s="89" t="s">
        <v>1137</v>
      </c>
      <c r="K107" s="89">
        <f>G107</f>
        <v>23.956897997214828</v>
      </c>
      <c r="L107" s="69" t="s">
        <v>1136</v>
      </c>
      <c r="M107" s="69"/>
      <c r="N107" s="69"/>
      <c r="T107" s="31"/>
    </row>
    <row r="108" spans="1:20" x14ac:dyDescent="0.25">
      <c r="A108" s="200">
        <v>102</v>
      </c>
      <c r="B108" s="200" t="s">
        <v>1723</v>
      </c>
      <c r="C108" s="89" t="s">
        <v>197</v>
      </c>
      <c r="D108" s="89" t="s">
        <v>180</v>
      </c>
      <c r="E108" s="99" t="s">
        <v>1138</v>
      </c>
      <c r="F108" s="69"/>
      <c r="G108" s="99">
        <f>1/30</f>
        <v>3.3333333333333333E-2</v>
      </c>
      <c r="H108" s="69"/>
      <c r="I108" s="89" t="s">
        <v>1139</v>
      </c>
      <c r="J108" s="69"/>
      <c r="K108" s="89">
        <f>G108*ft3_to_in3/(lbs_to_oz*ft3_to_m3*kg_to_lb)</f>
        <v>57.666631609797122</v>
      </c>
      <c r="L108" s="69" t="s">
        <v>568</v>
      </c>
      <c r="M108" s="69" t="s">
        <v>1149</v>
      </c>
      <c r="N108" s="69"/>
      <c r="T108" s="31"/>
    </row>
    <row r="109" spans="1:20" x14ac:dyDescent="0.25">
      <c r="A109" s="454">
        <v>103</v>
      </c>
      <c r="B109" s="200" t="s">
        <v>1724</v>
      </c>
      <c r="C109" s="89" t="s">
        <v>197</v>
      </c>
      <c r="D109" s="89" t="s">
        <v>180</v>
      </c>
      <c r="E109" s="69" t="s">
        <v>1153</v>
      </c>
      <c r="F109" s="69"/>
      <c r="G109" s="69">
        <f>Transportation!J161</f>
        <v>97.827477643123572</v>
      </c>
      <c r="H109" s="69"/>
      <c r="I109" s="89" t="s">
        <v>1152</v>
      </c>
      <c r="J109" s="89" t="s">
        <v>1097</v>
      </c>
      <c r="K109" s="69">
        <f t="shared" ref="K109:K111" si="15">G109</f>
        <v>97.827477643123572</v>
      </c>
      <c r="L109" s="69" t="str">
        <f>I109</f>
        <v>trips/yr</v>
      </c>
      <c r="M109" s="69"/>
      <c r="N109" s="69"/>
      <c r="T109" s="31"/>
    </row>
    <row r="110" spans="1:20" x14ac:dyDescent="0.25">
      <c r="A110" s="454">
        <v>104</v>
      </c>
      <c r="B110" s="200" t="s">
        <v>1692</v>
      </c>
      <c r="C110" s="89" t="s">
        <v>197</v>
      </c>
      <c r="D110" s="89" t="s">
        <v>180</v>
      </c>
      <c r="E110" s="69" t="s">
        <v>1252</v>
      </c>
      <c r="F110" s="99">
        <f>(75-32)*5/9</f>
        <v>23.888888888888889</v>
      </c>
      <c r="G110" s="99">
        <v>19.7222222222222</v>
      </c>
      <c r="H110" s="99">
        <f>(60-32)*5/9</f>
        <v>15.555555555555555</v>
      </c>
      <c r="I110" s="89" t="s">
        <v>1253</v>
      </c>
      <c r="J110" s="89" t="s">
        <v>1254</v>
      </c>
      <c r="K110" s="99">
        <f t="shared" si="15"/>
        <v>19.7222222222222</v>
      </c>
      <c r="L110" s="69" t="s">
        <v>1253</v>
      </c>
      <c r="M110" s="69"/>
      <c r="N110" s="69"/>
      <c r="T110" s="31"/>
    </row>
    <row r="111" spans="1:20" x14ac:dyDescent="0.25">
      <c r="A111" s="454">
        <v>105</v>
      </c>
      <c r="B111" s="200" t="s">
        <v>1691</v>
      </c>
      <c r="C111" s="89" t="s">
        <v>197</v>
      </c>
      <c r="D111" s="89" t="s">
        <v>180</v>
      </c>
      <c r="E111" s="69" t="s">
        <v>1258</v>
      </c>
      <c r="F111" s="69">
        <v>17.3</v>
      </c>
      <c r="G111" s="69">
        <v>16.3</v>
      </c>
      <c r="H111" s="69">
        <v>15.3</v>
      </c>
      <c r="I111" s="69" t="s">
        <v>1253</v>
      </c>
      <c r="J111" s="69" t="s">
        <v>1735</v>
      </c>
      <c r="K111" s="69">
        <f t="shared" si="15"/>
        <v>16.3</v>
      </c>
      <c r="L111" s="89" t="s">
        <v>1253</v>
      </c>
      <c r="M111" s="69"/>
      <c r="N111" s="69"/>
      <c r="T111" s="31"/>
    </row>
    <row r="112" spans="1:20" x14ac:dyDescent="0.25">
      <c r="A112" s="200">
        <v>106</v>
      </c>
      <c r="B112" s="200" t="s">
        <v>1873</v>
      </c>
      <c r="C112" s="89" t="s">
        <v>197</v>
      </c>
      <c r="D112" s="89" t="s">
        <v>180</v>
      </c>
      <c r="E112" s="89" t="s">
        <v>1872</v>
      </c>
      <c r="F112" s="69"/>
      <c r="G112" s="99">
        <f>402/52</f>
        <v>7.7307692307692308</v>
      </c>
      <c r="H112" s="69"/>
      <c r="I112" s="89" t="s">
        <v>1771</v>
      </c>
      <c r="J112" s="89" t="s">
        <v>1205</v>
      </c>
      <c r="K112" s="99">
        <f>G112*indoor_annual_bud_yield/kg_to_lb*kg_to_lb</f>
        <v>13022.548770563259</v>
      </c>
      <c r="L112" s="458" t="s">
        <v>1936</v>
      </c>
      <c r="M112" s="69" t="s">
        <v>1935</v>
      </c>
      <c r="N112" s="69"/>
      <c r="T112" s="31"/>
    </row>
    <row r="113" spans="1:20" s="31" customFormat="1" x14ac:dyDescent="0.25">
      <c r="A113" s="454">
        <v>107</v>
      </c>
      <c r="B113" s="200" t="s">
        <v>1879</v>
      </c>
      <c r="C113" s="89" t="s">
        <v>197</v>
      </c>
      <c r="D113" s="89" t="s">
        <v>180</v>
      </c>
      <c r="E113" s="89" t="s">
        <v>1874</v>
      </c>
      <c r="F113" s="69"/>
      <c r="G113" s="99">
        <f>16*oz_to_m3</f>
        <v>4.7318399999999997E-4</v>
      </c>
      <c r="H113" s="69"/>
      <c r="I113" s="89" t="s">
        <v>1910</v>
      </c>
      <c r="J113" s="89" t="s">
        <v>1911</v>
      </c>
      <c r="K113" s="99">
        <f>G113*K17*K29*prop_peat_density*2</f>
        <v>3908.7738859123851</v>
      </c>
      <c r="L113" s="458" t="s">
        <v>836</v>
      </c>
      <c r="M113" s="69" t="s">
        <v>1942</v>
      </c>
      <c r="N113" s="69"/>
    </row>
    <row r="114" spans="1:20" s="31" customFormat="1" x14ac:dyDescent="0.25">
      <c r="A114" s="454">
        <v>108</v>
      </c>
      <c r="B114" s="200" t="s">
        <v>1877</v>
      </c>
      <c r="C114" s="89" t="s">
        <v>197</v>
      </c>
      <c r="D114" s="89" t="s">
        <v>180</v>
      </c>
      <c r="E114" s="89" t="s">
        <v>1875</v>
      </c>
      <c r="F114" s="69"/>
      <c r="G114" s="99">
        <f>5*gal_to_m3</f>
        <v>1.8927050000000001E-2</v>
      </c>
      <c r="H114" s="69"/>
      <c r="I114" s="89" t="s">
        <v>1910</v>
      </c>
      <c r="J114" s="89" t="s">
        <v>1911</v>
      </c>
      <c r="K114" s="99">
        <f>G114*K17*K29*prop_peat_density*2</f>
        <v>156348.394656958</v>
      </c>
      <c r="L114" s="458" t="s">
        <v>836</v>
      </c>
      <c r="M114" s="69" t="s">
        <v>1942</v>
      </c>
      <c r="N114" s="69"/>
    </row>
    <row r="115" spans="1:20" s="31" customFormat="1" x14ac:dyDescent="0.25">
      <c r="A115" s="200">
        <v>109</v>
      </c>
      <c r="B115" s="200" t="s">
        <v>1878</v>
      </c>
      <c r="C115" s="89" t="s">
        <v>197</v>
      </c>
      <c r="D115" s="89" t="s">
        <v>180</v>
      </c>
      <c r="E115" s="89" t="s">
        <v>1876</v>
      </c>
      <c r="F115" s="69"/>
      <c r="G115" s="99">
        <f>7*gal_to_m3</f>
        <v>2.649787E-2</v>
      </c>
      <c r="H115" s="69"/>
      <c r="I115" s="89" t="s">
        <v>1910</v>
      </c>
      <c r="J115" s="89" t="s">
        <v>1911</v>
      </c>
      <c r="K115" s="99">
        <f>G115*K17*K29*prop_peat_density*2</f>
        <v>218887.75251974116</v>
      </c>
      <c r="L115" s="458" t="s">
        <v>836</v>
      </c>
      <c r="M115" s="69" t="s">
        <v>1942</v>
      </c>
      <c r="N115" s="69"/>
    </row>
    <row r="116" spans="1:20" x14ac:dyDescent="0.25">
      <c r="A116" s="454">
        <v>110</v>
      </c>
      <c r="B116" s="200" t="s">
        <v>1728</v>
      </c>
      <c r="C116" s="89" t="s">
        <v>197</v>
      </c>
      <c r="D116" s="89" t="s">
        <v>180</v>
      </c>
      <c r="E116" s="89" t="s">
        <v>1270</v>
      </c>
      <c r="F116" s="184">
        <v>0.5</v>
      </c>
      <c r="G116" s="184">
        <v>0.25</v>
      </c>
      <c r="H116" s="184">
        <v>0.1</v>
      </c>
      <c r="I116" s="89" t="s">
        <v>1271</v>
      </c>
      <c r="J116" s="89" t="s">
        <v>1272</v>
      </c>
      <c r="K116" s="363">
        <f>G116</f>
        <v>0.25</v>
      </c>
      <c r="L116" s="69" t="str">
        <f>I116</f>
        <v>% of grow volume</v>
      </c>
      <c r="M116" s="69"/>
      <c r="N116" s="69"/>
      <c r="T116" s="31"/>
    </row>
    <row r="117" spans="1:20" x14ac:dyDescent="0.25">
      <c r="A117" s="454">
        <v>111</v>
      </c>
      <c r="B117" s="200" t="s">
        <v>1727</v>
      </c>
      <c r="C117" s="89" t="s">
        <v>302</v>
      </c>
      <c r="D117" s="89" t="s">
        <v>180</v>
      </c>
      <c r="E117" s="89" t="s">
        <v>1519</v>
      </c>
      <c r="F117" s="69"/>
      <c r="G117" s="69">
        <f>G18*G8*G29*G99</f>
        <v>1684.5087961922623</v>
      </c>
      <c r="H117" s="69"/>
      <c r="I117" s="89" t="s">
        <v>1520</v>
      </c>
      <c r="J117" s="69"/>
      <c r="K117" s="69">
        <f>G117</f>
        <v>1684.5087961922623</v>
      </c>
      <c r="L117" s="69" t="s">
        <v>1520</v>
      </c>
      <c r="M117" s="69"/>
      <c r="N117" s="69"/>
      <c r="T117" s="31"/>
    </row>
    <row r="118" spans="1:20" x14ac:dyDescent="0.25">
      <c r="A118" s="454">
        <v>112</v>
      </c>
      <c r="B118" s="200" t="s">
        <v>1749</v>
      </c>
      <c r="C118" s="89" t="s">
        <v>197</v>
      </c>
      <c r="D118" s="89" t="s">
        <v>180</v>
      </c>
      <c r="E118" s="89" t="s">
        <v>1750</v>
      </c>
      <c r="F118" s="69"/>
      <c r="G118" s="69">
        <v>0.3</v>
      </c>
      <c r="H118" s="69"/>
      <c r="I118" s="98" t="s">
        <v>1751</v>
      </c>
      <c r="J118" s="89" t="s">
        <v>1753</v>
      </c>
      <c r="K118" s="69">
        <f>G118</f>
        <v>0.3</v>
      </c>
      <c r="L118" s="89" t="s">
        <v>1752</v>
      </c>
      <c r="M118" s="69"/>
      <c r="N118" s="69"/>
      <c r="T118" s="31"/>
    </row>
    <row r="119" spans="1:20" s="31" customFormat="1" x14ac:dyDescent="0.25">
      <c r="A119" s="454">
        <v>113</v>
      </c>
      <c r="B119" s="200" t="s">
        <v>2647</v>
      </c>
      <c r="C119" s="89"/>
      <c r="D119" s="89"/>
      <c r="E119" s="89" t="s">
        <v>2651</v>
      </c>
      <c r="F119" s="69"/>
      <c r="G119" s="388">
        <v>500</v>
      </c>
      <c r="H119" s="69"/>
      <c r="I119" s="98" t="s">
        <v>609</v>
      </c>
      <c r="J119" s="89" t="s">
        <v>1789</v>
      </c>
      <c r="K119" s="69">
        <f>G119*mi_to_km</f>
        <v>804.67</v>
      </c>
      <c r="L119" s="89" t="s">
        <v>2550</v>
      </c>
      <c r="M119" s="69"/>
      <c r="N119" s="69"/>
    </row>
    <row r="120" spans="1:20" s="31" customFormat="1" x14ac:dyDescent="0.25">
      <c r="A120" s="454">
        <v>114</v>
      </c>
      <c r="B120" s="200" t="s">
        <v>2648</v>
      </c>
      <c r="C120" s="89"/>
      <c r="D120" s="89"/>
      <c r="E120" s="89" t="s">
        <v>2650</v>
      </c>
      <c r="F120" s="69"/>
      <c r="G120" s="388">
        <v>50</v>
      </c>
      <c r="H120" s="69"/>
      <c r="I120" s="98" t="s">
        <v>609</v>
      </c>
      <c r="J120" s="89" t="s">
        <v>1789</v>
      </c>
      <c r="K120" s="69">
        <f>G120*mi_to_km</f>
        <v>80.466999999999999</v>
      </c>
      <c r="L120" s="89" t="s">
        <v>2550</v>
      </c>
      <c r="M120" s="69"/>
      <c r="N120" s="69"/>
    </row>
    <row r="121" spans="1:20" s="31" customFormat="1" x14ac:dyDescent="0.25">
      <c r="A121" s="454">
        <v>115</v>
      </c>
      <c r="B121" s="200" t="s">
        <v>2649</v>
      </c>
      <c r="C121" s="89"/>
      <c r="D121" s="89"/>
      <c r="E121" s="89" t="s">
        <v>2652</v>
      </c>
      <c r="F121" s="69"/>
      <c r="G121" s="388">
        <v>10</v>
      </c>
      <c r="H121" s="69"/>
      <c r="I121" s="98" t="s">
        <v>609</v>
      </c>
      <c r="J121" s="89" t="s">
        <v>1789</v>
      </c>
      <c r="K121" s="69">
        <f>G121*mi_to_km</f>
        <v>16.093399999999999</v>
      </c>
      <c r="L121" s="89" t="s">
        <v>2550</v>
      </c>
      <c r="M121" s="69"/>
      <c r="N121" s="69"/>
    </row>
    <row r="122" spans="1:20" s="31" customFormat="1" x14ac:dyDescent="0.25">
      <c r="A122" s="454">
        <v>116</v>
      </c>
      <c r="B122" s="200" t="s">
        <v>2698</v>
      </c>
      <c r="C122" s="89"/>
      <c r="D122" s="89"/>
      <c r="E122" s="89" t="s">
        <v>2699</v>
      </c>
      <c r="F122" s="69"/>
      <c r="G122" s="184">
        <v>0.5</v>
      </c>
      <c r="H122" s="69"/>
      <c r="I122" s="98" t="s">
        <v>2670</v>
      </c>
      <c r="J122" s="89" t="s">
        <v>2166</v>
      </c>
      <c r="K122" s="184">
        <f>G122</f>
        <v>0.5</v>
      </c>
      <c r="L122" s="89" t="s">
        <v>2670</v>
      </c>
      <c r="M122" s="69"/>
      <c r="N122" s="69"/>
    </row>
    <row r="123" spans="1:20" s="31" customFormat="1" x14ac:dyDescent="0.25">
      <c r="A123" s="454">
        <v>117</v>
      </c>
      <c r="B123" s="200" t="s">
        <v>2663</v>
      </c>
      <c r="C123" s="89"/>
      <c r="D123" s="89"/>
      <c r="E123" s="89" t="s">
        <v>2665</v>
      </c>
      <c r="F123" s="69"/>
      <c r="G123" s="593">
        <f>'Indoor Raw Data'!E417</f>
        <v>7.3124999999999996E-2</v>
      </c>
      <c r="H123" s="69"/>
      <c r="I123" s="98" t="s">
        <v>2662</v>
      </c>
      <c r="J123" s="89" t="s">
        <v>2166</v>
      </c>
      <c r="K123" s="593">
        <f>G123</f>
        <v>7.3124999999999996E-2</v>
      </c>
      <c r="L123" s="674" t="str">
        <f>I123</f>
        <v>mass CH4 out per mass in</v>
      </c>
      <c r="M123" s="69"/>
      <c r="N123" s="69"/>
    </row>
    <row r="124" spans="1:20" s="31" customFormat="1" x14ac:dyDescent="0.25">
      <c r="A124" s="454">
        <v>118</v>
      </c>
      <c r="B124" s="200" t="s">
        <v>2664</v>
      </c>
      <c r="C124" s="89"/>
      <c r="D124" s="89"/>
      <c r="E124" s="89" t="s">
        <v>2705</v>
      </c>
      <c r="F124" s="69"/>
      <c r="G124" s="593">
        <f>'Indoor Raw Data'!E418</f>
        <v>6.9062499999999999E-2</v>
      </c>
      <c r="H124" s="69"/>
      <c r="I124" s="98" t="s">
        <v>2661</v>
      </c>
      <c r="J124" s="89" t="s">
        <v>2166</v>
      </c>
      <c r="K124" s="593">
        <f>G124</f>
        <v>6.9062499999999999E-2</v>
      </c>
      <c r="L124" s="674" t="str">
        <f>I124</f>
        <v>mass CO2 out per mass in</v>
      </c>
      <c r="M124" s="69"/>
      <c r="N124" s="69"/>
    </row>
    <row r="125" spans="1:20" s="31" customFormat="1" x14ac:dyDescent="0.25">
      <c r="A125" s="454">
        <v>119</v>
      </c>
      <c r="B125" s="200" t="s">
        <v>2666</v>
      </c>
      <c r="C125" s="89"/>
      <c r="D125" s="89"/>
      <c r="E125" s="89" t="s">
        <v>2667</v>
      </c>
      <c r="F125" s="69"/>
      <c r="G125" s="238">
        <v>25</v>
      </c>
      <c r="H125" s="69"/>
      <c r="I125" s="98" t="s">
        <v>609</v>
      </c>
      <c r="J125" s="89" t="s">
        <v>1789</v>
      </c>
      <c r="K125" s="238">
        <f>G125*mi_to_km</f>
        <v>40.233499999999999</v>
      </c>
      <c r="L125" s="674" t="s">
        <v>2550</v>
      </c>
      <c r="M125" s="69"/>
      <c r="N125" s="69"/>
    </row>
    <row r="126" spans="1:20" s="31" customFormat="1" x14ac:dyDescent="0.25">
      <c r="A126" s="454">
        <v>120</v>
      </c>
      <c r="B126" s="200" t="s">
        <v>2668</v>
      </c>
      <c r="C126" s="89"/>
      <c r="D126" s="89"/>
      <c r="E126" s="89" t="s">
        <v>2669</v>
      </c>
      <c r="F126" s="69"/>
      <c r="G126" s="238">
        <f>SUM(Transportation!E3:E11)</f>
        <v>1375.1870255395909</v>
      </c>
      <c r="H126" s="69"/>
      <c r="I126" s="98" t="s">
        <v>2628</v>
      </c>
      <c r="J126" s="89" t="s">
        <v>2166</v>
      </c>
      <c r="K126" s="238">
        <f>G126</f>
        <v>1375.1870255395909</v>
      </c>
      <c r="L126" s="674" t="s">
        <v>2628</v>
      </c>
      <c r="M126" s="69"/>
      <c r="N126" s="69"/>
    </row>
    <row r="127" spans="1:20" s="31" customFormat="1" x14ac:dyDescent="0.25">
      <c r="A127" s="454">
        <v>121</v>
      </c>
      <c r="B127" s="200" t="s">
        <v>2700</v>
      </c>
      <c r="C127" s="89"/>
      <c r="D127" s="89"/>
      <c r="E127" s="89" t="s">
        <v>2702</v>
      </c>
      <c r="F127" s="69"/>
      <c r="G127" s="593">
        <f>'Indoor Raw Data'!B429</f>
        <v>1.0883489225330734E-3</v>
      </c>
      <c r="H127" s="69"/>
      <c r="I127" s="98" t="s">
        <v>2786</v>
      </c>
      <c r="J127" s="89" t="s">
        <v>2166</v>
      </c>
      <c r="K127" s="593">
        <f>G127</f>
        <v>1.0883489225330734E-3</v>
      </c>
      <c r="L127" s="674" t="str">
        <f>I127</f>
        <v>mass CO2-eq per mass product</v>
      </c>
      <c r="M127" s="69"/>
      <c r="N127" s="69"/>
    </row>
    <row r="128" spans="1:20" s="31" customFormat="1" x14ac:dyDescent="0.25">
      <c r="A128" s="454">
        <v>122</v>
      </c>
      <c r="B128" s="200" t="s">
        <v>2701</v>
      </c>
      <c r="C128" s="89"/>
      <c r="D128" s="89"/>
      <c r="E128" s="89" t="s">
        <v>2703</v>
      </c>
      <c r="F128" s="69"/>
      <c r="G128" s="593">
        <f>'Indoor Raw Data'!B437</f>
        <v>0.51832617435637607</v>
      </c>
      <c r="H128" s="69"/>
      <c r="I128" s="98" t="s">
        <v>2704</v>
      </c>
      <c r="J128" s="89" t="s">
        <v>2166</v>
      </c>
      <c r="K128" s="593">
        <f>G128</f>
        <v>0.51832617435637607</v>
      </c>
      <c r="L128" s="674" t="str">
        <f>I128</f>
        <v>% sequestered CO2e</v>
      </c>
      <c r="M128" s="69"/>
      <c r="N128" s="69"/>
    </row>
    <row r="129" spans="1:14" s="31" customFormat="1" x14ac:dyDescent="0.25">
      <c r="A129" s="660"/>
      <c r="B129" s="661"/>
      <c r="C129" s="148"/>
      <c r="D129" s="148"/>
      <c r="E129" s="659"/>
      <c r="F129" s="53"/>
      <c r="G129" s="672"/>
      <c r="H129" s="53"/>
      <c r="J129" s="148"/>
      <c r="K129" s="672"/>
      <c r="L129" s="673"/>
      <c r="M129" s="53"/>
      <c r="N129" s="53"/>
    </row>
    <row r="130" spans="1:14" s="31" customFormat="1" x14ac:dyDescent="0.25">
      <c r="A130" s="660"/>
      <c r="B130" s="661"/>
      <c r="C130" s="148"/>
      <c r="D130" s="148"/>
      <c r="E130" s="659"/>
      <c r="F130" s="53"/>
      <c r="G130" s="672"/>
      <c r="H130" s="53"/>
      <c r="I130" s="662"/>
      <c r="J130" s="148"/>
      <c r="K130" s="672"/>
      <c r="L130" s="673"/>
      <c r="M130" s="53"/>
      <c r="N130" s="53"/>
    </row>
    <row r="131" spans="1:14" s="535" customFormat="1" x14ac:dyDescent="0.25">
      <c r="B131" s="584" t="s">
        <v>2382</v>
      </c>
      <c r="E131" s="585" t="s">
        <v>2380</v>
      </c>
      <c r="G131" s="535">
        <v>1</v>
      </c>
      <c r="I131" s="585" t="s">
        <v>2377</v>
      </c>
      <c r="J131" s="535" t="s">
        <v>1451</v>
      </c>
      <c r="K131" s="535">
        <f>G131*K17</f>
        <v>1669.0896233712692</v>
      </c>
      <c r="L131" s="585" t="s">
        <v>2385</v>
      </c>
      <c r="M131" s="535" t="s">
        <v>2378</v>
      </c>
    </row>
    <row r="132" spans="1:14" s="535" customFormat="1" x14ac:dyDescent="0.25">
      <c r="B132" s="586" t="s">
        <v>2381</v>
      </c>
      <c r="E132" s="585" t="s">
        <v>2379</v>
      </c>
      <c r="G132" s="535">
        <v>1</v>
      </c>
      <c r="I132" s="585" t="s">
        <v>2383</v>
      </c>
      <c r="J132" s="535" t="s">
        <v>1451</v>
      </c>
      <c r="K132" s="535">
        <f>G132*K17*K29</f>
        <v>10325.723941195141</v>
      </c>
      <c r="L132" s="587" t="s">
        <v>2384</v>
      </c>
    </row>
    <row r="133" spans="1:14" s="535" customFormat="1" x14ac:dyDescent="0.25">
      <c r="B133" s="535" t="s">
        <v>2400</v>
      </c>
      <c r="E133" s="535" t="s">
        <v>2386</v>
      </c>
      <c r="G133" s="535">
        <f>200/1800</f>
        <v>0.1111111111111111</v>
      </c>
      <c r="I133" s="535" t="s">
        <v>2388</v>
      </c>
      <c r="J133" s="535" t="s">
        <v>1451</v>
      </c>
      <c r="K133" s="535">
        <f>G133*K29*K17*feet_to_meters</f>
        <v>349.69785080847544</v>
      </c>
      <c r="L133" s="535" t="s">
        <v>2392</v>
      </c>
      <c r="N133" s="282" t="s">
        <v>2395</v>
      </c>
    </row>
    <row r="134" spans="1:14" s="157" customFormat="1" x14ac:dyDescent="0.25">
      <c r="B134" s="157" t="s">
        <v>2401</v>
      </c>
      <c r="E134" s="157" t="s">
        <v>2387</v>
      </c>
      <c r="G134" s="157">
        <f>9.36/750*G8*m2_to_ft2</f>
        <v>126.02922100363634</v>
      </c>
      <c r="I134" s="157" t="s">
        <v>2406</v>
      </c>
      <c r="J134" s="157" t="s">
        <v>1451</v>
      </c>
      <c r="K134" s="157">
        <f>G134*K29/kg_to_lb</f>
        <v>353.65382670450043</v>
      </c>
      <c r="L134" s="157" t="s">
        <v>331</v>
      </c>
      <c r="M134" s="157" t="s">
        <v>2391</v>
      </c>
      <c r="N134" s="588" t="s">
        <v>2394</v>
      </c>
    </row>
    <row r="135" spans="1:14" s="157" customFormat="1" x14ac:dyDescent="0.25">
      <c r="B135" s="157" t="s">
        <v>2402</v>
      </c>
      <c r="E135" s="157" t="s">
        <v>2389</v>
      </c>
      <c r="G135" s="157">
        <f>1.2/1000</f>
        <v>1.1999999999999999E-3</v>
      </c>
      <c r="I135" s="157" t="s">
        <v>2396</v>
      </c>
      <c r="J135" s="157" t="s">
        <v>1451</v>
      </c>
      <c r="K135" s="157">
        <f>G135*K29*K17/kg_to_lb</f>
        <v>5.6204101974191332</v>
      </c>
      <c r="L135" s="157" t="s">
        <v>2397</v>
      </c>
      <c r="M135" s="157" t="s">
        <v>2399</v>
      </c>
      <c r="N135" s="588" t="s">
        <v>2393</v>
      </c>
    </row>
    <row r="136" spans="1:14" s="157" customFormat="1" x14ac:dyDescent="0.25">
      <c r="B136" s="157" t="s">
        <v>2403</v>
      </c>
      <c r="E136" s="157" t="s">
        <v>2390</v>
      </c>
      <c r="G136" s="157">
        <v>4</v>
      </c>
      <c r="I136" s="157" t="s">
        <v>2407</v>
      </c>
      <c r="J136" s="157" t="s">
        <v>2408</v>
      </c>
      <c r="K136" s="157">
        <f>G136*(G99+G98)*G8*m2_to_ft2/16*7.95/kg_to_lb</f>
        <v>8070.5796473808205</v>
      </c>
      <c r="L136" s="157" t="s">
        <v>2398</v>
      </c>
      <c r="M136" s="157" t="s">
        <v>2409</v>
      </c>
    </row>
    <row r="137" spans="1:14" s="535" customFormat="1" x14ac:dyDescent="0.25">
      <c r="E137" s="535" t="s">
        <v>2404</v>
      </c>
    </row>
    <row r="138" spans="1:14" x14ac:dyDescent="0.25">
      <c r="E138" s="535" t="s">
        <v>2405</v>
      </c>
      <c r="G138">
        <f>6675.27/21.03*50</f>
        <v>15870.827389443653</v>
      </c>
    </row>
    <row r="142" spans="1:14" x14ac:dyDescent="0.25">
      <c r="G142">
        <f>G117/G17/G29</f>
        <v>0.16313711327026728</v>
      </c>
    </row>
    <row r="143" spans="1:14" x14ac:dyDescent="0.25">
      <c r="G143">
        <f>G142*kg_to_lb</f>
        <v>0.35965534265789662</v>
      </c>
      <c r="H143" t="s">
        <v>1006</v>
      </c>
      <c r="I143" t="s">
        <v>2865</v>
      </c>
      <c r="J143" t="s">
        <v>1032</v>
      </c>
    </row>
    <row r="144" spans="1:14" x14ac:dyDescent="0.25">
      <c r="G144">
        <f>G143*lbs_to_oz</f>
        <v>5.7544854825263458</v>
      </c>
      <c r="H144" t="s">
        <v>1032</v>
      </c>
      <c r="I144" t="s">
        <v>2062</v>
      </c>
      <c r="J144" t="s">
        <v>1212</v>
      </c>
      <c r="L144" s="53"/>
      <c r="M144" s="53"/>
    </row>
    <row r="145" spans="7:13" x14ac:dyDescent="0.25">
      <c r="L145" s="53"/>
      <c r="M145" s="53"/>
    </row>
    <row r="146" spans="7:13" x14ac:dyDescent="0.25">
      <c r="J146" s="32"/>
      <c r="L146" s="53"/>
      <c r="M146" s="53"/>
    </row>
    <row r="147" spans="7:13" x14ac:dyDescent="0.25">
      <c r="G147">
        <f>G143*lbs_to_grams</f>
        <v>163.13318963345407</v>
      </c>
      <c r="H147" t="s">
        <v>1865</v>
      </c>
      <c r="L147" s="53"/>
      <c r="M147" s="53"/>
    </row>
    <row r="148" spans="7:13" x14ac:dyDescent="0.25">
      <c r="G148">
        <f>G147*G16</f>
        <v>438.98733497388406</v>
      </c>
      <c r="H148" t="s">
        <v>2866</v>
      </c>
      <c r="L148" s="53"/>
      <c r="M148" s="53"/>
    </row>
    <row r="149" spans="7:13" x14ac:dyDescent="0.25">
      <c r="G149">
        <f>G148/m2_to_ft2</f>
        <v>40.783297408363516</v>
      </c>
      <c r="H149" t="s">
        <v>2867</v>
      </c>
      <c r="L149" s="53"/>
      <c r="M149" s="53"/>
    </row>
    <row r="150" spans="7:13" x14ac:dyDescent="0.25">
      <c r="L150" s="53"/>
      <c r="M150" s="53"/>
    </row>
    <row r="151" spans="7:13" x14ac:dyDescent="0.25">
      <c r="L151" s="53"/>
      <c r="M151" s="53"/>
    </row>
    <row r="152" spans="7:13" x14ac:dyDescent="0.25">
      <c r="L152" s="53"/>
      <c r="M152" s="53"/>
    </row>
    <row r="153" spans="7:13" x14ac:dyDescent="0.25">
      <c r="L153" s="53"/>
      <c r="M153" s="53"/>
    </row>
    <row r="154" spans="7:13" x14ac:dyDescent="0.25">
      <c r="L154" s="53"/>
      <c r="M154" s="53"/>
    </row>
    <row r="155" spans="7:13" x14ac:dyDescent="0.25">
      <c r="L155" s="53"/>
      <c r="M155" s="53"/>
    </row>
    <row r="156" spans="7:13" x14ac:dyDescent="0.25">
      <c r="L156" s="53"/>
      <c r="M156" s="53"/>
    </row>
    <row r="157" spans="7:13" x14ac:dyDescent="0.25">
      <c r="L157" s="53"/>
      <c r="M157" s="53"/>
    </row>
    <row r="158" spans="7:13" x14ac:dyDescent="0.25">
      <c r="L158" s="53"/>
      <c r="M158" s="53"/>
    </row>
    <row r="159" spans="7:13" x14ac:dyDescent="0.25">
      <c r="L159" s="53"/>
      <c r="M159" s="53"/>
    </row>
    <row r="160" spans="7:13" x14ac:dyDescent="0.25">
      <c r="L160" s="53"/>
      <c r="M160" s="53"/>
    </row>
    <row r="161" spans="12:13" x14ac:dyDescent="0.25">
      <c r="L161" s="53"/>
      <c r="M161" s="53"/>
    </row>
    <row r="162" spans="12:13" x14ac:dyDescent="0.25">
      <c r="L162" s="53"/>
      <c r="M162" s="53"/>
    </row>
  </sheetData>
  <autoFilter ref="C5:S91"/>
  <dataValidations count="1">
    <dataValidation type="list" allowBlank="1" showInputMessage="1" showErrorMessage="1" sqref="B2">
      <formula1>"N = 10: LED Lights &amp; scaler, N=10: LED Lights &amp; no scaler, N = 30: LED Lights &amp; no scaler,N =30: HPS Lights &amp; no scaler,N=30: HPS Lights &amp; no scaler (Gradshowcase)"</formula1>
    </dataValidation>
  </dataValidations>
  <hyperlinks>
    <hyperlink ref="N135" r:id="rId1"/>
    <hyperlink ref="N134" r:id="rId2" display="https://growgen.pro/grower-s-edge-soft-mesh-trellis-netting-bulk-roll-5-ft-x-750-ft-w-6-in-squares.html?fee=15&amp;fep=17841&amp;utm_source=google-feed&amp;utm_medium=shopping%20feed&amp;utm_campaign=SCFeed&amp;utm_source=google&amp;utm_medium=cpc&amp;adpos=1o1&amp;scid=scplp740127&amp;sc_intid=740127&amp;gclid=EAIaIQobChMIwc3Eks_v5gIVxp6zCh10UAdBEAkYASABEgKp7PD_BwE"/>
    <hyperlink ref="N133" r:id="rId3" display="https://www.amazon.com/Zenport-ZL0014-Tapener-0-5-Inch-200-Feet/dp/B00G514B2Q/ref=pd_bxgy_86_img_2/140-9247318-6055757?_encoding=UTF8&amp;pd_rd_i=B00G514B2Q&amp;pd_rd_r=6902b928-b029-48b0-9beb-e89d2666e60f&amp;pd_rd_w=6PL1Z&amp;pd_rd_wg=738NV&amp;pf_rd_p=09627863-9889-4290-b90a-5e9f86682449&amp;pf_rd_r=V18ENE65K2K35AHRVM4R&amp;psc=1&amp;refRID=V18ENE65K2K35AHRVM4R"/>
  </hyperlinks>
  <pageMargins left="0.7" right="0.7" top="0.75" bottom="0.75" header="0.3" footer="0.3"/>
  <pageSetup orientation="portrait" horizontalDpi="1200" verticalDpi="1200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E64CB30A-A0DC-4248-ABB2-6D6F22B5986D}">
            <xm:f>C5&lt;&gt;'T:\SBAR\Baseline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M7:Q7 C5:Q5 C7 E7 M49:Q49 C49:J49 M15:Q17 C15:E17 G7:J7 G15:J17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9" tint="-0.249977111117893"/>
  </sheetPr>
  <dimension ref="A1:Q43"/>
  <sheetViews>
    <sheetView workbookViewId="0">
      <selection activeCell="A8" sqref="A8:XFD8"/>
    </sheetView>
  </sheetViews>
  <sheetFormatPr defaultRowHeight="15" x14ac:dyDescent="0.25"/>
  <cols>
    <col min="1" max="1" width="13.85546875" style="31" bestFit="1" customWidth="1"/>
    <col min="2" max="2" width="10.28515625" customWidth="1"/>
    <col min="3" max="3" width="18.5703125" customWidth="1"/>
    <col min="4" max="4" width="26.85546875" bestFit="1" customWidth="1"/>
    <col min="5" max="5" width="9.28515625" customWidth="1"/>
    <col min="6" max="6" width="12" bestFit="1" customWidth="1"/>
    <col min="7" max="7" width="9.28515625" customWidth="1"/>
    <col min="8" max="8" width="21" bestFit="1" customWidth="1"/>
    <col min="9" max="9" width="15.140625" bestFit="1" customWidth="1"/>
    <col min="10" max="10" width="11.85546875" bestFit="1" customWidth="1"/>
    <col min="11" max="11" width="21" bestFit="1" customWidth="1"/>
    <col min="12" max="12" width="54.140625" bestFit="1" customWidth="1"/>
    <col min="13" max="13" width="12.42578125" customWidth="1"/>
    <col min="14" max="14" width="12" customWidth="1"/>
    <col min="15" max="15" width="11.140625" customWidth="1"/>
    <col min="16" max="17" width="9.28515625" customWidth="1"/>
  </cols>
  <sheetData>
    <row r="1" spans="1:17" s="31" customFormat="1" x14ac:dyDescent="0.25">
      <c r="E1" s="210"/>
      <c r="F1" s="31" t="s">
        <v>612</v>
      </c>
    </row>
    <row r="2" spans="1:17" s="31" customFormat="1" x14ac:dyDescent="0.25">
      <c r="E2" s="211"/>
      <c r="F2" s="31" t="s">
        <v>611</v>
      </c>
    </row>
    <row r="3" spans="1:17" s="31" customFormat="1" x14ac:dyDescent="0.25">
      <c r="E3" s="212"/>
      <c r="F3" s="31" t="s">
        <v>613</v>
      </c>
    </row>
    <row r="4" spans="1:17" s="31" customFormat="1" x14ac:dyDescent="0.25"/>
    <row r="5" spans="1:17" s="85" customFormat="1" x14ac:dyDescent="0.25">
      <c r="A5" s="198" t="s">
        <v>594</v>
      </c>
      <c r="B5" s="87" t="s">
        <v>114</v>
      </c>
      <c r="C5" s="87" t="s">
        <v>189</v>
      </c>
      <c r="D5" s="87" t="s">
        <v>190</v>
      </c>
      <c r="E5" s="87" t="s">
        <v>305</v>
      </c>
      <c r="F5" s="95" t="s">
        <v>116</v>
      </c>
      <c r="G5" s="96" t="s">
        <v>304</v>
      </c>
      <c r="H5" s="87" t="s">
        <v>194</v>
      </c>
      <c r="I5" s="87" t="s">
        <v>195</v>
      </c>
      <c r="J5" s="87" t="s">
        <v>420</v>
      </c>
      <c r="K5" s="87" t="s">
        <v>194</v>
      </c>
      <c r="L5" s="87" t="s">
        <v>196</v>
      </c>
      <c r="M5" s="94" t="s">
        <v>192</v>
      </c>
      <c r="N5" s="94" t="s">
        <v>116</v>
      </c>
      <c r="O5" s="94" t="s">
        <v>193</v>
      </c>
      <c r="P5" s="87" t="s">
        <v>191</v>
      </c>
      <c r="Q5" s="84"/>
    </row>
    <row r="6" spans="1:17" s="31" customFormat="1" x14ac:dyDescent="0.25">
      <c r="A6" s="191">
        <v>1</v>
      </c>
      <c r="B6" s="69" t="s">
        <v>197</v>
      </c>
      <c r="C6" s="69" t="s">
        <v>339</v>
      </c>
      <c r="D6" s="69" t="s">
        <v>415</v>
      </c>
      <c r="E6" s="69"/>
      <c r="F6" s="69">
        <v>50000</v>
      </c>
      <c r="G6" s="69"/>
      <c r="H6" s="69" t="s">
        <v>159</v>
      </c>
      <c r="I6" s="69" t="s">
        <v>414</v>
      </c>
      <c r="J6" s="88">
        <f>F6/m2_to_ft2</f>
        <v>4645.1564953223278</v>
      </c>
      <c r="K6" s="69" t="s">
        <v>157</v>
      </c>
      <c r="L6" s="69" t="s">
        <v>617</v>
      </c>
      <c r="M6" s="69"/>
      <c r="N6" s="69"/>
      <c r="O6" s="69"/>
      <c r="P6" s="69"/>
    </row>
    <row r="7" spans="1:17" s="146" customFormat="1" x14ac:dyDescent="0.25">
      <c r="A7" s="202">
        <v>2</v>
      </c>
      <c r="B7" s="144" t="s">
        <v>197</v>
      </c>
      <c r="C7" s="69" t="s">
        <v>532</v>
      </c>
      <c r="D7" s="144" t="s">
        <v>314</v>
      </c>
      <c r="E7" s="144"/>
      <c r="F7" s="147">
        <f>'Indoor Raw Data'!C124</f>
        <v>0.68181818181818177</v>
      </c>
      <c r="G7" s="147"/>
      <c r="H7" s="147" t="s">
        <v>315</v>
      </c>
      <c r="I7" s="144" t="s">
        <v>317</v>
      </c>
      <c r="J7" s="88">
        <f>F7</f>
        <v>0.68181818181818177</v>
      </c>
      <c r="K7" s="69" t="str">
        <f>H7</f>
        <v>m^2-grow/m^2-greenhouse</v>
      </c>
      <c r="L7" s="144" t="s">
        <v>617</v>
      </c>
      <c r="M7" s="144"/>
      <c r="N7" s="144"/>
      <c r="O7" s="144"/>
      <c r="P7" s="144"/>
      <c r="Q7" s="145"/>
    </row>
    <row r="8" spans="1:17" s="31" customFormat="1" x14ac:dyDescent="0.25">
      <c r="A8" s="191">
        <v>3</v>
      </c>
      <c r="B8" s="69" t="s">
        <v>253</v>
      </c>
      <c r="C8" s="69" t="s">
        <v>532</v>
      </c>
      <c r="D8" s="69" t="s">
        <v>416</v>
      </c>
      <c r="E8" s="69"/>
      <c r="F8" s="69">
        <f>F7*F6/m2_to_ft2</f>
        <v>3167.1521559015869</v>
      </c>
      <c r="G8" s="69"/>
      <c r="H8" s="69" t="s">
        <v>417</v>
      </c>
      <c r="I8" s="69"/>
      <c r="J8" s="88">
        <f>F8</f>
        <v>3167.1521559015869</v>
      </c>
      <c r="K8" s="69" t="s">
        <v>417</v>
      </c>
      <c r="L8" s="69" t="s">
        <v>617</v>
      </c>
      <c r="M8" s="69"/>
      <c r="N8" s="69"/>
      <c r="O8" s="69"/>
      <c r="P8" s="69"/>
    </row>
    <row r="9" spans="1:17" s="31" customFormat="1" x14ac:dyDescent="0.25">
      <c r="A9" s="191">
        <v>4</v>
      </c>
      <c r="B9" s="69" t="s">
        <v>197</v>
      </c>
      <c r="C9" s="69" t="s">
        <v>204</v>
      </c>
      <c r="D9" s="69" t="s">
        <v>483</v>
      </c>
      <c r="E9" s="69"/>
      <c r="F9" s="69">
        <v>10</v>
      </c>
      <c r="G9" s="69"/>
      <c r="H9" s="69" t="s">
        <v>484</v>
      </c>
      <c r="I9" s="69"/>
      <c r="J9" s="88">
        <f>F9</f>
        <v>10</v>
      </c>
      <c r="K9" s="69" t="s">
        <v>484</v>
      </c>
      <c r="L9" s="69" t="s">
        <v>485</v>
      </c>
      <c r="M9" s="69"/>
      <c r="N9" s="69"/>
      <c r="O9" s="69"/>
      <c r="P9" s="69"/>
    </row>
    <row r="10" spans="1:17" s="31" customFormat="1" x14ac:dyDescent="0.25">
      <c r="A10" s="202">
        <v>5</v>
      </c>
      <c r="B10" s="69" t="s">
        <v>197</v>
      </c>
      <c r="C10" s="69" t="s">
        <v>204</v>
      </c>
      <c r="D10" s="69" t="s">
        <v>486</v>
      </c>
      <c r="E10" s="69"/>
      <c r="F10" s="69">
        <f>F8/F7/F9</f>
        <v>464.51564953223277</v>
      </c>
      <c r="G10" s="69"/>
      <c r="H10" s="69" t="s">
        <v>283</v>
      </c>
      <c r="I10" s="69"/>
      <c r="J10" s="88">
        <f>F10</f>
        <v>464.51564953223277</v>
      </c>
      <c r="K10" s="69" t="s">
        <v>283</v>
      </c>
      <c r="L10" s="69"/>
      <c r="M10" s="69"/>
      <c r="N10" s="69"/>
      <c r="O10" s="69"/>
      <c r="P10" s="69"/>
    </row>
    <row r="11" spans="1:17" s="31" customFormat="1" x14ac:dyDescent="0.25">
      <c r="A11" s="191">
        <v>6</v>
      </c>
      <c r="B11" s="69" t="s">
        <v>197</v>
      </c>
      <c r="C11" s="69" t="s">
        <v>204</v>
      </c>
      <c r="D11" s="69" t="s">
        <v>207</v>
      </c>
      <c r="E11" s="69"/>
      <c r="F11" s="69">
        <f>'Indoor Raw Data'!C65/km2_to_acre</f>
        <v>3642.176402743773</v>
      </c>
      <c r="G11" s="69"/>
      <c r="H11" s="69" t="s">
        <v>208</v>
      </c>
      <c r="I11" s="69" t="s">
        <v>202</v>
      </c>
      <c r="J11" s="88">
        <f>F11</f>
        <v>3642.176402743773</v>
      </c>
      <c r="K11" s="69" t="s">
        <v>208</v>
      </c>
      <c r="L11" s="69"/>
      <c r="M11" s="69"/>
      <c r="N11" s="69"/>
      <c r="O11" s="69"/>
      <c r="P11" s="69"/>
    </row>
    <row r="12" spans="1:17" s="31" customFormat="1" x14ac:dyDescent="0.25">
      <c r="A12" s="202">
        <v>8</v>
      </c>
      <c r="B12" s="150" t="s">
        <v>197</v>
      </c>
      <c r="C12" s="150" t="s">
        <v>204</v>
      </c>
      <c r="D12" s="150" t="s">
        <v>344</v>
      </c>
      <c r="E12" s="150"/>
      <c r="F12" s="150"/>
      <c r="G12" s="150"/>
      <c r="H12" s="150" t="s">
        <v>619</v>
      </c>
      <c r="I12" s="150"/>
      <c r="J12" s="151"/>
      <c r="K12" s="150" t="str">
        <f>H12</f>
        <v>kg/plant, kg/acre, kg/day</v>
      </c>
      <c r="L12" s="150" t="s">
        <v>620</v>
      </c>
      <c r="M12" s="69"/>
      <c r="N12" s="69"/>
      <c r="O12" s="69"/>
      <c r="P12" s="69"/>
    </row>
    <row r="13" spans="1:17" s="31" customFormat="1" x14ac:dyDescent="0.25">
      <c r="A13" s="191">
        <v>9</v>
      </c>
      <c r="B13" s="150" t="s">
        <v>197</v>
      </c>
      <c r="C13" s="150" t="s">
        <v>204</v>
      </c>
      <c r="D13" s="150" t="s">
        <v>788</v>
      </c>
      <c r="E13" s="150"/>
      <c r="F13" s="150"/>
      <c r="G13" s="150"/>
      <c r="H13" s="150" t="s">
        <v>619</v>
      </c>
      <c r="I13" s="150"/>
      <c r="J13" s="151"/>
      <c r="K13" s="150" t="str">
        <f>H13</f>
        <v>kg/plant, kg/acre, kg/day</v>
      </c>
      <c r="L13" s="150" t="s">
        <v>621</v>
      </c>
      <c r="M13" s="69"/>
      <c r="N13" s="69"/>
      <c r="O13" s="69"/>
      <c r="P13" s="69"/>
    </row>
    <row r="14" spans="1:17" s="31" customFormat="1" x14ac:dyDescent="0.25">
      <c r="A14" s="191">
        <v>10</v>
      </c>
      <c r="B14" s="150" t="s">
        <v>253</v>
      </c>
      <c r="C14" s="150" t="s">
        <v>204</v>
      </c>
      <c r="D14" s="150" t="s">
        <v>254</v>
      </c>
      <c r="E14" s="150"/>
      <c r="F14" s="150"/>
      <c r="G14" s="150"/>
      <c r="H14" s="150" t="s">
        <v>619</v>
      </c>
      <c r="I14" s="150"/>
      <c r="J14" s="151"/>
      <c r="K14" s="150" t="str">
        <f>H14</f>
        <v>kg/plant, kg/acre, kg/day</v>
      </c>
      <c r="L14" s="150" t="s">
        <v>622</v>
      </c>
      <c r="M14" s="69"/>
      <c r="N14" s="69"/>
      <c r="O14" s="69"/>
      <c r="P14" s="69"/>
    </row>
    <row r="15" spans="1:17" s="31" customFormat="1" x14ac:dyDescent="0.25">
      <c r="A15" s="202">
        <v>11</v>
      </c>
      <c r="B15" s="69" t="s">
        <v>253</v>
      </c>
      <c r="C15" s="69" t="s">
        <v>204</v>
      </c>
      <c r="D15" s="69" t="s">
        <v>275</v>
      </c>
      <c r="E15" s="69"/>
      <c r="F15" s="69">
        <v>1</v>
      </c>
      <c r="G15" s="69"/>
      <c r="H15" s="69" t="s">
        <v>276</v>
      </c>
      <c r="I15" s="69"/>
      <c r="J15" s="88">
        <f t="shared" ref="J15:J25" si="0">F15</f>
        <v>1</v>
      </c>
      <c r="K15" s="69" t="s">
        <v>276</v>
      </c>
      <c r="L15" s="69" t="s">
        <v>277</v>
      </c>
      <c r="M15" s="69"/>
      <c r="N15" s="69"/>
      <c r="O15" s="69"/>
      <c r="P15" s="69"/>
    </row>
    <row r="16" spans="1:17" s="31" customFormat="1" x14ac:dyDescent="0.25">
      <c r="A16" s="191">
        <v>12</v>
      </c>
      <c r="B16" s="69" t="s">
        <v>253</v>
      </c>
      <c r="C16" s="69" t="s">
        <v>204</v>
      </c>
      <c r="D16" s="69" t="s">
        <v>281</v>
      </c>
      <c r="E16" s="69"/>
      <c r="F16" s="99">
        <v>1257988.26806327</v>
      </c>
      <c r="G16" s="69"/>
      <c r="H16" s="69" t="s">
        <v>284</v>
      </c>
      <c r="I16" s="69" t="s">
        <v>394</v>
      </c>
      <c r="J16" s="88">
        <f t="shared" si="0"/>
        <v>1257988.26806327</v>
      </c>
      <c r="K16" s="69" t="s">
        <v>284</v>
      </c>
      <c r="L16" s="69" t="s">
        <v>338</v>
      </c>
      <c r="M16" s="69"/>
      <c r="N16" s="69"/>
      <c r="O16" s="69"/>
      <c r="P16" s="69"/>
    </row>
    <row r="17" spans="1:16" s="31" customFormat="1" x14ac:dyDescent="0.25">
      <c r="A17" s="191">
        <v>13</v>
      </c>
      <c r="B17" s="69" t="s">
        <v>197</v>
      </c>
      <c r="C17" s="69" t="s">
        <v>204</v>
      </c>
      <c r="D17" s="69" t="s">
        <v>282</v>
      </c>
      <c r="E17" s="69"/>
      <c r="F17" s="69">
        <v>295756.752682433</v>
      </c>
      <c r="G17" s="69"/>
      <c r="H17" s="69" t="s">
        <v>284</v>
      </c>
      <c r="I17" s="69" t="s">
        <v>394</v>
      </c>
      <c r="J17" s="88">
        <f t="shared" si="0"/>
        <v>295756.752682433</v>
      </c>
      <c r="K17" s="69" t="s">
        <v>284</v>
      </c>
      <c r="L17" s="69" t="s">
        <v>338</v>
      </c>
      <c r="M17" s="69"/>
      <c r="N17" s="69"/>
      <c r="O17" s="69"/>
      <c r="P17" s="69"/>
    </row>
    <row r="18" spans="1:16" x14ac:dyDescent="0.25">
      <c r="A18" s="202">
        <v>14</v>
      </c>
      <c r="B18" s="89" t="s">
        <v>197</v>
      </c>
      <c r="C18" s="69" t="s">
        <v>204</v>
      </c>
      <c r="D18" s="69" t="s">
        <v>406</v>
      </c>
      <c r="E18" s="69"/>
      <c r="F18" s="69" t="e">
        <f>'Indoor Inputs'!#REF!</f>
        <v>#REF!</v>
      </c>
      <c r="G18" s="69"/>
      <c r="H18" s="89" t="s">
        <v>533</v>
      </c>
      <c r="I18" s="69"/>
      <c r="J18" s="69" t="e">
        <f t="shared" si="0"/>
        <v>#REF!</v>
      </c>
      <c r="K18" s="69" t="str">
        <f t="shared" ref="K18:K23" si="1">H18</f>
        <v>weeks/year</v>
      </c>
      <c r="L18" s="69" t="s">
        <v>617</v>
      </c>
    </row>
    <row r="19" spans="1:16" x14ac:dyDescent="0.25">
      <c r="A19" s="191">
        <v>15</v>
      </c>
      <c r="B19" s="89" t="s">
        <v>197</v>
      </c>
      <c r="C19" s="69" t="s">
        <v>204</v>
      </c>
      <c r="D19" s="69" t="s">
        <v>340</v>
      </c>
      <c r="E19" s="69"/>
      <c r="F19" s="69">
        <f>'Indoor Inputs'!G50</f>
        <v>3.1428571428571428</v>
      </c>
      <c r="G19" s="69"/>
      <c r="H19" s="89" t="s">
        <v>533</v>
      </c>
      <c r="I19" s="69"/>
      <c r="J19" s="69">
        <f t="shared" si="0"/>
        <v>3.1428571428571428</v>
      </c>
      <c r="K19" s="69" t="str">
        <f t="shared" si="1"/>
        <v>weeks/year</v>
      </c>
      <c r="L19" s="69" t="s">
        <v>617</v>
      </c>
    </row>
    <row r="20" spans="1:16" x14ac:dyDescent="0.25">
      <c r="A20" s="191">
        <v>16</v>
      </c>
      <c r="B20" s="89" t="s">
        <v>197</v>
      </c>
      <c r="C20" s="69" t="s">
        <v>204</v>
      </c>
      <c r="D20" s="69" t="s">
        <v>265</v>
      </c>
      <c r="E20" s="69">
        <f>'Indoor Inputs'!F51</f>
        <v>8</v>
      </c>
      <c r="F20" s="69">
        <f>'Indoor Inputs'!G51</f>
        <v>7.1428571428571432</v>
      </c>
      <c r="G20" s="69">
        <f>'Indoor Inputs'!H51</f>
        <v>2</v>
      </c>
      <c r="H20" s="89" t="s">
        <v>533</v>
      </c>
      <c r="I20" s="69"/>
      <c r="J20" s="69">
        <f t="shared" si="0"/>
        <v>7.1428571428571432</v>
      </c>
      <c r="K20" s="69" t="str">
        <f t="shared" si="1"/>
        <v>weeks/year</v>
      </c>
      <c r="L20" s="69" t="s">
        <v>617</v>
      </c>
    </row>
    <row r="21" spans="1:16" x14ac:dyDescent="0.25">
      <c r="A21" s="202">
        <v>17</v>
      </c>
      <c r="B21" s="89" t="s">
        <v>197</v>
      </c>
      <c r="C21" s="69" t="s">
        <v>204</v>
      </c>
      <c r="D21" s="69" t="s">
        <v>262</v>
      </c>
      <c r="E21" s="69">
        <f>'Indoor Inputs'!F52</f>
        <v>12</v>
      </c>
      <c r="F21" s="69">
        <f>'Indoor Inputs'!G52</f>
        <v>8.1428571428571423</v>
      </c>
      <c r="G21" s="69">
        <f>'Indoor Inputs'!H52</f>
        <v>8</v>
      </c>
      <c r="H21" s="89" t="s">
        <v>533</v>
      </c>
      <c r="I21" s="69"/>
      <c r="J21" s="69">
        <f t="shared" si="0"/>
        <v>8.1428571428571423</v>
      </c>
      <c r="K21" s="69" t="str">
        <f t="shared" si="1"/>
        <v>weeks/year</v>
      </c>
      <c r="L21" s="69" t="s">
        <v>617</v>
      </c>
    </row>
    <row r="22" spans="1:16" x14ac:dyDescent="0.25">
      <c r="A22" s="191">
        <v>18</v>
      </c>
      <c r="B22" s="89" t="s">
        <v>197</v>
      </c>
      <c r="C22" s="69" t="s">
        <v>339</v>
      </c>
      <c r="D22" s="69" t="s">
        <v>374</v>
      </c>
      <c r="E22" s="69">
        <v>6</v>
      </c>
      <c r="F22" s="69">
        <f>'Indoor Inputs'!G53</f>
        <v>2</v>
      </c>
      <c r="G22" s="69">
        <v>4</v>
      </c>
      <c r="H22" s="89" t="s">
        <v>533</v>
      </c>
      <c r="I22" s="69"/>
      <c r="J22" s="69">
        <f t="shared" si="0"/>
        <v>2</v>
      </c>
      <c r="K22" s="69" t="str">
        <f t="shared" si="1"/>
        <v>weeks/year</v>
      </c>
      <c r="L22" s="69" t="s">
        <v>617</v>
      </c>
    </row>
    <row r="23" spans="1:16" x14ac:dyDescent="0.25">
      <c r="A23" s="191">
        <v>19</v>
      </c>
      <c r="B23" s="89" t="s">
        <v>197</v>
      </c>
      <c r="C23" s="69" t="s">
        <v>339</v>
      </c>
      <c r="D23" s="69" t="s">
        <v>375</v>
      </c>
      <c r="E23" s="69">
        <v>3</v>
      </c>
      <c r="F23" s="69" t="e">
        <f>'Indoor Inputs'!#REF!</f>
        <v>#REF!</v>
      </c>
      <c r="G23" s="69">
        <v>1</v>
      </c>
      <c r="H23" s="89" t="s">
        <v>533</v>
      </c>
      <c r="I23" s="69"/>
      <c r="J23" s="69" t="e">
        <f t="shared" si="0"/>
        <v>#REF!</v>
      </c>
      <c r="K23" s="69" t="str">
        <f t="shared" si="1"/>
        <v>weeks/year</v>
      </c>
      <c r="L23" s="69" t="s">
        <v>617</v>
      </c>
    </row>
    <row r="24" spans="1:16" s="31" customFormat="1" x14ac:dyDescent="0.25">
      <c r="A24" s="202">
        <v>20</v>
      </c>
      <c r="B24" s="69" t="s">
        <v>197</v>
      </c>
      <c r="C24" s="69" t="s">
        <v>532</v>
      </c>
      <c r="D24" s="69" t="s">
        <v>487</v>
      </c>
      <c r="E24" s="184">
        <v>0.9</v>
      </c>
      <c r="F24" s="184">
        <v>0.85</v>
      </c>
      <c r="G24" s="184">
        <v>0.8</v>
      </c>
      <c r="H24" s="69" t="s">
        <v>490</v>
      </c>
      <c r="I24" s="69" t="s">
        <v>489</v>
      </c>
      <c r="J24" s="183">
        <f t="shared" si="0"/>
        <v>0.85</v>
      </c>
      <c r="K24" s="69" t="s">
        <v>491</v>
      </c>
      <c r="L24" s="69"/>
      <c r="M24" s="69"/>
      <c r="N24" s="69"/>
      <c r="O24" s="69"/>
      <c r="P24" s="69"/>
    </row>
    <row r="25" spans="1:16" s="31" customFormat="1" x14ac:dyDescent="0.25">
      <c r="A25" s="191">
        <v>21</v>
      </c>
      <c r="B25" s="69" t="s">
        <v>197</v>
      </c>
      <c r="C25" s="69" t="s">
        <v>532</v>
      </c>
      <c r="D25" s="69" t="s">
        <v>260</v>
      </c>
      <c r="E25" s="69"/>
      <c r="F25" s="69">
        <v>15</v>
      </c>
      <c r="G25" s="69"/>
      <c r="H25" s="69" t="s">
        <v>261</v>
      </c>
      <c r="I25" s="69" t="s">
        <v>238</v>
      </c>
      <c r="J25" s="88">
        <f t="shared" si="0"/>
        <v>15</v>
      </c>
      <c r="K25" s="69" t="str">
        <f>H25</f>
        <v>W/m^2</v>
      </c>
      <c r="L25" s="69"/>
      <c r="M25" s="69"/>
      <c r="N25" s="69"/>
      <c r="O25" s="69"/>
      <c r="P25" s="69"/>
    </row>
    <row r="26" spans="1:16" s="31" customFormat="1" x14ac:dyDescent="0.25">
      <c r="A26" s="191">
        <v>22</v>
      </c>
      <c r="B26" s="150" t="s">
        <v>197</v>
      </c>
      <c r="C26" s="150" t="s">
        <v>204</v>
      </c>
      <c r="D26" s="150" t="s">
        <v>616</v>
      </c>
      <c r="E26" s="150"/>
      <c r="F26" s="150"/>
      <c r="G26" s="150"/>
      <c r="H26" s="150"/>
      <c r="I26" s="150"/>
      <c r="J26" s="151"/>
      <c r="K26" s="150"/>
      <c r="L26" s="150"/>
      <c r="M26" s="53"/>
      <c r="N26" s="53"/>
      <c r="O26" s="53"/>
      <c r="P26" s="53"/>
    </row>
    <row r="27" spans="1:16" x14ac:dyDescent="0.25">
      <c r="A27" s="191">
        <v>23</v>
      </c>
      <c r="B27" s="89" t="s">
        <v>197</v>
      </c>
      <c r="C27" s="69" t="s">
        <v>532</v>
      </c>
      <c r="D27" s="89" t="s">
        <v>558</v>
      </c>
      <c r="E27" s="69"/>
      <c r="F27" s="69" t="s">
        <v>607</v>
      </c>
      <c r="G27" s="69"/>
      <c r="H27" s="69"/>
      <c r="I27" s="69"/>
      <c r="J27" s="69"/>
      <c r="K27" s="69"/>
      <c r="L27" s="69"/>
    </row>
    <row r="28" spans="1:16" x14ac:dyDescent="0.25">
      <c r="A28" s="202">
        <v>24</v>
      </c>
      <c r="B28" s="89" t="s">
        <v>197</v>
      </c>
      <c r="C28" s="89" t="s">
        <v>204</v>
      </c>
      <c r="D28" s="89" t="s">
        <v>559</v>
      </c>
      <c r="E28" s="69"/>
      <c r="F28" s="69"/>
      <c r="G28" s="69"/>
      <c r="H28" s="69" t="s">
        <v>609</v>
      </c>
      <c r="I28" s="69" t="s">
        <v>610</v>
      </c>
      <c r="J28" s="69"/>
      <c r="K28" s="69"/>
      <c r="L28" s="69"/>
    </row>
    <row r="29" spans="1:16" x14ac:dyDescent="0.25">
      <c r="A29" s="191">
        <v>25</v>
      </c>
      <c r="B29" s="150" t="s">
        <v>197</v>
      </c>
      <c r="C29" s="150" t="s">
        <v>339</v>
      </c>
      <c r="D29" s="150" t="s">
        <v>538</v>
      </c>
      <c r="E29" s="150">
        <f>'Indoor Backup Calcs'!C11/'Indoor Backup Calcs'!C8</f>
        <v>3.2439446366782005E-3</v>
      </c>
      <c r="F29" s="207">
        <f>'Indoor Backup Calcs'!C10/'Indoor Backup Calcs'!C8</f>
        <v>2.7032871972318337E-3</v>
      </c>
      <c r="G29" s="150">
        <f>'Indoor Backup Calcs'!C9/'Indoor Backup Calcs'!C8</f>
        <v>2.1626297577854669E-3</v>
      </c>
      <c r="H29" s="150" t="s">
        <v>539</v>
      </c>
      <c r="I29" s="150" t="s">
        <v>541</v>
      </c>
      <c r="J29" s="150">
        <f>F29</f>
        <v>2.7032871972318337E-3</v>
      </c>
      <c r="K29" s="150" t="str">
        <f>H29</f>
        <v>kWh/gallon</v>
      </c>
      <c r="L29" s="150" t="s">
        <v>557</v>
      </c>
      <c r="M29" s="69"/>
    </row>
    <row r="30" spans="1:16" x14ac:dyDescent="0.25">
      <c r="A30" s="191">
        <v>26</v>
      </c>
      <c r="B30" s="150" t="s">
        <v>197</v>
      </c>
      <c r="C30" s="150" t="s">
        <v>339</v>
      </c>
      <c r="D30" s="150" t="s">
        <v>560</v>
      </c>
      <c r="E30" s="150"/>
      <c r="F30" s="207">
        <f>'Indoor Raw Data'!C160</f>
        <v>22094.666666666664</v>
      </c>
      <c r="G30" s="150"/>
      <c r="H30" s="150" t="s">
        <v>601</v>
      </c>
      <c r="I30" s="150" t="s">
        <v>317</v>
      </c>
      <c r="J30" s="150">
        <f>F30</f>
        <v>22094.666666666664</v>
      </c>
      <c r="K30" s="150" t="s">
        <v>561</v>
      </c>
      <c r="L30" s="150" t="s">
        <v>557</v>
      </c>
      <c r="M30" s="69"/>
    </row>
    <row r="31" spans="1:16" x14ac:dyDescent="0.25">
      <c r="A31" s="191">
        <v>27</v>
      </c>
      <c r="B31" s="89" t="s">
        <v>197</v>
      </c>
      <c r="C31" s="89" t="s">
        <v>532</v>
      </c>
      <c r="D31" s="89" t="s">
        <v>547</v>
      </c>
      <c r="E31" s="69"/>
      <c r="F31" s="69" t="s">
        <v>607</v>
      </c>
      <c r="G31" s="69"/>
      <c r="H31" s="69"/>
      <c r="I31" s="69"/>
      <c r="J31" s="69"/>
      <c r="K31" s="69"/>
      <c r="L31" s="69"/>
    </row>
    <row r="43" spans="6:6" x14ac:dyDescent="0.25">
      <c r="F43" t="b">
        <f>'Greenhouse Inputs'!F29='Indoor Backup Calcs'!C10/'Indoor Backup Calcs'!C8</f>
        <v>1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0]!RunMatlab">
                <anchor moveWithCells="1" sizeWithCells="1">
                  <from>
                    <xdr:col>2</xdr:col>
                    <xdr:colOff>76200</xdr:colOff>
                    <xdr:row>0</xdr:row>
                    <xdr:rowOff>104775</xdr:rowOff>
                  </from>
                  <to>
                    <xdr:col>3</xdr:col>
                    <xdr:colOff>542925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73C9DE90-8395-49B8-BBDF-8A0AC16CC973}">
            <xm:f>B5&lt;&gt;'T:\SBAR\Baseline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B5:P5</xm:sqref>
        </x14:conditionalFormatting>
        <x14:conditionalFormatting xmlns:xm="http://schemas.microsoft.com/office/excel/2006/main">
          <x14:cfRule type="expression" priority="1" id="{246CC42E-5B0E-43A1-AF5E-1A69233539C4}">
            <xm:f>B7&lt;&gt;'T:\SBAR\Baseline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L7:P7 B7 D7:I7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9" tint="-0.249977111117893"/>
  </sheetPr>
  <dimension ref="A1:Q84"/>
  <sheetViews>
    <sheetView topLeftCell="A46" zoomScale="85" zoomScaleNormal="85" workbookViewId="0">
      <selection activeCell="D62" activeCellId="1" sqref="D52:D56 D62"/>
    </sheetView>
  </sheetViews>
  <sheetFormatPr defaultRowHeight="15" x14ac:dyDescent="0.25"/>
  <cols>
    <col min="1" max="1" width="13.85546875" style="196" bestFit="1" customWidth="1"/>
    <col min="2" max="2" width="8.85546875" bestFit="1" customWidth="1"/>
    <col min="3" max="3" width="12.5703125" bestFit="1" customWidth="1"/>
    <col min="4" max="4" width="31.7109375" customWidth="1"/>
    <col min="5" max="5" width="14" customWidth="1"/>
    <col min="6" max="7" width="8.28515625" customWidth="1"/>
    <col min="8" max="8" width="26.42578125" bestFit="1" customWidth="1"/>
    <col min="9" max="9" width="25.7109375" customWidth="1"/>
    <col min="10" max="10" width="11.85546875" bestFit="1" customWidth="1"/>
    <col min="11" max="11" width="24.85546875" bestFit="1" customWidth="1"/>
    <col min="12" max="12" width="35.28515625" customWidth="1"/>
    <col min="13" max="16" width="12" customWidth="1"/>
  </cols>
  <sheetData>
    <row r="1" spans="1:17" s="31" customFormat="1" x14ac:dyDescent="0.25">
      <c r="A1" s="196"/>
      <c r="E1" s="210"/>
      <c r="F1" s="31" t="s">
        <v>1025</v>
      </c>
    </row>
    <row r="2" spans="1:17" s="31" customFormat="1" x14ac:dyDescent="0.25">
      <c r="A2" s="196"/>
      <c r="E2" s="211"/>
      <c r="F2" s="31" t="s">
        <v>1026</v>
      </c>
      <c r="J2" s="31" t="s">
        <v>1040</v>
      </c>
      <c r="K2" s="31" t="s">
        <v>1516</v>
      </c>
      <c r="L2" s="31" t="s">
        <v>1504</v>
      </c>
    </row>
    <row r="3" spans="1:17" s="31" customFormat="1" x14ac:dyDescent="0.25">
      <c r="A3" s="196"/>
      <c r="E3" s="212"/>
      <c r="F3" s="171" t="s">
        <v>1027</v>
      </c>
      <c r="J3" s="31" t="s">
        <v>1503</v>
      </c>
      <c r="K3" s="31" t="s">
        <v>1504</v>
      </c>
      <c r="L3" s="31" t="s">
        <v>1032</v>
      </c>
    </row>
    <row r="4" spans="1:17" s="31" customFormat="1" x14ac:dyDescent="0.25">
      <c r="A4" s="196"/>
    </row>
    <row r="5" spans="1:17" s="85" customFormat="1" x14ac:dyDescent="0.25">
      <c r="A5" s="201" t="s">
        <v>594</v>
      </c>
      <c r="B5" s="87" t="s">
        <v>114</v>
      </c>
      <c r="C5" s="87" t="s">
        <v>189</v>
      </c>
      <c r="D5" s="87" t="s">
        <v>190</v>
      </c>
      <c r="E5" s="87" t="s">
        <v>305</v>
      </c>
      <c r="F5" s="95" t="s">
        <v>116</v>
      </c>
      <c r="G5" s="96" t="s">
        <v>304</v>
      </c>
      <c r="H5" s="87" t="s">
        <v>194</v>
      </c>
      <c r="I5" s="87" t="s">
        <v>195</v>
      </c>
      <c r="J5" s="87" t="s">
        <v>420</v>
      </c>
      <c r="K5" s="87" t="s">
        <v>194</v>
      </c>
      <c r="L5" s="87" t="s">
        <v>196</v>
      </c>
      <c r="M5" s="94" t="s">
        <v>192</v>
      </c>
      <c r="N5" s="94" t="s">
        <v>116</v>
      </c>
      <c r="O5" s="94" t="s">
        <v>193</v>
      </c>
      <c r="P5" s="87" t="s">
        <v>191</v>
      </c>
      <c r="Q5" s="84"/>
    </row>
    <row r="6" spans="1:17" s="31" customFormat="1" x14ac:dyDescent="0.25">
      <c r="A6" s="191">
        <v>1</v>
      </c>
      <c r="B6" s="69" t="s">
        <v>197</v>
      </c>
      <c r="C6" s="69" t="s">
        <v>339</v>
      </c>
      <c r="D6" s="69" t="s">
        <v>1488</v>
      </c>
      <c r="E6" s="69">
        <v>0</v>
      </c>
      <c r="F6" s="69">
        <v>6</v>
      </c>
      <c r="G6" s="69">
        <v>0</v>
      </c>
      <c r="H6" s="69" t="s">
        <v>1489</v>
      </c>
      <c r="I6" s="69" t="s">
        <v>1487</v>
      </c>
      <c r="J6" s="88">
        <f>F6*acre_to_m2</f>
        <v>24281.16</v>
      </c>
      <c r="K6" s="69" t="s">
        <v>157</v>
      </c>
      <c r="L6" s="69" t="s">
        <v>1459</v>
      </c>
      <c r="M6" s="69"/>
      <c r="N6" s="69"/>
      <c r="O6" s="69"/>
      <c r="P6" s="69"/>
    </row>
    <row r="7" spans="1:17" s="31" customFormat="1" x14ac:dyDescent="0.25">
      <c r="A7" s="191">
        <v>2</v>
      </c>
      <c r="B7" s="69" t="s">
        <v>197</v>
      </c>
      <c r="C7" s="69" t="s">
        <v>339</v>
      </c>
      <c r="D7" s="69" t="s">
        <v>1490</v>
      </c>
      <c r="E7" s="69">
        <v>0</v>
      </c>
      <c r="F7" s="69">
        <f>'Indoor Inputs'!G6</f>
        <v>14811.126399999999</v>
      </c>
      <c r="G7" s="69">
        <v>0</v>
      </c>
      <c r="H7" s="69" t="s">
        <v>159</v>
      </c>
      <c r="I7" s="69"/>
      <c r="J7" s="88">
        <f>F7/m2_to_ft2</f>
        <v>1376</v>
      </c>
      <c r="K7" s="69" t="s">
        <v>157</v>
      </c>
      <c r="L7" s="69">
        <v>10000</v>
      </c>
      <c r="M7" s="69"/>
      <c r="N7" s="69"/>
      <c r="O7" s="69"/>
      <c r="P7" s="69"/>
    </row>
    <row r="8" spans="1:17" s="31" customFormat="1" x14ac:dyDescent="0.25">
      <c r="A8" s="191">
        <v>3</v>
      </c>
      <c r="B8" s="69" t="s">
        <v>197</v>
      </c>
      <c r="C8" s="69" t="s">
        <v>204</v>
      </c>
      <c r="D8" s="69" t="s">
        <v>1495</v>
      </c>
      <c r="E8" s="69">
        <v>0</v>
      </c>
      <c r="F8" s="267">
        <f>'Indoor Inputs'!G7</f>
        <v>0.68181818181818177</v>
      </c>
      <c r="G8" s="69">
        <v>0</v>
      </c>
      <c r="H8" s="69" t="s">
        <v>1496</v>
      </c>
      <c r="I8" s="69" t="s">
        <v>1497</v>
      </c>
      <c r="J8" s="88">
        <f>F8</f>
        <v>0.68181818181818177</v>
      </c>
      <c r="K8" s="69" t="str">
        <f>H8</f>
        <v>% of total greenhouse area</v>
      </c>
      <c r="L8" s="69">
        <v>0.9</v>
      </c>
      <c r="M8" s="69"/>
      <c r="N8" s="69"/>
      <c r="O8" s="69"/>
      <c r="P8" s="69"/>
    </row>
    <row r="9" spans="1:17" s="31" customFormat="1" x14ac:dyDescent="0.25">
      <c r="A9" s="191">
        <v>4</v>
      </c>
      <c r="B9" s="69" t="s">
        <v>197</v>
      </c>
      <c r="C9" s="69" t="s">
        <v>204</v>
      </c>
      <c r="D9" s="69" t="s">
        <v>1498</v>
      </c>
      <c r="E9" s="69">
        <v>0</v>
      </c>
      <c r="F9" s="69">
        <v>7</v>
      </c>
      <c r="G9" s="69">
        <v>0</v>
      </c>
      <c r="H9" s="69" t="s">
        <v>583</v>
      </c>
      <c r="I9" s="69" t="s">
        <v>1497</v>
      </c>
      <c r="J9" s="88">
        <f>F9</f>
        <v>7</v>
      </c>
      <c r="K9" s="69" t="str">
        <f>H9</f>
        <v>meters</v>
      </c>
      <c r="L9" s="69"/>
      <c r="M9" s="69"/>
      <c r="N9" s="69"/>
      <c r="O9" s="69"/>
      <c r="P9" s="69"/>
    </row>
    <row r="10" spans="1:17" s="31" customFormat="1" x14ac:dyDescent="0.25">
      <c r="A10" s="191">
        <v>5</v>
      </c>
      <c r="B10" s="69" t="s">
        <v>197</v>
      </c>
      <c r="C10" s="69" t="s">
        <v>204</v>
      </c>
      <c r="D10" s="69" t="str">
        <f>'Indoor Inputs'!E11</f>
        <v>Exterior Wall Thickness</v>
      </c>
      <c r="E10" s="69">
        <f>'Indoor Inputs'!F11</f>
        <v>0.24384000000000003</v>
      </c>
      <c r="F10" s="69">
        <f>4/12</f>
        <v>0.33333333333333331</v>
      </c>
      <c r="G10" s="69">
        <f>'Indoor Inputs'!H11</f>
        <v>0</v>
      </c>
      <c r="H10" s="69" t="s">
        <v>1499</v>
      </c>
      <c r="I10" s="69">
        <f>'Indoor Inputs'!J11</f>
        <v>0</v>
      </c>
      <c r="J10" s="69">
        <f>F10*feet_to_meters</f>
        <v>0.1016</v>
      </c>
      <c r="K10" s="69" t="str">
        <f>'Indoor Inputs'!L11</f>
        <v>meters</v>
      </c>
      <c r="L10" s="69"/>
      <c r="M10" s="69"/>
      <c r="N10" s="69"/>
      <c r="O10" s="69"/>
      <c r="P10" s="69"/>
    </row>
    <row r="11" spans="1:17" s="31" customFormat="1" x14ac:dyDescent="0.25">
      <c r="A11" s="191">
        <v>6</v>
      </c>
      <c r="B11" s="69" t="s">
        <v>197</v>
      </c>
      <c r="C11" s="69" t="s">
        <v>204</v>
      </c>
      <c r="D11" s="69" t="str">
        <f>'Indoor Inputs'!E12</f>
        <v>Thermal Conductivity</v>
      </c>
      <c r="E11" s="69">
        <f>'Indoor Inputs'!F12</f>
        <v>4.6400000000000004E-2</v>
      </c>
      <c r="F11" s="69">
        <f>J10/1.5</f>
        <v>6.7733333333333326E-2</v>
      </c>
      <c r="G11" s="69">
        <f>'Indoor Inputs'!H12</f>
        <v>0</v>
      </c>
      <c r="H11" s="69" t="str">
        <f>'Indoor Inputs'!I12</f>
        <v>W/m*K</v>
      </c>
      <c r="I11" s="69" t="s">
        <v>1501</v>
      </c>
      <c r="J11" s="69">
        <f>'Indoor Inputs'!K12</f>
        <v>5.8000000000000003E-2</v>
      </c>
      <c r="K11" s="69" t="str">
        <f>'Indoor Inputs'!L12</f>
        <v>W/m*K</v>
      </c>
      <c r="L11" s="69" t="s">
        <v>1500</v>
      </c>
      <c r="M11" s="69"/>
      <c r="N11" s="69"/>
      <c r="O11" s="69"/>
      <c r="P11" s="69"/>
    </row>
    <row r="12" spans="1:17" x14ac:dyDescent="0.25">
      <c r="A12" s="191">
        <v>7</v>
      </c>
      <c r="B12" s="69" t="s">
        <v>197</v>
      </c>
      <c r="C12" s="89" t="s">
        <v>179</v>
      </c>
      <c r="D12" s="69" t="s">
        <v>207</v>
      </c>
      <c r="E12" s="69"/>
      <c r="F12" s="69">
        <f>F64/(6*acre_to_m2*m2_to_ft2)</f>
        <v>3.5583106743250853E-2</v>
      </c>
      <c r="G12" s="69"/>
      <c r="H12" s="69" t="s">
        <v>1458</v>
      </c>
      <c r="I12" s="69" t="s">
        <v>1451</v>
      </c>
      <c r="J12" s="88">
        <f>F12*m2_to_ft2</f>
        <v>0.38301300267367783</v>
      </c>
      <c r="K12" s="69" t="s">
        <v>387</v>
      </c>
      <c r="L12" s="69" t="s">
        <v>1459</v>
      </c>
      <c r="M12" s="69"/>
      <c r="N12" s="69"/>
      <c r="O12" s="69"/>
      <c r="P12" s="69"/>
    </row>
    <row r="13" spans="1:17" s="31" customFormat="1" x14ac:dyDescent="0.25">
      <c r="A13" s="191">
        <v>8</v>
      </c>
      <c r="B13" s="69" t="s">
        <v>197</v>
      </c>
      <c r="C13" s="89" t="s">
        <v>179</v>
      </c>
      <c r="D13" s="69" t="s">
        <v>198</v>
      </c>
      <c r="E13" s="69"/>
      <c r="F13" s="69">
        <f>('Indoor Inputs'!G18/'Indoor Inputs'!G16*kg_to_lb)*2</f>
        <v>0.71931068531579312</v>
      </c>
      <c r="G13" s="69"/>
      <c r="H13" s="69" t="s">
        <v>1457</v>
      </c>
      <c r="I13" s="69" t="s">
        <v>1487</v>
      </c>
      <c r="J13" s="88">
        <f>F13/kg_to_lb</f>
        <v>0.32627422654053451</v>
      </c>
      <c r="K13" s="69" t="s">
        <v>1518</v>
      </c>
      <c r="L13" s="69" t="s">
        <v>1542</v>
      </c>
      <c r="M13" s="69"/>
      <c r="N13" s="69"/>
      <c r="O13" s="69"/>
      <c r="P13" s="69"/>
    </row>
    <row r="14" spans="1:17" s="31" customFormat="1" x14ac:dyDescent="0.25">
      <c r="A14" s="191">
        <v>9</v>
      </c>
      <c r="B14" s="69" t="s">
        <v>197</v>
      </c>
      <c r="C14" s="69" t="s">
        <v>179</v>
      </c>
      <c r="D14" s="69" t="str">
        <f>'Indoor Inputs'!E50</f>
        <v>Clone Room Duration</v>
      </c>
      <c r="E14" s="69">
        <f>'Indoor Inputs'!F50</f>
        <v>4</v>
      </c>
      <c r="F14" s="69">
        <f>'Indoor Inputs'!G50</f>
        <v>3.1428571428571428</v>
      </c>
      <c r="G14" s="69">
        <f>'Indoor Inputs'!H50</f>
        <v>1</v>
      </c>
      <c r="H14" s="69" t="str">
        <f>'Indoor Inputs'!I50</f>
        <v>weeks/harvest</v>
      </c>
      <c r="I14" s="69" t="s">
        <v>1460</v>
      </c>
      <c r="J14" s="88">
        <f t="shared" ref="J14:J19" si="0">F14</f>
        <v>3.1428571428571428</v>
      </c>
      <c r="K14" s="69" t="str">
        <f t="shared" ref="K14:K19" si="1">H14</f>
        <v>weeks/harvest</v>
      </c>
      <c r="L14" s="69" t="s">
        <v>1491</v>
      </c>
      <c r="M14" s="69"/>
      <c r="N14" s="69"/>
      <c r="O14" s="69"/>
      <c r="P14" s="69"/>
    </row>
    <row r="15" spans="1:17" s="31" customFormat="1" x14ac:dyDescent="0.25">
      <c r="A15" s="191">
        <v>10</v>
      </c>
      <c r="B15" s="69" t="s">
        <v>197</v>
      </c>
      <c r="C15" s="69" t="s">
        <v>179</v>
      </c>
      <c r="D15" s="69" t="s">
        <v>1492</v>
      </c>
      <c r="E15" s="69">
        <v>3</v>
      </c>
      <c r="F15" s="69">
        <v>3</v>
      </c>
      <c r="G15" s="69">
        <v>1</v>
      </c>
      <c r="H15" s="69" t="s">
        <v>274</v>
      </c>
      <c r="I15" s="69" t="s">
        <v>1493</v>
      </c>
      <c r="J15" s="88">
        <f t="shared" si="0"/>
        <v>3</v>
      </c>
      <c r="K15" s="69" t="str">
        <f t="shared" si="1"/>
        <v>weeks/harvest</v>
      </c>
      <c r="L15" s="69" t="s">
        <v>361</v>
      </c>
      <c r="M15" s="69"/>
      <c r="N15" s="69"/>
      <c r="O15" s="69"/>
      <c r="P15" s="69"/>
    </row>
    <row r="16" spans="1:17" s="31" customFormat="1" x14ac:dyDescent="0.25">
      <c r="A16" s="191">
        <v>11</v>
      </c>
      <c r="B16" s="69" t="s">
        <v>197</v>
      </c>
      <c r="C16" s="69" t="s">
        <v>179</v>
      </c>
      <c r="D16" s="69" t="s">
        <v>1494</v>
      </c>
      <c r="E16" s="69">
        <v>4</v>
      </c>
      <c r="F16" s="69">
        <v>3</v>
      </c>
      <c r="G16" s="69">
        <v>2</v>
      </c>
      <c r="H16" s="69" t="s">
        <v>274</v>
      </c>
      <c r="I16" s="69" t="s">
        <v>1493</v>
      </c>
      <c r="J16" s="88">
        <f>F16</f>
        <v>3</v>
      </c>
      <c r="K16" s="69" t="s">
        <v>274</v>
      </c>
      <c r="L16" s="69"/>
      <c r="M16" s="69"/>
      <c r="N16" s="69"/>
      <c r="O16" s="69"/>
      <c r="P16" s="69"/>
    </row>
    <row r="17" spans="1:16" s="31" customFormat="1" x14ac:dyDescent="0.25">
      <c r="A17" s="191">
        <v>12</v>
      </c>
      <c r="B17" s="69" t="s">
        <v>197</v>
      </c>
      <c r="C17" s="69" t="s">
        <v>179</v>
      </c>
      <c r="D17" s="69" t="s">
        <v>262</v>
      </c>
      <c r="E17" s="69">
        <v>10</v>
      </c>
      <c r="F17" s="69">
        <v>8</v>
      </c>
      <c r="G17" s="69">
        <v>6</v>
      </c>
      <c r="H17" s="69" t="s">
        <v>274</v>
      </c>
      <c r="I17" s="69" t="s">
        <v>1454</v>
      </c>
      <c r="J17" s="88">
        <f t="shared" si="0"/>
        <v>8</v>
      </c>
      <c r="K17" s="69" t="str">
        <f t="shared" si="1"/>
        <v>weeks/harvest</v>
      </c>
      <c r="L17" s="69" t="s">
        <v>263</v>
      </c>
      <c r="M17" s="69"/>
      <c r="N17" s="69"/>
      <c r="O17" s="69"/>
      <c r="P17" s="69"/>
    </row>
    <row r="18" spans="1:16" s="31" customFormat="1" x14ac:dyDescent="0.25">
      <c r="A18" s="191">
        <v>13</v>
      </c>
      <c r="B18" s="69" t="s">
        <v>197</v>
      </c>
      <c r="C18" s="69" t="s">
        <v>339</v>
      </c>
      <c r="D18" s="69" t="s">
        <v>374</v>
      </c>
      <c r="E18" s="69">
        <v>6</v>
      </c>
      <c r="F18" s="69">
        <v>5</v>
      </c>
      <c r="G18" s="69">
        <v>4</v>
      </c>
      <c r="H18" s="69" t="s">
        <v>274</v>
      </c>
      <c r="I18" s="69" t="s">
        <v>1460</v>
      </c>
      <c r="J18" s="88">
        <f t="shared" si="0"/>
        <v>5</v>
      </c>
      <c r="K18" s="69" t="str">
        <f t="shared" si="1"/>
        <v>weeks/harvest</v>
      </c>
      <c r="L18" s="69"/>
      <c r="M18" s="361"/>
      <c r="N18" s="69"/>
      <c r="O18" s="69"/>
      <c r="P18" s="69"/>
    </row>
    <row r="19" spans="1:16" s="31" customFormat="1" x14ac:dyDescent="0.25">
      <c r="A19" s="191">
        <v>14</v>
      </c>
      <c r="B19" s="69" t="s">
        <v>197</v>
      </c>
      <c r="C19" s="69" t="s">
        <v>339</v>
      </c>
      <c r="D19" s="69" t="s">
        <v>375</v>
      </c>
      <c r="E19" s="69">
        <v>3</v>
      </c>
      <c r="F19" s="69">
        <v>2</v>
      </c>
      <c r="G19" s="69">
        <v>1</v>
      </c>
      <c r="H19" s="69" t="s">
        <v>274</v>
      </c>
      <c r="I19" s="69" t="s">
        <v>1460</v>
      </c>
      <c r="J19" s="88">
        <f t="shared" si="0"/>
        <v>2</v>
      </c>
      <c r="K19" s="69" t="str">
        <f t="shared" si="1"/>
        <v>weeks/harvest</v>
      </c>
      <c r="L19" s="69"/>
      <c r="M19" s="361"/>
      <c r="N19" s="69"/>
      <c r="O19" s="69"/>
      <c r="P19" s="69"/>
    </row>
    <row r="20" spans="1:16" s="31" customFormat="1" x14ac:dyDescent="0.25">
      <c r="A20" s="191">
        <v>15</v>
      </c>
      <c r="B20" s="438" t="s">
        <v>197</v>
      </c>
      <c r="C20" s="438" t="s">
        <v>179</v>
      </c>
      <c r="D20" s="438" t="str">
        <f>'Indoor Inputs'!E21</f>
        <v>Biofungicide (Folpet)</v>
      </c>
      <c r="E20" s="438"/>
      <c r="F20" s="438">
        <f>'Indoor Inputs'!G21</f>
        <v>488.24312815250005</v>
      </c>
      <c r="G20" s="438"/>
      <c r="H20" s="438" t="str">
        <f>'Indoor Inputs'!I21</f>
        <v>kg/harvest</v>
      </c>
      <c r="I20" s="438"/>
      <c r="J20" s="439">
        <f t="shared" ref="J20:J25" si="2">F20</f>
        <v>488.24312815250005</v>
      </c>
      <c r="K20" s="438" t="str">
        <f>H20</f>
        <v>kg/harvest</v>
      </c>
      <c r="L20" s="438"/>
      <c r="M20" s="361"/>
      <c r="N20" s="69"/>
      <c r="O20" s="69"/>
      <c r="P20" s="69"/>
    </row>
    <row r="21" spans="1:16" s="31" customFormat="1" x14ac:dyDescent="0.25">
      <c r="A21" s="191">
        <v>16</v>
      </c>
      <c r="B21" s="438" t="s">
        <v>197</v>
      </c>
      <c r="C21" s="438" t="s">
        <v>179</v>
      </c>
      <c r="D21" s="438" t="str">
        <f>'Indoor Inputs'!E22</f>
        <v>Soil Amendments (Perlite)</v>
      </c>
      <c r="E21" s="438"/>
      <c r="F21" s="438">
        <f>'Indoor Inputs'!G22</f>
        <v>1.37694312E-2</v>
      </c>
      <c r="G21" s="438"/>
      <c r="H21" s="438" t="str">
        <f>'Indoor Inputs'!I22</f>
        <v>m3/plant</v>
      </c>
      <c r="I21" s="438"/>
      <c r="J21" s="439">
        <f t="shared" si="2"/>
        <v>1.37694312E-2</v>
      </c>
      <c r="K21" s="438" t="str">
        <f>H21</f>
        <v>m3/plant</v>
      </c>
      <c r="L21" s="438"/>
      <c r="M21" s="361"/>
      <c r="N21" s="69"/>
      <c r="O21" s="69"/>
      <c r="P21" s="69"/>
    </row>
    <row r="22" spans="1:16" s="31" customFormat="1" x14ac:dyDescent="0.25">
      <c r="A22" s="191">
        <v>17</v>
      </c>
      <c r="B22" s="438" t="s">
        <v>253</v>
      </c>
      <c r="C22" s="438" t="s">
        <v>179</v>
      </c>
      <c r="D22" s="438" t="str">
        <f>'Indoor Inputs'!E23</f>
        <v>Ammonium Nitrate (N)</v>
      </c>
      <c r="E22" s="438"/>
      <c r="F22" s="438">
        <f>'Indoor Inputs'!G23</f>
        <v>38.873612516721487</v>
      </c>
      <c r="G22" s="438"/>
      <c r="H22" s="438" t="str">
        <f>'Indoor Inputs'!I23</f>
        <v>grams/plant</v>
      </c>
      <c r="I22" s="438"/>
      <c r="J22" s="439">
        <f t="shared" si="2"/>
        <v>38.873612516721487</v>
      </c>
      <c r="K22" s="438" t="str">
        <f>H22</f>
        <v>grams/plant</v>
      </c>
      <c r="L22" s="438"/>
      <c r="M22" s="361"/>
      <c r="N22" s="69"/>
      <c r="O22" s="69"/>
      <c r="P22" s="69"/>
    </row>
    <row r="23" spans="1:16" s="171" customFormat="1" x14ac:dyDescent="0.25">
      <c r="A23" s="242">
        <v>18</v>
      </c>
      <c r="B23" s="89" t="s">
        <v>197</v>
      </c>
      <c r="C23" s="89" t="s">
        <v>179</v>
      </c>
      <c r="D23" s="89" t="s">
        <v>1525</v>
      </c>
      <c r="E23" s="89"/>
      <c r="F23" s="89">
        <v>0.25</v>
      </c>
      <c r="G23" s="89"/>
      <c r="H23" s="89" t="s">
        <v>1524</v>
      </c>
      <c r="I23" s="89"/>
      <c r="J23" s="88">
        <f t="shared" si="2"/>
        <v>0.25</v>
      </c>
      <c r="K23" s="89" t="str">
        <f>H23</f>
        <v>gallon/plant-day</v>
      </c>
      <c r="L23" s="89"/>
      <c r="M23" s="409"/>
      <c r="N23" s="89"/>
      <c r="O23" s="89"/>
      <c r="P23" s="89"/>
    </row>
    <row r="24" spans="1:16" s="171" customFormat="1" x14ac:dyDescent="0.25">
      <c r="A24" s="242">
        <v>19</v>
      </c>
      <c r="B24" s="89" t="s">
        <v>197</v>
      </c>
      <c r="C24" s="89" t="s">
        <v>179</v>
      </c>
      <c r="D24" s="89" t="s">
        <v>1523</v>
      </c>
      <c r="E24" s="89"/>
      <c r="F24" s="89">
        <f>'Indoor Inputs'!G95</f>
        <v>1</v>
      </c>
      <c r="G24" s="89"/>
      <c r="H24" s="89" t="s">
        <v>1524</v>
      </c>
      <c r="I24" s="89"/>
      <c r="J24" s="88">
        <f t="shared" si="2"/>
        <v>1</v>
      </c>
      <c r="K24" s="89" t="str">
        <f>H24</f>
        <v>gallon/plant-day</v>
      </c>
      <c r="L24" s="89"/>
      <c r="M24" s="409"/>
      <c r="N24" s="89"/>
      <c r="O24" s="89"/>
      <c r="P24" s="89"/>
    </row>
    <row r="25" spans="1:16" s="31" customFormat="1" x14ac:dyDescent="0.25">
      <c r="A25" s="191">
        <v>20</v>
      </c>
      <c r="B25" s="89" t="s">
        <v>197</v>
      </c>
      <c r="C25" s="89" t="s">
        <v>339</v>
      </c>
      <c r="D25" s="89" t="s">
        <v>1522</v>
      </c>
      <c r="E25" s="89">
        <v>10</v>
      </c>
      <c r="F25" s="89">
        <v>5</v>
      </c>
      <c r="G25" s="89">
        <v>3</v>
      </c>
      <c r="H25" s="89" t="s">
        <v>1465</v>
      </c>
      <c r="I25" s="89" t="s">
        <v>1486</v>
      </c>
      <c r="J25" s="88">
        <f t="shared" si="2"/>
        <v>5</v>
      </c>
      <c r="K25" s="89" t="s">
        <v>214</v>
      </c>
      <c r="L25" s="89"/>
      <c r="M25" s="361"/>
      <c r="N25" s="69"/>
      <c r="O25" s="69"/>
      <c r="P25" s="69"/>
    </row>
    <row r="26" spans="1:16" x14ac:dyDescent="0.25">
      <c r="A26" s="191">
        <v>21</v>
      </c>
      <c r="B26" s="89" t="s">
        <v>197</v>
      </c>
      <c r="C26" s="89" t="s">
        <v>179</v>
      </c>
      <c r="D26" s="69" t="str">
        <f>'Indoor Inputs'!E60</f>
        <v>Clone Room Lighting Intensity</v>
      </c>
      <c r="E26" s="69">
        <f>'Indoor Inputs'!F60</f>
        <v>600</v>
      </c>
      <c r="F26" s="69">
        <f>'Indoor Inputs'!G60</f>
        <v>403.64625000000001</v>
      </c>
      <c r="G26" s="69">
        <f>'Indoor Inputs'!H60</f>
        <v>200</v>
      </c>
      <c r="H26" s="69" t="str">
        <f>'Indoor Inputs'!I60</f>
        <v>W/m^2</v>
      </c>
      <c r="I26" s="89" t="s">
        <v>1460</v>
      </c>
      <c r="J26" s="69">
        <f t="shared" ref="J26:J45" si="3">F26</f>
        <v>403.64625000000001</v>
      </c>
      <c r="K26" s="89" t="str">
        <f>H26</f>
        <v>W/m^2</v>
      </c>
      <c r="L26" s="69"/>
    </row>
    <row r="27" spans="1:16" s="31" customFormat="1" x14ac:dyDescent="0.25">
      <c r="A27" s="191">
        <v>22</v>
      </c>
      <c r="B27" s="89" t="s">
        <v>197</v>
      </c>
      <c r="C27" s="89" t="s">
        <v>179</v>
      </c>
      <c r="D27" s="69" t="str">
        <f>'Indoor Inputs'!E61</f>
        <v>Vegetative Growth Lighting Intensity</v>
      </c>
      <c r="E27" s="69">
        <f>'Indoor Inputs'!F61</f>
        <v>600</v>
      </c>
      <c r="F27" s="69">
        <f>'Indoor Inputs'!G61</f>
        <v>403.64625000000001</v>
      </c>
      <c r="G27" s="69">
        <f>'Indoor Inputs'!H61</f>
        <v>200</v>
      </c>
      <c r="H27" s="69" t="str">
        <f>'Indoor Inputs'!I61</f>
        <v>W/m^2</v>
      </c>
      <c r="I27" s="89" t="s">
        <v>1460</v>
      </c>
      <c r="J27" s="69">
        <f t="shared" si="3"/>
        <v>403.64625000000001</v>
      </c>
      <c r="K27" s="89" t="str">
        <f t="shared" ref="K27:K46" si="4">H27</f>
        <v>W/m^2</v>
      </c>
      <c r="L27" s="69"/>
    </row>
    <row r="28" spans="1:16" s="31" customFormat="1" x14ac:dyDescent="0.25">
      <c r="A28" s="191">
        <v>23</v>
      </c>
      <c r="B28" s="89" t="s">
        <v>197</v>
      </c>
      <c r="C28" s="89" t="s">
        <v>179</v>
      </c>
      <c r="D28" s="69" t="str">
        <f>'Indoor Inputs'!E62</f>
        <v>Flowering Lighting Intensity</v>
      </c>
      <c r="E28" s="69">
        <f>'Indoor Inputs'!F62</f>
        <v>800</v>
      </c>
      <c r="F28" s="69">
        <f>'Indoor Inputs'!G62</f>
        <v>672.74374999999998</v>
      </c>
      <c r="G28" s="69">
        <f>'Indoor Inputs'!H62</f>
        <v>400</v>
      </c>
      <c r="H28" s="69" t="str">
        <f>'Indoor Inputs'!I62</f>
        <v>W/m^2</v>
      </c>
      <c r="I28" s="89" t="s">
        <v>1460</v>
      </c>
      <c r="J28" s="69">
        <f t="shared" si="3"/>
        <v>672.74374999999998</v>
      </c>
      <c r="K28" s="89" t="str">
        <f t="shared" si="4"/>
        <v>W/m^2</v>
      </c>
      <c r="L28" s="69"/>
    </row>
    <row r="29" spans="1:16" s="31" customFormat="1" x14ac:dyDescent="0.25">
      <c r="A29" s="191">
        <v>24</v>
      </c>
      <c r="B29" s="89" t="s">
        <v>197</v>
      </c>
      <c r="C29" s="89" t="s">
        <v>179</v>
      </c>
      <c r="D29" s="69" t="str">
        <f>'Indoor Inputs'!E63</f>
        <v>Curing Lighting Intensity</v>
      </c>
      <c r="E29" s="69">
        <f>'Indoor Inputs'!F63</f>
        <v>0</v>
      </c>
      <c r="F29" s="69">
        <v>10</v>
      </c>
      <c r="G29" s="69">
        <f>'Indoor Inputs'!H63</f>
        <v>0</v>
      </c>
      <c r="H29" s="69" t="str">
        <f>'Indoor Inputs'!I63</f>
        <v>W/m^2</v>
      </c>
      <c r="I29" s="89" t="s">
        <v>1460</v>
      </c>
      <c r="J29" s="69">
        <f t="shared" si="3"/>
        <v>10</v>
      </c>
      <c r="K29" s="89" t="str">
        <f t="shared" si="4"/>
        <v>W/m^2</v>
      </c>
      <c r="L29" s="69"/>
    </row>
    <row r="30" spans="1:16" x14ac:dyDescent="0.25">
      <c r="A30" s="191">
        <v>25</v>
      </c>
      <c r="B30" s="89" t="s">
        <v>197</v>
      </c>
      <c r="C30" s="89" t="s">
        <v>179</v>
      </c>
      <c r="D30" s="69" t="str">
        <f>'Indoor Inputs'!E80</f>
        <v>Clone Room Temperature Day (High)</v>
      </c>
      <c r="E30" s="69">
        <f>'Indoor Inputs'!F80</f>
        <v>26.666666666666668</v>
      </c>
      <c r="F30" s="69">
        <f>'Indoor Inputs'!G80</f>
        <v>25.277777777777779</v>
      </c>
      <c r="G30" s="69">
        <f>'Indoor Inputs'!H80</f>
        <v>23.888888888888889</v>
      </c>
      <c r="H30" s="69" t="str">
        <f>'Indoor Inputs'!I80</f>
        <v>deg C</v>
      </c>
      <c r="I30" s="89" t="s">
        <v>1460</v>
      </c>
      <c r="J30" s="69">
        <f t="shared" si="3"/>
        <v>25.277777777777779</v>
      </c>
      <c r="K30" s="89" t="str">
        <f t="shared" si="4"/>
        <v>deg C</v>
      </c>
      <c r="L30" s="69"/>
    </row>
    <row r="31" spans="1:16" s="31" customFormat="1" x14ac:dyDescent="0.25">
      <c r="A31" s="191">
        <v>26</v>
      </c>
      <c r="B31" s="89" t="s">
        <v>197</v>
      </c>
      <c r="C31" s="89" t="s">
        <v>179</v>
      </c>
      <c r="D31" s="69" t="str">
        <f>'Indoor Inputs'!E81</f>
        <v>Vegetative Day Temperature</v>
      </c>
      <c r="E31" s="69">
        <f>'Indoor Inputs'!F81</f>
        <v>23.888888888888889</v>
      </c>
      <c r="F31" s="69">
        <f>'Indoor Inputs'!G81</f>
        <v>22.5</v>
      </c>
      <c r="G31" s="69">
        <f>'Indoor Inputs'!H81</f>
        <v>21.111111111111111</v>
      </c>
      <c r="H31" s="69" t="str">
        <f>'Indoor Inputs'!I81</f>
        <v>deg C</v>
      </c>
      <c r="I31" s="89" t="s">
        <v>1460</v>
      </c>
      <c r="J31" s="69">
        <f t="shared" si="3"/>
        <v>22.5</v>
      </c>
      <c r="K31" s="89" t="str">
        <f t="shared" si="4"/>
        <v>deg C</v>
      </c>
      <c r="L31" s="69"/>
    </row>
    <row r="32" spans="1:16" s="31" customFormat="1" x14ac:dyDescent="0.25">
      <c r="A32" s="191">
        <v>27</v>
      </c>
      <c r="B32" s="89" t="s">
        <v>197</v>
      </c>
      <c r="C32" s="89" t="s">
        <v>179</v>
      </c>
      <c r="D32" s="69" t="str">
        <f>'Indoor Inputs'!E82</f>
        <v>Flowering Day Temperature</v>
      </c>
      <c r="E32" s="69">
        <f>'Indoor Inputs'!F82</f>
        <v>29.444444444444443</v>
      </c>
      <c r="F32" s="69">
        <f>'Indoor Inputs'!G82</f>
        <v>28.055555555555557</v>
      </c>
      <c r="G32" s="69">
        <f>'Indoor Inputs'!H82</f>
        <v>26.666666666666668</v>
      </c>
      <c r="H32" s="69" t="str">
        <f>'Indoor Inputs'!I82</f>
        <v>deg C</v>
      </c>
      <c r="I32" s="89" t="s">
        <v>1460</v>
      </c>
      <c r="J32" s="69">
        <f t="shared" si="3"/>
        <v>28.055555555555557</v>
      </c>
      <c r="K32" s="89" t="str">
        <f t="shared" si="4"/>
        <v>deg C</v>
      </c>
      <c r="L32" s="69"/>
    </row>
    <row r="33" spans="1:12" s="31" customFormat="1" x14ac:dyDescent="0.25">
      <c r="A33" s="191">
        <v>28</v>
      </c>
      <c r="B33" s="89" t="s">
        <v>197</v>
      </c>
      <c r="C33" s="89" t="s">
        <v>179</v>
      </c>
      <c r="D33" s="69" t="str">
        <f>'Indoor Inputs'!E83</f>
        <v>Curing Day Temperature</v>
      </c>
      <c r="E33" s="69">
        <f>'Indoor Inputs'!F83</f>
        <v>23.888888888888889</v>
      </c>
      <c r="F33" s="69">
        <f>'Indoor Inputs'!G83</f>
        <v>22.5</v>
      </c>
      <c r="G33" s="69">
        <f>'Indoor Inputs'!H83</f>
        <v>21.111111111111111</v>
      </c>
      <c r="H33" s="69" t="str">
        <f>'Indoor Inputs'!I83</f>
        <v>deg C</v>
      </c>
      <c r="I33" s="89" t="s">
        <v>1460</v>
      </c>
      <c r="J33" s="69">
        <f t="shared" si="3"/>
        <v>22.5</v>
      </c>
      <c r="K33" s="89" t="str">
        <f t="shared" si="4"/>
        <v>deg C</v>
      </c>
      <c r="L33" s="69"/>
    </row>
    <row r="34" spans="1:12" s="31" customFormat="1" x14ac:dyDescent="0.25">
      <c r="A34" s="191">
        <v>29</v>
      </c>
      <c r="B34" s="89" t="s">
        <v>197</v>
      </c>
      <c r="C34" s="89" t="s">
        <v>179</v>
      </c>
      <c r="D34" s="69" t="str">
        <f>'Indoor Inputs'!E86</f>
        <v>Vegetative Night Temperature</v>
      </c>
      <c r="E34" s="69">
        <f>'Indoor Inputs'!F86</f>
        <v>18.333333333333332</v>
      </c>
      <c r="F34" s="69">
        <f>'Indoor Inputs'!G86</f>
        <v>16.944444444444443</v>
      </c>
      <c r="G34" s="69">
        <f>'Indoor Inputs'!H86</f>
        <v>15.555555555555555</v>
      </c>
      <c r="H34" s="69" t="str">
        <f>'Indoor Inputs'!I86</f>
        <v>deg C</v>
      </c>
      <c r="I34" s="89" t="s">
        <v>1460</v>
      </c>
      <c r="J34" s="69">
        <f t="shared" si="3"/>
        <v>16.944444444444443</v>
      </c>
      <c r="K34" s="89" t="str">
        <f t="shared" si="4"/>
        <v>deg C</v>
      </c>
      <c r="L34" s="69"/>
    </row>
    <row r="35" spans="1:12" s="31" customFormat="1" x14ac:dyDescent="0.25">
      <c r="A35" s="191">
        <v>30</v>
      </c>
      <c r="B35" s="89" t="s">
        <v>197</v>
      </c>
      <c r="C35" s="89" t="s">
        <v>179</v>
      </c>
      <c r="D35" s="69" t="str">
        <f>'Indoor Inputs'!E87</f>
        <v>Flowering Night Temperature</v>
      </c>
      <c r="E35" s="69">
        <f>'Indoor Inputs'!F87</f>
        <v>23.888888888888889</v>
      </c>
      <c r="F35" s="69">
        <f>'Indoor Inputs'!G87</f>
        <v>22.5</v>
      </c>
      <c r="G35" s="69">
        <f>'Indoor Inputs'!H87</f>
        <v>21.111111111111111</v>
      </c>
      <c r="H35" s="69" t="str">
        <f>'Indoor Inputs'!I87</f>
        <v>deg C</v>
      </c>
      <c r="I35" s="89" t="s">
        <v>1460</v>
      </c>
      <c r="J35" s="69">
        <f t="shared" si="3"/>
        <v>22.5</v>
      </c>
      <c r="K35" s="89" t="str">
        <f t="shared" si="4"/>
        <v>deg C</v>
      </c>
      <c r="L35" s="69"/>
    </row>
    <row r="36" spans="1:12" s="31" customFormat="1" x14ac:dyDescent="0.25">
      <c r="A36" s="191">
        <v>31</v>
      </c>
      <c r="B36" s="89" t="s">
        <v>197</v>
      </c>
      <c r="C36" s="89" t="s">
        <v>179</v>
      </c>
      <c r="D36" s="69" t="str">
        <f>'Indoor Inputs'!E88</f>
        <v>Curing Night Temperature</v>
      </c>
      <c r="E36" s="69">
        <f>'Indoor Inputs'!F88</f>
        <v>18.333333333333332</v>
      </c>
      <c r="F36" s="69">
        <f>'Indoor Inputs'!G88</f>
        <v>16.944444444444443</v>
      </c>
      <c r="G36" s="69">
        <f>'Indoor Inputs'!H88</f>
        <v>15.555555555555555</v>
      </c>
      <c r="H36" s="69" t="str">
        <f>'Indoor Inputs'!I88</f>
        <v>deg C</v>
      </c>
      <c r="I36" s="89" t="s">
        <v>1460</v>
      </c>
      <c r="J36" s="69">
        <f t="shared" si="3"/>
        <v>16.944444444444443</v>
      </c>
      <c r="K36" s="89" t="str">
        <f t="shared" si="4"/>
        <v>deg C</v>
      </c>
      <c r="L36" s="69"/>
    </row>
    <row r="37" spans="1:12" s="31" customFormat="1" x14ac:dyDescent="0.25">
      <c r="A37" s="191">
        <v>32</v>
      </c>
      <c r="B37" s="89" t="s">
        <v>197</v>
      </c>
      <c r="C37" s="89" t="s">
        <v>179</v>
      </c>
      <c r="D37" s="69" t="str">
        <f>'Indoor Inputs'!E55</f>
        <v>Clone Room Exposure</v>
      </c>
      <c r="E37" s="69">
        <f>'Indoor Inputs'!F55</f>
        <v>24</v>
      </c>
      <c r="F37" s="69">
        <f>'Indoor Inputs'!G55</f>
        <v>24</v>
      </c>
      <c r="G37" s="69">
        <f>'Indoor Inputs'!H55</f>
        <v>16</v>
      </c>
      <c r="H37" s="69" t="str">
        <f>'Indoor Inputs'!I55</f>
        <v>hrs/day</v>
      </c>
      <c r="I37" s="89" t="s">
        <v>1460</v>
      </c>
      <c r="J37" s="69">
        <f t="shared" si="3"/>
        <v>24</v>
      </c>
      <c r="K37" s="89" t="str">
        <f t="shared" si="4"/>
        <v>hrs/day</v>
      </c>
      <c r="L37" s="69"/>
    </row>
    <row r="38" spans="1:12" s="31" customFormat="1" x14ac:dyDescent="0.25">
      <c r="A38" s="191">
        <v>33</v>
      </c>
      <c r="B38" s="89" t="s">
        <v>197</v>
      </c>
      <c r="C38" s="89" t="s">
        <v>179</v>
      </c>
      <c r="D38" s="69" t="str">
        <f>'Indoor Inputs'!E56</f>
        <v>Vegetative Growth Exposure</v>
      </c>
      <c r="E38" s="69">
        <f>'Indoor Inputs'!F56</f>
        <v>20</v>
      </c>
      <c r="F38" s="69">
        <f>'Indoor Inputs'!G56</f>
        <v>18</v>
      </c>
      <c r="G38" s="69">
        <f>'Indoor Inputs'!H56</f>
        <v>16</v>
      </c>
      <c r="H38" s="69" t="str">
        <f>'Indoor Inputs'!I56</f>
        <v>hrs/day</v>
      </c>
      <c r="I38" s="89" t="s">
        <v>1460</v>
      </c>
      <c r="J38" s="69">
        <f t="shared" si="3"/>
        <v>18</v>
      </c>
      <c r="K38" s="89" t="str">
        <f t="shared" si="4"/>
        <v>hrs/day</v>
      </c>
      <c r="L38" s="69"/>
    </row>
    <row r="39" spans="1:12" s="31" customFormat="1" x14ac:dyDescent="0.25">
      <c r="A39" s="191">
        <v>34</v>
      </c>
      <c r="B39" s="89" t="s">
        <v>197</v>
      </c>
      <c r="C39" s="89" t="s">
        <v>179</v>
      </c>
      <c r="D39" s="69" t="str">
        <f>'Indoor Inputs'!E57</f>
        <v>Flowering Light Exposure</v>
      </c>
      <c r="E39" s="69">
        <f>'Indoor Inputs'!F57</f>
        <v>0</v>
      </c>
      <c r="F39" s="69">
        <f>'Indoor Inputs'!G57</f>
        <v>12</v>
      </c>
      <c r="G39" s="69">
        <f>'Indoor Inputs'!H57</f>
        <v>0</v>
      </c>
      <c r="H39" s="69" t="str">
        <f>'Indoor Inputs'!I57</f>
        <v>hrs/day</v>
      </c>
      <c r="I39" s="89" t="s">
        <v>1460</v>
      </c>
      <c r="J39" s="69">
        <f t="shared" si="3"/>
        <v>12</v>
      </c>
      <c r="K39" s="89" t="str">
        <f t="shared" si="4"/>
        <v>hrs/day</v>
      </c>
      <c r="L39" s="69"/>
    </row>
    <row r="40" spans="1:12" s="31" customFormat="1" x14ac:dyDescent="0.25">
      <c r="A40" s="191">
        <v>35</v>
      </c>
      <c r="B40" s="89" t="s">
        <v>197</v>
      </c>
      <c r="C40" s="89" t="s">
        <v>179</v>
      </c>
      <c r="D40" s="69" t="str">
        <f>'Indoor Inputs'!E58</f>
        <v>Curing Light Exposure</v>
      </c>
      <c r="E40" s="69">
        <f>'Indoor Inputs'!F58</f>
        <v>0</v>
      </c>
      <c r="F40" s="69">
        <f>'Indoor Inputs'!G58</f>
        <v>18</v>
      </c>
      <c r="G40" s="69">
        <f>'Indoor Inputs'!H58</f>
        <v>0</v>
      </c>
      <c r="H40" s="69" t="str">
        <f>'Indoor Inputs'!I58</f>
        <v>hrs/day</v>
      </c>
      <c r="I40" s="89" t="s">
        <v>1460</v>
      </c>
      <c r="J40" s="69">
        <f t="shared" si="3"/>
        <v>18</v>
      </c>
      <c r="K40" s="89" t="str">
        <f t="shared" si="4"/>
        <v>hrs/day</v>
      </c>
      <c r="L40" s="69"/>
    </row>
    <row r="41" spans="1:12" s="31" customFormat="1" x14ac:dyDescent="0.25">
      <c r="A41" s="191">
        <v>36</v>
      </c>
      <c r="B41" s="89" t="s">
        <v>197</v>
      </c>
      <c r="C41" s="89" t="s">
        <v>179</v>
      </c>
      <c r="D41" s="69" t="str">
        <f>'Indoor Inputs'!E67</f>
        <v>Clone Room Relative Humidity Min</v>
      </c>
      <c r="E41" s="69">
        <f>'Indoor Inputs'!F67</f>
        <v>0.45</v>
      </c>
      <c r="F41" s="69">
        <f>'Indoor Inputs'!G67</f>
        <v>0.42499999999999999</v>
      </c>
      <c r="G41" s="69">
        <f>'Indoor Inputs'!H67</f>
        <v>0.4</v>
      </c>
      <c r="H41" s="69" t="str">
        <f>'Indoor Inputs'!I67</f>
        <v>% Relative Humidity</v>
      </c>
      <c r="I41" s="89" t="s">
        <v>1460</v>
      </c>
      <c r="J41" s="69">
        <f t="shared" si="3"/>
        <v>0.42499999999999999</v>
      </c>
      <c r="K41" s="89" t="str">
        <f t="shared" si="4"/>
        <v>% Relative Humidity</v>
      </c>
      <c r="L41" s="69"/>
    </row>
    <row r="42" spans="1:12" s="31" customFormat="1" x14ac:dyDescent="0.25">
      <c r="A42" s="191">
        <v>37</v>
      </c>
      <c r="B42" s="89" t="s">
        <v>197</v>
      </c>
      <c r="C42" s="89" t="s">
        <v>179</v>
      </c>
      <c r="D42" s="69" t="str">
        <f>'Indoor Inputs'!E70</f>
        <v>Vegetative Relative Humidity Min</v>
      </c>
      <c r="E42" s="69">
        <f>'Indoor Inputs'!F70</f>
        <v>0.45</v>
      </c>
      <c r="F42" s="69">
        <f>'Indoor Inputs'!G70</f>
        <v>0.42499999999999999</v>
      </c>
      <c r="G42" s="69">
        <f>'Indoor Inputs'!H70</f>
        <v>0.4</v>
      </c>
      <c r="H42" s="69" t="str">
        <f>'Indoor Inputs'!I70</f>
        <v>% Relative Humidity</v>
      </c>
      <c r="I42" s="89" t="s">
        <v>1460</v>
      </c>
      <c r="J42" s="69">
        <f t="shared" si="3"/>
        <v>0.42499999999999999</v>
      </c>
      <c r="K42" s="89" t="str">
        <f t="shared" si="4"/>
        <v>% Relative Humidity</v>
      </c>
      <c r="L42" s="69"/>
    </row>
    <row r="43" spans="1:12" s="31" customFormat="1" x14ac:dyDescent="0.25">
      <c r="A43" s="191">
        <v>38</v>
      </c>
      <c r="B43" s="89" t="s">
        <v>197</v>
      </c>
      <c r="C43" s="89" t="s">
        <v>179</v>
      </c>
      <c r="D43" s="69" t="str">
        <f>'Indoor Inputs'!E73</f>
        <v>Flowering Relative Humidity Min</v>
      </c>
      <c r="E43" s="69">
        <f>'Indoor Inputs'!F73</f>
        <v>0.45</v>
      </c>
      <c r="F43" s="69">
        <f>'Indoor Inputs'!G73</f>
        <v>0.42499999999999999</v>
      </c>
      <c r="G43" s="69">
        <f>'Indoor Inputs'!H73</f>
        <v>0.4</v>
      </c>
      <c r="H43" s="69" t="str">
        <f>'Indoor Inputs'!I73</f>
        <v>% Relative Humidity</v>
      </c>
      <c r="I43" s="89" t="s">
        <v>1460</v>
      </c>
      <c r="J43" s="69">
        <f t="shared" si="3"/>
        <v>0.42499999999999999</v>
      </c>
      <c r="K43" s="89" t="str">
        <f t="shared" si="4"/>
        <v>% Relative Humidity</v>
      </c>
      <c r="L43" s="69"/>
    </row>
    <row r="44" spans="1:12" s="31" customFormat="1" x14ac:dyDescent="0.25">
      <c r="A44" s="191">
        <v>39</v>
      </c>
      <c r="B44" s="89" t="s">
        <v>197</v>
      </c>
      <c r="C44" s="89" t="s">
        <v>179</v>
      </c>
      <c r="D44" s="69" t="str">
        <f>'Indoor Inputs'!E76</f>
        <v>Curing Relative Humidity Min</v>
      </c>
      <c r="E44" s="69">
        <f>'Indoor Inputs'!F76</f>
        <v>0.35</v>
      </c>
      <c r="F44" s="69">
        <f>'Indoor Inputs'!G76</f>
        <v>0.32500000000000001</v>
      </c>
      <c r="G44" s="69">
        <f>'Indoor Inputs'!H76</f>
        <v>0.3</v>
      </c>
      <c r="H44" s="69" t="str">
        <f>'Indoor Inputs'!I76</f>
        <v>% Relative Humidity</v>
      </c>
      <c r="I44" s="89" t="s">
        <v>1460</v>
      </c>
      <c r="J44" s="69">
        <f t="shared" si="3"/>
        <v>0.32500000000000001</v>
      </c>
      <c r="K44" s="89" t="str">
        <f t="shared" si="4"/>
        <v>% Relative Humidity</v>
      </c>
      <c r="L44" s="69"/>
    </row>
    <row r="45" spans="1:12" x14ac:dyDescent="0.25">
      <c r="A45" s="191">
        <v>40</v>
      </c>
      <c r="B45" s="69" t="s">
        <v>197</v>
      </c>
      <c r="C45" s="69" t="s">
        <v>179</v>
      </c>
      <c r="D45" s="69" t="str">
        <f>'Indoor Inputs'!E110</f>
        <v>Delivered Water Temp</v>
      </c>
      <c r="E45" s="69">
        <f>'Indoor Inputs'!F110</f>
        <v>23.888888888888889</v>
      </c>
      <c r="F45" s="69">
        <f>'Indoor Inputs'!G111</f>
        <v>16.3</v>
      </c>
      <c r="G45" s="69">
        <f>'Indoor Inputs'!H110</f>
        <v>15.555555555555555</v>
      </c>
      <c r="H45" s="69" t="str">
        <f>'Indoor Inputs'!I110</f>
        <v>C</v>
      </c>
      <c r="I45" s="69" t="s">
        <v>1460</v>
      </c>
      <c r="J45" s="69">
        <f t="shared" si="3"/>
        <v>16.3</v>
      </c>
      <c r="K45" s="89" t="str">
        <f t="shared" si="4"/>
        <v>C</v>
      </c>
      <c r="L45" s="69" t="s">
        <v>1531</v>
      </c>
    </row>
    <row r="46" spans="1:12" x14ac:dyDescent="0.25">
      <c r="A46" s="191">
        <v>41</v>
      </c>
      <c r="B46" s="69" t="s">
        <v>197</v>
      </c>
      <c r="C46" s="69" t="s">
        <v>179</v>
      </c>
      <c r="D46" s="69" t="str">
        <f>'Indoor Inputs'!E111</f>
        <v>Well Water Temp</v>
      </c>
      <c r="E46" s="69">
        <f>'Indoor Inputs'!F111</f>
        <v>17.3</v>
      </c>
      <c r="F46" s="69">
        <f>'Indoor Inputs'!G111</f>
        <v>16.3</v>
      </c>
      <c r="G46" s="69">
        <f>'Indoor Inputs'!H111</f>
        <v>15.3</v>
      </c>
      <c r="H46" s="69" t="str">
        <f>'Indoor Inputs'!I111</f>
        <v>C</v>
      </c>
      <c r="I46" s="69" t="s">
        <v>1460</v>
      </c>
      <c r="J46" s="69">
        <f t="shared" ref="J46:J52" si="5">F46</f>
        <v>16.3</v>
      </c>
      <c r="K46" s="89" t="str">
        <f t="shared" si="4"/>
        <v>C</v>
      </c>
      <c r="L46" s="69"/>
    </row>
    <row r="47" spans="1:12" x14ac:dyDescent="0.25">
      <c r="A47" s="191">
        <v>42</v>
      </c>
      <c r="B47" s="89" t="s">
        <v>197</v>
      </c>
      <c r="C47" s="89" t="s">
        <v>179</v>
      </c>
      <c r="D47" s="69" t="s">
        <v>1502</v>
      </c>
      <c r="E47" s="69">
        <v>0.5</v>
      </c>
      <c r="F47" s="267">
        <v>0.25</v>
      </c>
      <c r="G47" s="69">
        <v>0.1</v>
      </c>
      <c r="H47" s="69" t="s">
        <v>1271</v>
      </c>
      <c r="I47" s="89" t="s">
        <v>1272</v>
      </c>
      <c r="J47" s="267">
        <f t="shared" si="5"/>
        <v>0.25</v>
      </c>
      <c r="K47" s="89" t="str">
        <f>H47</f>
        <v>% of grow volume</v>
      </c>
      <c r="L47" s="69"/>
    </row>
    <row r="48" spans="1:12" x14ac:dyDescent="0.25">
      <c r="A48" s="191">
        <v>43</v>
      </c>
      <c r="B48" s="89" t="s">
        <v>197</v>
      </c>
      <c r="C48" s="89" t="s">
        <v>179</v>
      </c>
      <c r="D48" s="69" t="s">
        <v>1505</v>
      </c>
      <c r="E48" s="69"/>
      <c r="F48" s="267">
        <f>'Indoor Inputs'!G97</f>
        <v>3.5179332142366362E-2</v>
      </c>
      <c r="G48" s="69"/>
      <c r="H48" s="69" t="s">
        <v>1496</v>
      </c>
      <c r="I48" s="89" t="s">
        <v>1272</v>
      </c>
      <c r="J48" s="184">
        <f t="shared" si="5"/>
        <v>3.5179332142366362E-2</v>
      </c>
      <c r="K48" s="69" t="str">
        <f>H48</f>
        <v>% of total greenhouse area</v>
      </c>
      <c r="L48" s="69">
        <v>0.25</v>
      </c>
    </row>
    <row r="49" spans="1:12" x14ac:dyDescent="0.25">
      <c r="A49" s="191">
        <v>44</v>
      </c>
      <c r="B49" s="89" t="s">
        <v>197</v>
      </c>
      <c r="C49" s="89" t="s">
        <v>179</v>
      </c>
      <c r="D49" s="69" t="s">
        <v>1506</v>
      </c>
      <c r="E49" s="69"/>
      <c r="F49" s="267">
        <f>'Indoor Inputs'!G98</f>
        <v>0.2253675965370345</v>
      </c>
      <c r="G49" s="69"/>
      <c r="H49" s="69" t="s">
        <v>1496</v>
      </c>
      <c r="I49" s="89" t="s">
        <v>1272</v>
      </c>
      <c r="J49" s="184">
        <f t="shared" si="5"/>
        <v>0.2253675965370345</v>
      </c>
      <c r="K49" s="69" t="str">
        <f>H49</f>
        <v>% of total greenhouse area</v>
      </c>
      <c r="L49" s="69">
        <v>1</v>
      </c>
    </row>
    <row r="50" spans="1:12" s="31" customFormat="1" x14ac:dyDescent="0.25">
      <c r="A50" s="191">
        <v>45</v>
      </c>
      <c r="B50" s="69" t="s">
        <v>253</v>
      </c>
      <c r="C50" s="69" t="s">
        <v>179</v>
      </c>
      <c r="D50" s="69" t="s">
        <v>1508</v>
      </c>
      <c r="E50" s="69"/>
      <c r="F50" s="69">
        <v>0</v>
      </c>
      <c r="G50" s="69"/>
      <c r="H50" s="69" t="s">
        <v>1496</v>
      </c>
      <c r="I50" s="89" t="s">
        <v>1272</v>
      </c>
      <c r="J50" s="184">
        <f t="shared" si="5"/>
        <v>0</v>
      </c>
      <c r="K50" s="69" t="str">
        <f>H50</f>
        <v>% of total greenhouse area</v>
      </c>
      <c r="L50" s="69">
        <v>0</v>
      </c>
    </row>
    <row r="51" spans="1:12" x14ac:dyDescent="0.25">
      <c r="A51" s="191">
        <v>46</v>
      </c>
      <c r="B51" s="69" t="s">
        <v>253</v>
      </c>
      <c r="C51" s="69" t="s">
        <v>179</v>
      </c>
      <c r="D51" s="69" t="s">
        <v>1507</v>
      </c>
      <c r="E51" s="69"/>
      <c r="F51" s="267">
        <f>'Indoor Inputs'!G100</f>
        <v>7.8328981723237587E-2</v>
      </c>
      <c r="G51" s="69"/>
      <c r="H51" s="69" t="s">
        <v>1496</v>
      </c>
      <c r="I51" s="69" t="s">
        <v>1272</v>
      </c>
      <c r="J51" s="69">
        <f t="shared" si="5"/>
        <v>7.8328981723237587E-2</v>
      </c>
      <c r="K51" s="69" t="str">
        <f>H51</f>
        <v>% of total greenhouse area</v>
      </c>
      <c r="L51" s="69">
        <v>0.25</v>
      </c>
    </row>
    <row r="52" spans="1:12" x14ac:dyDescent="0.25">
      <c r="A52" s="191">
        <v>47</v>
      </c>
      <c r="B52" s="285" t="s">
        <v>302</v>
      </c>
      <c r="C52" s="285" t="s">
        <v>179</v>
      </c>
      <c r="D52" s="285" t="s">
        <v>1273</v>
      </c>
      <c r="E52" s="285"/>
      <c r="F52" s="285">
        <v>13862435.053385301</v>
      </c>
      <c r="G52" s="285"/>
      <c r="H52" s="285" t="s">
        <v>1517</v>
      </c>
      <c r="I52" s="285" t="s">
        <v>608</v>
      </c>
      <c r="J52" s="285">
        <f t="shared" si="5"/>
        <v>13862435.053385301</v>
      </c>
      <c r="K52" s="285" t="s">
        <v>1517</v>
      </c>
      <c r="L52" s="285"/>
    </row>
    <row r="53" spans="1:12" x14ac:dyDescent="0.25">
      <c r="A53" s="191">
        <v>48</v>
      </c>
      <c r="B53" s="285" t="s">
        <v>302</v>
      </c>
      <c r="C53" s="285" t="s">
        <v>179</v>
      </c>
      <c r="D53" s="285" t="s">
        <v>978</v>
      </c>
      <c r="E53" s="285"/>
      <c r="F53" s="285">
        <v>19660916.349633601</v>
      </c>
      <c r="G53" s="285"/>
      <c r="H53" s="285" t="s">
        <v>1517</v>
      </c>
      <c r="I53" s="285" t="s">
        <v>608</v>
      </c>
      <c r="J53" s="285">
        <f t="shared" ref="J53:J64" si="6">F53</f>
        <v>19660916.349633601</v>
      </c>
      <c r="K53" s="285" t="s">
        <v>1517</v>
      </c>
      <c r="L53" s="285"/>
    </row>
    <row r="54" spans="1:12" x14ac:dyDescent="0.25">
      <c r="A54" s="191">
        <v>49</v>
      </c>
      <c r="B54" s="285" t="s">
        <v>302</v>
      </c>
      <c r="C54" s="285" t="s">
        <v>179</v>
      </c>
      <c r="D54" s="285" t="s">
        <v>979</v>
      </c>
      <c r="E54" s="285"/>
      <c r="F54" s="285">
        <v>3929570.8841944798</v>
      </c>
      <c r="G54" s="285"/>
      <c r="H54" s="285" t="s">
        <v>1517</v>
      </c>
      <c r="I54" s="285" t="s">
        <v>608</v>
      </c>
      <c r="J54" s="285">
        <f t="shared" si="6"/>
        <v>3929570.8841944798</v>
      </c>
      <c r="K54" s="285" t="s">
        <v>1517</v>
      </c>
      <c r="L54" s="285"/>
    </row>
    <row r="55" spans="1:12" s="31" customFormat="1" x14ac:dyDescent="0.25">
      <c r="A55" s="191">
        <v>50</v>
      </c>
      <c r="B55" s="285" t="s">
        <v>302</v>
      </c>
      <c r="C55" s="285" t="s">
        <v>179</v>
      </c>
      <c r="D55" s="285" t="s">
        <v>1274</v>
      </c>
      <c r="E55" s="285"/>
      <c r="F55" s="285">
        <v>7386862.01645255</v>
      </c>
      <c r="G55" s="285"/>
      <c r="H55" s="285" t="s">
        <v>1517</v>
      </c>
      <c r="I55" s="285" t="s">
        <v>608</v>
      </c>
      <c r="J55" s="285">
        <f t="shared" si="6"/>
        <v>7386862.01645255</v>
      </c>
      <c r="K55" s="285" t="s">
        <v>1517</v>
      </c>
      <c r="L55" s="285"/>
    </row>
    <row r="56" spans="1:12" s="31" customFormat="1" x14ac:dyDescent="0.25">
      <c r="A56" s="191">
        <v>51</v>
      </c>
      <c r="B56" s="285" t="s">
        <v>302</v>
      </c>
      <c r="C56" s="285" t="s">
        <v>179</v>
      </c>
      <c r="D56" s="285" t="s">
        <v>1275</v>
      </c>
      <c r="E56" s="285"/>
      <c r="F56" s="285">
        <v>1896776.1318751499</v>
      </c>
      <c r="G56" s="285"/>
      <c r="H56" s="285" t="s">
        <v>1517</v>
      </c>
      <c r="I56" s="285" t="s">
        <v>608</v>
      </c>
      <c r="J56" s="285">
        <f t="shared" si="6"/>
        <v>1896776.1318751499</v>
      </c>
      <c r="K56" s="285" t="s">
        <v>1517</v>
      </c>
      <c r="L56" s="285"/>
    </row>
    <row r="57" spans="1:12" s="31" customFormat="1" x14ac:dyDescent="0.25">
      <c r="A57" s="191">
        <v>52</v>
      </c>
      <c r="B57" s="285" t="s">
        <v>302</v>
      </c>
      <c r="C57" s="285" t="s">
        <v>179</v>
      </c>
      <c r="D57" s="285" t="s">
        <v>546</v>
      </c>
      <c r="E57" s="285"/>
      <c r="F57" s="285">
        <v>18725165.365347899</v>
      </c>
      <c r="G57" s="285"/>
      <c r="H57" s="285" t="s">
        <v>1517</v>
      </c>
      <c r="I57" s="285" t="s">
        <v>608</v>
      </c>
      <c r="J57" s="285">
        <f t="shared" si="6"/>
        <v>18725165.365347899</v>
      </c>
      <c r="K57" s="285" t="s">
        <v>1517</v>
      </c>
      <c r="L57" s="285"/>
    </row>
    <row r="58" spans="1:12" s="31" customFormat="1" x14ac:dyDescent="0.25">
      <c r="A58" s="191">
        <v>53</v>
      </c>
      <c r="B58" s="285" t="s">
        <v>302</v>
      </c>
      <c r="C58" s="285" t="s">
        <v>179</v>
      </c>
      <c r="D58" s="285" t="s">
        <v>558</v>
      </c>
      <c r="E58" s="285"/>
      <c r="F58" s="285">
        <v>3085.2766180644298</v>
      </c>
      <c r="G58" s="285"/>
      <c r="H58" s="285" t="s">
        <v>1064</v>
      </c>
      <c r="I58" s="285" t="s">
        <v>608</v>
      </c>
      <c r="J58" s="285">
        <f t="shared" si="6"/>
        <v>3085.2766180644298</v>
      </c>
      <c r="K58" s="285" t="str">
        <f t="shared" ref="K58:K64" si="7">H58</f>
        <v>kg CO2/yr</v>
      </c>
      <c r="L58" s="285"/>
    </row>
    <row r="59" spans="1:12" s="31" customFormat="1" x14ac:dyDescent="0.25">
      <c r="A59" s="191">
        <v>54</v>
      </c>
      <c r="B59" s="285" t="s">
        <v>302</v>
      </c>
      <c r="C59" s="285" t="s">
        <v>179</v>
      </c>
      <c r="D59" s="285" t="s">
        <v>1028</v>
      </c>
      <c r="E59" s="285"/>
      <c r="F59" s="285">
        <v>76.436799999997305</v>
      </c>
      <c r="G59" s="285"/>
      <c r="H59" s="408" t="s">
        <v>1029</v>
      </c>
      <c r="I59" s="285" t="s">
        <v>608</v>
      </c>
      <c r="J59" s="285">
        <f t="shared" si="6"/>
        <v>76.436799999997305</v>
      </c>
      <c r="K59" s="285" t="str">
        <f t="shared" si="7"/>
        <v>kg H2O/m^2 grow area-yr</v>
      </c>
      <c r="L59" s="285"/>
    </row>
    <row r="60" spans="1:12" s="31" customFormat="1" x14ac:dyDescent="0.25">
      <c r="A60" s="191">
        <v>55</v>
      </c>
      <c r="B60" s="285" t="s">
        <v>302</v>
      </c>
      <c r="C60" s="285" t="s">
        <v>179</v>
      </c>
      <c r="D60" s="285" t="s">
        <v>1045</v>
      </c>
      <c r="E60" s="285"/>
      <c r="F60" s="285">
        <v>3726618.8534198902</v>
      </c>
      <c r="G60" s="285"/>
      <c r="H60" s="285" t="s">
        <v>1046</v>
      </c>
      <c r="I60" s="285" t="s">
        <v>608</v>
      </c>
      <c r="J60" s="285">
        <f t="shared" si="6"/>
        <v>3726618.8534198902</v>
      </c>
      <c r="K60" s="285" t="str">
        <f t="shared" si="7"/>
        <v>gal/year</v>
      </c>
      <c r="L60" s="285"/>
    </row>
    <row r="61" spans="1:12" s="31" customFormat="1" x14ac:dyDescent="0.25">
      <c r="A61" s="191">
        <v>56</v>
      </c>
      <c r="B61" s="285" t="s">
        <v>302</v>
      </c>
      <c r="C61" s="285" t="s">
        <v>179</v>
      </c>
      <c r="D61" s="285" t="s">
        <v>1257</v>
      </c>
      <c r="E61" s="285"/>
      <c r="F61" s="285">
        <v>0</v>
      </c>
      <c r="G61" s="285"/>
      <c r="H61" s="285" t="s">
        <v>1517</v>
      </c>
      <c r="I61" s="285" t="s">
        <v>608</v>
      </c>
      <c r="J61" s="285">
        <f t="shared" si="6"/>
        <v>0</v>
      </c>
      <c r="K61" s="285" t="s">
        <v>1517</v>
      </c>
      <c r="L61" s="285"/>
    </row>
    <row r="62" spans="1:12" s="31" customFormat="1" x14ac:dyDescent="0.25">
      <c r="A62" s="191">
        <v>57</v>
      </c>
      <c r="B62" s="285" t="s">
        <v>302</v>
      </c>
      <c r="C62" s="285" t="s">
        <v>179</v>
      </c>
      <c r="D62" s="285" t="s">
        <v>1283</v>
      </c>
      <c r="E62" s="285"/>
      <c r="F62" s="285">
        <v>25987370.451228298</v>
      </c>
      <c r="G62" s="285"/>
      <c r="H62" s="285" t="s">
        <v>1517</v>
      </c>
      <c r="I62" s="285" t="s">
        <v>608</v>
      </c>
      <c r="J62" s="285">
        <f t="shared" si="6"/>
        <v>25987370.451228298</v>
      </c>
      <c r="K62" s="285" t="s">
        <v>1517</v>
      </c>
      <c r="L62" s="285"/>
    </row>
    <row r="63" spans="1:12" s="31" customFormat="1" x14ac:dyDescent="0.25">
      <c r="A63" s="191">
        <v>58</v>
      </c>
      <c r="B63" s="69" t="s">
        <v>302</v>
      </c>
      <c r="C63" s="69" t="s">
        <v>179</v>
      </c>
      <c r="D63" s="69" t="s">
        <v>1519</v>
      </c>
      <c r="E63" s="69"/>
      <c r="F63" s="69">
        <f>J6*J12*J13</f>
        <v>3034.3503068269702</v>
      </c>
      <c r="G63" s="69"/>
      <c r="H63" s="69" t="s">
        <v>1520</v>
      </c>
      <c r="I63" s="69" t="s">
        <v>882</v>
      </c>
      <c r="J63" s="89">
        <f t="shared" si="6"/>
        <v>3034.3503068269702</v>
      </c>
      <c r="K63" s="69" t="str">
        <f t="shared" si="7"/>
        <v>kg-bud/year</v>
      </c>
      <c r="L63" s="69"/>
    </row>
    <row r="64" spans="1:12" s="31" customFormat="1" x14ac:dyDescent="0.25">
      <c r="A64" s="191">
        <v>59</v>
      </c>
      <c r="B64" s="69" t="s">
        <v>197</v>
      </c>
      <c r="C64" s="69" t="s">
        <v>179</v>
      </c>
      <c r="D64" s="69" t="s">
        <v>1526</v>
      </c>
      <c r="E64" s="69"/>
      <c r="F64" s="69">
        <v>9300</v>
      </c>
      <c r="G64" s="69"/>
      <c r="H64" s="69" t="s">
        <v>1527</v>
      </c>
      <c r="I64" s="69" t="s">
        <v>1528</v>
      </c>
      <c r="J64" s="89">
        <f t="shared" si="6"/>
        <v>9300</v>
      </c>
      <c r="K64" s="69" t="str">
        <f t="shared" si="7"/>
        <v>plants/year</v>
      </c>
      <c r="L64" s="69"/>
    </row>
    <row r="65" spans="1:15" s="31" customFormat="1" x14ac:dyDescent="0.25">
      <c r="A65" s="191">
        <v>60</v>
      </c>
      <c r="B65" s="69" t="s">
        <v>197</v>
      </c>
      <c r="C65" s="69" t="s">
        <v>179</v>
      </c>
      <c r="D65" s="69" t="str">
        <f>'Indoor Inputs'!E26</f>
        <v>Neem oil for insecticide</v>
      </c>
      <c r="E65" s="69"/>
      <c r="F65" s="69">
        <f>'Indoor Inputs'!G26</f>
        <v>0.27500000000000002</v>
      </c>
      <c r="G65" s="69"/>
      <c r="H65" s="69" t="str">
        <f>'Indoor Inputs'!I26</f>
        <v>liters/plant-cycle</v>
      </c>
      <c r="I65" s="69"/>
      <c r="J65" s="388">
        <f>F65</f>
        <v>0.27500000000000002</v>
      </c>
      <c r="K65" s="69" t="str">
        <f>H65</f>
        <v>liters/plant-cycle</v>
      </c>
      <c r="L65" s="69"/>
    </row>
    <row r="66" spans="1:15" s="31" customFormat="1" x14ac:dyDescent="0.25">
      <c r="A66" s="191">
        <v>61</v>
      </c>
      <c r="B66" s="69" t="s">
        <v>197</v>
      </c>
      <c r="C66" s="69" t="s">
        <v>179</v>
      </c>
      <c r="D66" s="69" t="str">
        <f>'Indoor Inputs'!E91</f>
        <v>Coco Coir as Soil</v>
      </c>
      <c r="E66" s="69"/>
      <c r="F66" s="69">
        <f>'Indoor Inputs'!G91</f>
        <v>3.2128672800000001E-2</v>
      </c>
      <c r="G66" s="69"/>
      <c r="H66" s="69" t="str">
        <f>'Indoor Inputs'!I91</f>
        <v>m^3/plant</v>
      </c>
      <c r="I66" s="69"/>
      <c r="J66" s="69">
        <f>F66</f>
        <v>3.2128672800000001E-2</v>
      </c>
      <c r="K66" s="69" t="str">
        <f>H66</f>
        <v>m^3/plant</v>
      </c>
      <c r="L66" s="69"/>
    </row>
    <row r="67" spans="1:15" s="31" customFormat="1" x14ac:dyDescent="0.25">
      <c r="A67" s="191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</row>
    <row r="68" spans="1:15" s="31" customFormat="1" x14ac:dyDescent="0.25">
      <c r="A68" s="191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</row>
    <row r="69" spans="1:15" x14ac:dyDescent="0.25">
      <c r="E69" s="410"/>
    </row>
    <row r="71" spans="1:15" x14ac:dyDescent="0.25">
      <c r="D71" t="s">
        <v>1509</v>
      </c>
      <c r="I71" t="s">
        <v>179</v>
      </c>
      <c r="J71" t="s">
        <v>180</v>
      </c>
      <c r="K71" t="s">
        <v>1530</v>
      </c>
      <c r="L71" t="s">
        <v>1532</v>
      </c>
      <c r="M71" t="s">
        <v>1533</v>
      </c>
      <c r="N71" t="s">
        <v>1534</v>
      </c>
    </row>
    <row r="72" spans="1:15" x14ac:dyDescent="0.25">
      <c r="D72" t="s">
        <v>1510</v>
      </c>
      <c r="E72">
        <v>3648</v>
      </c>
      <c r="H72" t="str">
        <f>D52</f>
        <v>Auxilary Dehumidification Load</v>
      </c>
      <c r="I72">
        <f>F52</f>
        <v>13862435.053385301</v>
      </c>
      <c r="J72" s="240">
        <f>'Indoor Inputs'!G42</f>
        <v>0</v>
      </c>
      <c r="K72" s="10" t="e">
        <f>(J72-I72)/J72</f>
        <v>#DIV/0!</v>
      </c>
      <c r="L72">
        <v>33560916.6150176</v>
      </c>
      <c r="M72" s="10">
        <v>0.75592533693494146</v>
      </c>
      <c r="N72" s="241">
        <v>9453779.3281740397</v>
      </c>
      <c r="O72" s="10">
        <f>(L72-N72)/L72</f>
        <v>0.71830985915492751</v>
      </c>
    </row>
    <row r="73" spans="1:15" x14ac:dyDescent="0.25">
      <c r="D73" t="s">
        <v>1511</v>
      </c>
      <c r="E73" s="410">
        <f>E72+24*7*F14</f>
        <v>4176</v>
      </c>
      <c r="H73" s="31" t="str">
        <f t="shared" ref="H73:H82" si="8">D53</f>
        <v>Simple Heating Load</v>
      </c>
      <c r="I73" s="31">
        <f t="shared" ref="I73:I82" si="9">F53</f>
        <v>19660916.349633601</v>
      </c>
      <c r="J73" s="246">
        <f>'Indoor Inputs'!G31</f>
        <v>1149596080.1667359</v>
      </c>
      <c r="K73" s="10">
        <f t="shared" ref="K73:K82" si="10">(J73-I73)/J73</f>
        <v>0.98289754402539187</v>
      </c>
      <c r="L73">
        <v>34115148.800202399</v>
      </c>
      <c r="M73" s="10">
        <v>0.65278371865239126</v>
      </c>
      <c r="N73" s="32">
        <v>18506882.9689565</v>
      </c>
      <c r="O73" s="10">
        <f t="shared" ref="O73:O82" si="11">(L73-N73)/L73</f>
        <v>0.45751715528654818</v>
      </c>
    </row>
    <row r="74" spans="1:15" x14ac:dyDescent="0.25">
      <c r="D74" t="s">
        <v>1512</v>
      </c>
      <c r="E74">
        <f>E73+24*7*F15</f>
        <v>4680</v>
      </c>
      <c r="H74" s="31" t="str">
        <f t="shared" si="8"/>
        <v>Simple Cooling Load</v>
      </c>
      <c r="I74" s="31">
        <f t="shared" si="9"/>
        <v>3929570.8841944798</v>
      </c>
      <c r="J74" s="246">
        <f>'Indoor Inputs'!G30</f>
        <v>34124228.863033369</v>
      </c>
      <c r="K74" s="10">
        <f t="shared" si="10"/>
        <v>0.8848451374544799</v>
      </c>
      <c r="L74">
        <v>4514082.0563267097</v>
      </c>
      <c r="M74" s="10">
        <v>-0.51085682607328275</v>
      </c>
      <c r="N74" s="32">
        <v>8994576.8348171897</v>
      </c>
      <c r="O74" s="10">
        <f t="shared" si="11"/>
        <v>-0.99255944455215306</v>
      </c>
    </row>
    <row r="75" spans="1:15" x14ac:dyDescent="0.25">
      <c r="D75" t="s">
        <v>1513</v>
      </c>
      <c r="E75">
        <f>E74+24*7*F16</f>
        <v>5184</v>
      </c>
      <c r="H75" s="31" t="str">
        <f t="shared" si="8"/>
        <v>Heating and Humidification Load</v>
      </c>
      <c r="I75" s="31">
        <f t="shared" si="9"/>
        <v>7386862.01645255</v>
      </c>
      <c r="J75" s="246">
        <f>'Indoor Inputs'!G36</f>
        <v>9374187282.8093834</v>
      </c>
      <c r="K75" s="10">
        <f t="shared" si="10"/>
        <v>0.99921199973996688</v>
      </c>
      <c r="L75">
        <v>10320865.4775423</v>
      </c>
      <c r="M75" s="10">
        <v>0.69832099262038771</v>
      </c>
      <c r="N75" s="32">
        <v>5758864.0628780602</v>
      </c>
      <c r="O75" s="10">
        <f t="shared" si="11"/>
        <v>0.44201733125879145</v>
      </c>
    </row>
    <row r="76" spans="1:15" x14ac:dyDescent="0.25">
      <c r="D76" t="s">
        <v>1514</v>
      </c>
      <c r="E76">
        <f>E75+24*7*F17</f>
        <v>6528</v>
      </c>
      <c r="H76" s="31" t="str">
        <f t="shared" si="8"/>
        <v>Cooling and Dehumidification Load</v>
      </c>
      <c r="I76" s="31">
        <f t="shared" si="9"/>
        <v>1896776.1318751499</v>
      </c>
      <c r="J76" s="246">
        <f>'Indoor Inputs'!G38</f>
        <v>69978169.336790681</v>
      </c>
      <c r="K76" s="10">
        <f t="shared" si="10"/>
        <v>0.97289474489184824</v>
      </c>
      <c r="L76">
        <v>5727.40672579696</v>
      </c>
      <c r="M76" s="10">
        <v>0.99930413736861146</v>
      </c>
      <c r="N76" s="32">
        <v>17128.340046462101</v>
      </c>
      <c r="O76" s="10">
        <f t="shared" si="11"/>
        <v>-1.9905925781931819</v>
      </c>
    </row>
    <row r="77" spans="1:15" x14ac:dyDescent="0.25">
      <c r="D77" t="s">
        <v>1515</v>
      </c>
      <c r="E77">
        <f>E76+24*7*F18</f>
        <v>7368</v>
      </c>
      <c r="H77" s="31" t="str">
        <f t="shared" si="8"/>
        <v>Electric Load from Lights</v>
      </c>
      <c r="I77" s="31">
        <f t="shared" si="9"/>
        <v>18725165.365347899</v>
      </c>
      <c r="J77" s="246">
        <f>'Indoor Inputs'!G39</f>
        <v>2307910251.849618</v>
      </c>
      <c r="K77" s="10">
        <f t="shared" si="10"/>
        <v>0.99188652793134346</v>
      </c>
      <c r="L77">
        <v>27015923.3450348</v>
      </c>
      <c r="M77" s="10">
        <v>0.96312018632517027</v>
      </c>
      <c r="N77" s="32">
        <v>27015923.3450348</v>
      </c>
      <c r="O77" s="10">
        <f t="shared" si="11"/>
        <v>0</v>
      </c>
    </row>
    <row r="78" spans="1:15" x14ac:dyDescent="0.25">
      <c r="H78" s="31" t="str">
        <f t="shared" si="8"/>
        <v xml:space="preserve">Carbon Dioxide </v>
      </c>
      <c r="I78" s="31">
        <f t="shared" si="9"/>
        <v>3085.2766180644298</v>
      </c>
      <c r="J78">
        <f>'Indoor Inputs'!G47</f>
        <v>1099958.1287367069</v>
      </c>
      <c r="K78" s="10">
        <f t="shared" si="10"/>
        <v>0.99719509630643144</v>
      </c>
      <c r="L78">
        <v>2056.8510787096402</v>
      </c>
      <c r="M78" s="10">
        <v>0.97478288553980719</v>
      </c>
      <c r="N78" s="32">
        <v>2056.8510787096402</v>
      </c>
      <c r="O78" s="10">
        <f t="shared" si="11"/>
        <v>0</v>
      </c>
    </row>
    <row r="79" spans="1:15" x14ac:dyDescent="0.25">
      <c r="H79" s="31" t="str">
        <f t="shared" si="8"/>
        <v>Evapotranspiration Rate</v>
      </c>
      <c r="I79" s="31">
        <f t="shared" si="9"/>
        <v>76.436799999997305</v>
      </c>
      <c r="J79" s="32">
        <f>'Indoor Inputs'!G46</f>
        <v>5489.0949097200237</v>
      </c>
      <c r="K79" s="10">
        <f t="shared" si="10"/>
        <v>0.98607478987753627</v>
      </c>
      <c r="L79">
        <v>65.644480000001394</v>
      </c>
      <c r="M79" s="10">
        <v>0.96222610385239116</v>
      </c>
      <c r="N79" s="32">
        <v>65.644480000001394</v>
      </c>
      <c r="O79" s="10">
        <f t="shared" si="11"/>
        <v>0</v>
      </c>
    </row>
    <row r="80" spans="1:15" x14ac:dyDescent="0.25">
      <c r="H80" s="31" t="str">
        <f t="shared" si="8"/>
        <v>Annual Watering</v>
      </c>
      <c r="I80" s="31">
        <f t="shared" si="9"/>
        <v>3726618.8534198902</v>
      </c>
      <c r="J80">
        <f>'Indoor Inputs'!G45</f>
        <v>1119458.4103951035</v>
      </c>
      <c r="K80" s="10">
        <f t="shared" si="10"/>
        <v>-2.3289480152323043</v>
      </c>
      <c r="L80">
        <v>4022787.5689465902</v>
      </c>
      <c r="M80" s="10">
        <v>-14.886361018800192</v>
      </c>
      <c r="N80" s="32">
        <v>4022787.5689465902</v>
      </c>
      <c r="O80" s="10">
        <f t="shared" si="11"/>
        <v>0</v>
      </c>
    </row>
    <row r="81" spans="5:15" x14ac:dyDescent="0.25">
      <c r="H81" s="31" t="str">
        <f t="shared" si="8"/>
        <v>Water Heating Energy</v>
      </c>
      <c r="I81" s="31">
        <v>0</v>
      </c>
      <c r="J81" s="32">
        <f>'Indoor Inputs'!G40</f>
        <v>5560322.2834840193</v>
      </c>
      <c r="K81" s="10">
        <f t="shared" si="10"/>
        <v>1</v>
      </c>
      <c r="L81">
        <v>0</v>
      </c>
      <c r="M81" s="10">
        <v>1</v>
      </c>
      <c r="N81" s="32">
        <v>0</v>
      </c>
      <c r="O81" s="10" t="e">
        <f t="shared" si="11"/>
        <v>#DIV/0!</v>
      </c>
    </row>
    <row r="82" spans="5:15" x14ac:dyDescent="0.25">
      <c r="E82">
        <f>F23*F64</f>
        <v>2325</v>
      </c>
      <c r="F82" t="s">
        <v>1521</v>
      </c>
      <c r="G82" t="s">
        <v>943</v>
      </c>
      <c r="H82" s="31" t="str">
        <f t="shared" si="8"/>
        <v>Auxilary Air Conditioning</v>
      </c>
      <c r="I82" s="31">
        <f t="shared" si="9"/>
        <v>25987370.451228298</v>
      </c>
      <c r="J82" s="246">
        <f>'Indoor Inputs'!G41</f>
        <v>128858278.20035788</v>
      </c>
      <c r="K82" s="10">
        <f t="shared" si="10"/>
        <v>0.79832595302242593</v>
      </c>
      <c r="L82">
        <v>74847967.444118306</v>
      </c>
      <c r="M82" s="10">
        <v>0.44011515642036775</v>
      </c>
      <c r="N82" s="32">
        <v>21083934.4913009</v>
      </c>
      <c r="O82" s="10">
        <f t="shared" si="11"/>
        <v>0.71830985915493006</v>
      </c>
    </row>
    <row r="83" spans="5:15" x14ac:dyDescent="0.25">
      <c r="E83" s="246">
        <f>F64*F24</f>
        <v>9300</v>
      </c>
      <c r="G83" t="s">
        <v>944</v>
      </c>
      <c r="H83" s="31"/>
      <c r="K83" s="10"/>
    </row>
    <row r="84" spans="5:15" x14ac:dyDescent="0.25">
      <c r="E84">
        <f>F64*F25</f>
        <v>46500</v>
      </c>
      <c r="G84" t="s">
        <v>1529</v>
      </c>
      <c r="H84" s="31"/>
      <c r="K84" s="10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Button 1">
              <controlPr defaultSize="0" print="0" autoFill="0" autoPict="0" macro="[0]!RunMatlab">
                <anchor moveWithCells="1" sizeWithCells="1">
                  <from>
                    <xdr:col>2</xdr:col>
                    <xdr:colOff>66675</xdr:colOff>
                    <xdr:row>0</xdr:row>
                    <xdr:rowOff>85725</xdr:rowOff>
                  </from>
                  <to>
                    <xdr:col>3</xdr:col>
                    <xdr:colOff>933450</xdr:colOff>
                    <xdr:row>3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E783331-4FDD-49BD-AC1E-FF4DFA7A1AA0}">
            <xm:f>B5&lt;&gt;'T:\SBAR\Baseline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B5:P5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 tint="-0.249977111117893"/>
  </sheetPr>
  <dimension ref="B1:AG126"/>
  <sheetViews>
    <sheetView zoomScale="55" zoomScaleNormal="55" workbookViewId="0">
      <selection activeCell="R8" sqref="R8"/>
    </sheetView>
  </sheetViews>
  <sheetFormatPr defaultRowHeight="15" x14ac:dyDescent="0.25"/>
  <cols>
    <col min="2" max="2" width="24.28515625" customWidth="1"/>
    <col min="3" max="4" width="12.85546875" customWidth="1"/>
    <col min="6" max="6" width="21.140625" customWidth="1"/>
    <col min="7" max="7" width="22.7109375" customWidth="1"/>
    <col min="8" max="8" width="18.140625" customWidth="1"/>
    <col min="9" max="9" width="21.28515625" customWidth="1"/>
    <col min="10" max="10" width="24.85546875" customWidth="1"/>
    <col min="18" max="22" width="18.140625" customWidth="1"/>
    <col min="25" max="33" width="15.140625" customWidth="1"/>
  </cols>
  <sheetData>
    <row r="1" spans="2:33" x14ac:dyDescent="0.25">
      <c r="B1" s="743"/>
      <c r="C1" s="743"/>
      <c r="D1" s="743"/>
      <c r="G1" s="31"/>
      <c r="H1" s="743"/>
      <c r="I1" s="743"/>
      <c r="J1" s="743"/>
    </row>
    <row r="2" spans="2:33" s="31" customFormat="1" x14ac:dyDescent="0.25">
      <c r="B2" s="173" t="s">
        <v>431</v>
      </c>
      <c r="C2" s="173" t="s">
        <v>199</v>
      </c>
      <c r="D2" s="173" t="s">
        <v>432</v>
      </c>
      <c r="E2" s="173" t="s">
        <v>433</v>
      </c>
      <c r="F2" s="173" t="s">
        <v>434</v>
      </c>
      <c r="G2" s="173" t="s">
        <v>435</v>
      </c>
      <c r="H2" s="173" t="s">
        <v>212</v>
      </c>
      <c r="I2" s="173" t="s">
        <v>194</v>
      </c>
      <c r="J2" s="751" t="s">
        <v>120</v>
      </c>
      <c r="K2" s="752"/>
      <c r="L2" s="752"/>
      <c r="M2" s="752"/>
      <c r="N2" s="752"/>
      <c r="O2" s="752"/>
      <c r="P2" s="753"/>
    </row>
    <row r="3" spans="2:33" s="31" customFormat="1" x14ac:dyDescent="0.25">
      <c r="B3" s="62" t="s">
        <v>436</v>
      </c>
      <c r="C3" s="174" t="s">
        <v>180</v>
      </c>
      <c r="D3" s="62" t="s">
        <v>197</v>
      </c>
      <c r="E3" s="62" t="s">
        <v>138</v>
      </c>
      <c r="F3" s="175" t="s">
        <v>225</v>
      </c>
      <c r="G3" s="175"/>
      <c r="H3" s="176">
        <f>H27</f>
        <v>0</v>
      </c>
      <c r="I3" s="175" t="s">
        <v>424</v>
      </c>
      <c r="J3" s="754"/>
      <c r="K3" s="754"/>
      <c r="L3" s="754"/>
      <c r="M3" s="754"/>
      <c r="N3" s="754"/>
      <c r="O3" s="754"/>
      <c r="P3" s="755"/>
    </row>
    <row r="4" spans="2:33" s="31" customFormat="1" x14ac:dyDescent="0.25">
      <c r="B4" s="62" t="s">
        <v>437</v>
      </c>
      <c r="C4" s="174" t="s">
        <v>180</v>
      </c>
      <c r="D4" s="62" t="s">
        <v>197</v>
      </c>
      <c r="E4" s="62" t="s">
        <v>138</v>
      </c>
      <c r="F4" s="175" t="s">
        <v>225</v>
      </c>
      <c r="G4" s="177"/>
      <c r="H4" s="176">
        <f>H43</f>
        <v>1460.0772003485231</v>
      </c>
      <c r="I4" s="175" t="s">
        <v>424</v>
      </c>
      <c r="J4" s="756"/>
      <c r="K4" s="756"/>
      <c r="L4" s="756"/>
      <c r="M4" s="756"/>
      <c r="N4" s="756"/>
      <c r="O4" s="756"/>
      <c r="P4" s="757"/>
    </row>
    <row r="5" spans="2:33" s="31" customFormat="1" x14ac:dyDescent="0.25">
      <c r="B5" s="62" t="s">
        <v>438</v>
      </c>
      <c r="C5" s="174" t="s">
        <v>180</v>
      </c>
      <c r="D5" s="62" t="s">
        <v>197</v>
      </c>
      <c r="E5" s="62" t="s">
        <v>138</v>
      </c>
      <c r="F5" s="175" t="s">
        <v>225</v>
      </c>
      <c r="G5" s="175"/>
      <c r="H5" s="178">
        <f>H59</f>
        <v>2488.7679551395281</v>
      </c>
      <c r="I5" s="175" t="s">
        <v>424</v>
      </c>
      <c r="J5" s="754"/>
      <c r="K5" s="754"/>
      <c r="L5" s="754"/>
      <c r="M5" s="754"/>
      <c r="N5" s="754"/>
      <c r="O5" s="754"/>
      <c r="P5" s="755"/>
    </row>
    <row r="6" spans="2:33" s="31" customFormat="1" x14ac:dyDescent="0.25">
      <c r="B6" s="62" t="s">
        <v>439</v>
      </c>
      <c r="C6" s="174" t="s">
        <v>180</v>
      </c>
      <c r="D6" s="62" t="s">
        <v>197</v>
      </c>
      <c r="E6" s="62" t="s">
        <v>138</v>
      </c>
      <c r="F6" s="175" t="s">
        <v>225</v>
      </c>
      <c r="G6" s="175"/>
      <c r="H6" s="176">
        <f>H74</f>
        <v>3268.2885951450285</v>
      </c>
      <c r="I6" s="175" t="s">
        <v>424</v>
      </c>
      <c r="J6" s="756"/>
      <c r="K6" s="756"/>
      <c r="L6" s="756"/>
      <c r="M6" s="756"/>
      <c r="N6" s="756"/>
      <c r="O6" s="756"/>
      <c r="P6" s="757"/>
    </row>
    <row r="7" spans="2:33" s="31" customFormat="1" x14ac:dyDescent="0.25">
      <c r="B7" s="62" t="s">
        <v>440</v>
      </c>
      <c r="C7" s="174" t="s">
        <v>180</v>
      </c>
      <c r="D7" s="62" t="s">
        <v>197</v>
      </c>
      <c r="E7" s="62" t="s">
        <v>138</v>
      </c>
      <c r="F7" s="175" t="s">
        <v>225</v>
      </c>
      <c r="G7" s="175"/>
      <c r="H7" s="176"/>
      <c r="I7" s="175" t="s">
        <v>424</v>
      </c>
      <c r="J7" s="756"/>
      <c r="K7" s="756"/>
      <c r="L7" s="756"/>
      <c r="M7" s="756"/>
      <c r="N7" s="756"/>
      <c r="O7" s="756"/>
      <c r="P7" s="757"/>
    </row>
    <row r="8" spans="2:33" s="31" customFormat="1" x14ac:dyDescent="0.25">
      <c r="B8" s="190" t="s">
        <v>517</v>
      </c>
      <c r="C8" s="190" t="s">
        <v>180</v>
      </c>
      <c r="D8" s="175" t="s">
        <v>197</v>
      </c>
      <c r="E8" s="175" t="s">
        <v>138</v>
      </c>
      <c r="F8" s="175" t="s">
        <v>518</v>
      </c>
      <c r="G8" s="69"/>
      <c r="H8" s="190">
        <f>'Indoor Backup Calcs'!E77</f>
        <v>80413019.895681083</v>
      </c>
      <c r="I8" s="191" t="s">
        <v>424</v>
      </c>
      <c r="J8" s="758"/>
      <c r="K8" s="759"/>
      <c r="L8" s="759"/>
      <c r="M8" s="759"/>
      <c r="N8" s="759"/>
      <c r="O8" s="759"/>
      <c r="P8" s="760"/>
    </row>
    <row r="9" spans="2:33" s="31" customFormat="1" x14ac:dyDescent="0.25">
      <c r="B9" s="190" t="s">
        <v>517</v>
      </c>
      <c r="C9" s="190" t="s">
        <v>204</v>
      </c>
      <c r="D9" s="190" t="s">
        <v>197</v>
      </c>
      <c r="E9" s="175" t="s">
        <v>138</v>
      </c>
      <c r="F9" s="175" t="s">
        <v>518</v>
      </c>
      <c r="G9" s="69"/>
      <c r="H9" s="190">
        <f>'Indoor Backup Calcs'!Q77</f>
        <v>12014579.183738055</v>
      </c>
      <c r="I9" s="191" t="s">
        <v>424</v>
      </c>
      <c r="J9" s="758"/>
      <c r="K9" s="759"/>
      <c r="L9" s="759"/>
      <c r="M9" s="759"/>
      <c r="N9" s="759"/>
      <c r="O9" s="759"/>
      <c r="P9" s="760"/>
    </row>
    <row r="10" spans="2:33" s="31" customFormat="1" x14ac:dyDescent="0.25">
      <c r="B10" s="190" t="s">
        <v>517</v>
      </c>
      <c r="C10" s="190" t="s">
        <v>180</v>
      </c>
      <c r="D10" s="190" t="s">
        <v>197</v>
      </c>
      <c r="E10" s="175" t="s">
        <v>138</v>
      </c>
      <c r="F10" s="175" t="s">
        <v>519</v>
      </c>
      <c r="G10" s="69"/>
      <c r="H10" s="190">
        <f>'Indoor Backup Calcs'!E69</f>
        <v>48933.024760897148</v>
      </c>
      <c r="I10" s="191" t="s">
        <v>424</v>
      </c>
      <c r="J10" s="758"/>
      <c r="K10" s="759"/>
      <c r="L10" s="759"/>
      <c r="M10" s="759"/>
      <c r="N10" s="759"/>
      <c r="O10" s="759"/>
      <c r="P10" s="760"/>
    </row>
    <row r="11" spans="2:33" s="31" customFormat="1" x14ac:dyDescent="0.25">
      <c r="B11" s="190" t="s">
        <v>517</v>
      </c>
      <c r="C11" s="190" t="s">
        <v>204</v>
      </c>
      <c r="D11" s="190" t="s">
        <v>197</v>
      </c>
      <c r="E11" s="175" t="s">
        <v>138</v>
      </c>
      <c r="F11" s="175" t="s">
        <v>519</v>
      </c>
      <c r="G11" s="69"/>
      <c r="H11" s="190">
        <f>'Indoor Backup Calcs'!Q69</f>
        <v>735281.22453817551</v>
      </c>
      <c r="I11" s="191" t="s">
        <v>424</v>
      </c>
      <c r="J11" s="758"/>
      <c r="K11" s="759"/>
      <c r="L11" s="759"/>
      <c r="M11" s="759"/>
      <c r="N11" s="759"/>
      <c r="O11" s="759"/>
      <c r="P11" s="760"/>
    </row>
    <row r="12" spans="2:33" s="31" customFormat="1" x14ac:dyDescent="0.25">
      <c r="B12" s="189"/>
      <c r="C12" s="189"/>
      <c r="D12" s="189"/>
      <c r="E12" s="189"/>
      <c r="F12" s="189"/>
      <c r="H12" s="143"/>
      <c r="I12" s="143"/>
      <c r="J12" s="143"/>
    </row>
    <row r="13" spans="2:33" s="31" customFormat="1" x14ac:dyDescent="0.25">
      <c r="B13" s="97"/>
      <c r="C13" s="97"/>
      <c r="D13" s="97"/>
      <c r="H13" s="97"/>
      <c r="I13" s="97"/>
      <c r="J13" s="97"/>
    </row>
    <row r="14" spans="2:33" ht="15.75" thickBot="1" x14ac:dyDescent="0.3">
      <c r="G14" s="31"/>
      <c r="H14" s="31"/>
      <c r="I14" s="31"/>
      <c r="J14" s="31"/>
    </row>
    <row r="15" spans="2:33" s="31" customFormat="1" x14ac:dyDescent="0.25">
      <c r="B15" s="744" t="s">
        <v>303</v>
      </c>
      <c r="C15" s="745"/>
      <c r="D15" s="745"/>
      <c r="E15" s="745"/>
      <c r="F15" s="745"/>
      <c r="G15" s="745"/>
      <c r="H15" s="745"/>
      <c r="I15" s="745"/>
      <c r="J15" s="746"/>
      <c r="N15" s="744" t="s">
        <v>280</v>
      </c>
      <c r="O15" s="745"/>
      <c r="P15" s="745"/>
      <c r="Q15" s="745"/>
      <c r="R15" s="745"/>
      <c r="S15" s="745"/>
      <c r="T15" s="745"/>
      <c r="U15" s="745"/>
      <c r="V15" s="746"/>
      <c r="Y15" s="750" t="s">
        <v>448</v>
      </c>
      <c r="Z15" s="750"/>
      <c r="AA15" s="750"/>
      <c r="AB15" s="750"/>
      <c r="AC15" s="750"/>
      <c r="AD15" s="750"/>
      <c r="AE15" s="750"/>
      <c r="AF15" s="750"/>
      <c r="AG15" s="750"/>
    </row>
    <row r="16" spans="2:33" s="31" customFormat="1" ht="15.75" thickBot="1" x14ac:dyDescent="0.3">
      <c r="B16" s="747"/>
      <c r="C16" s="748"/>
      <c r="D16" s="748"/>
      <c r="E16" s="748"/>
      <c r="F16" s="748"/>
      <c r="G16" s="748"/>
      <c r="H16" s="748"/>
      <c r="I16" s="748"/>
      <c r="J16" s="749"/>
      <c r="N16" s="747"/>
      <c r="O16" s="748"/>
      <c r="P16" s="748"/>
      <c r="Q16" s="748"/>
      <c r="R16" s="748"/>
      <c r="S16" s="748"/>
      <c r="T16" s="748"/>
      <c r="U16" s="748"/>
      <c r="V16" s="749"/>
      <c r="Y16" s="750"/>
      <c r="Z16" s="750"/>
      <c r="AA16" s="750"/>
      <c r="AB16" s="750"/>
      <c r="AC16" s="750"/>
      <c r="AD16" s="750"/>
      <c r="AE16" s="750"/>
      <c r="AF16" s="750"/>
      <c r="AG16" s="750"/>
    </row>
    <row r="17" spans="2:33" s="31" customFormat="1" x14ac:dyDescent="0.25"/>
    <row r="18" spans="2:33" s="31" customFormat="1" ht="15.75" thickBot="1" x14ac:dyDescent="0.3"/>
    <row r="19" spans="2:33" ht="15.75" thickBot="1" x14ac:dyDescent="0.3">
      <c r="B19" s="102" t="s">
        <v>301</v>
      </c>
      <c r="C19" s="103"/>
      <c r="D19" s="103"/>
      <c r="E19" s="104"/>
      <c r="F19" s="141" t="s">
        <v>441</v>
      </c>
      <c r="G19" s="105"/>
      <c r="H19" s="106"/>
      <c r="I19" s="106"/>
      <c r="J19" s="107"/>
      <c r="N19" s="102" t="s">
        <v>301</v>
      </c>
      <c r="O19" s="103"/>
      <c r="P19" s="103"/>
      <c r="Q19" s="104"/>
      <c r="R19" s="141" t="s">
        <v>441</v>
      </c>
      <c r="S19" s="105"/>
      <c r="T19" s="106"/>
      <c r="U19" s="106"/>
      <c r="V19" s="107"/>
      <c r="Y19" s="102" t="s">
        <v>301</v>
      </c>
      <c r="Z19" s="103"/>
      <c r="AA19" s="103"/>
      <c r="AB19" s="104"/>
      <c r="AC19" s="141" t="s">
        <v>441</v>
      </c>
      <c r="AD19" s="105"/>
      <c r="AE19" s="106"/>
      <c r="AF19" s="106"/>
      <c r="AG19" s="107"/>
    </row>
    <row r="20" spans="2:33" ht="15.75" thickBot="1" x14ac:dyDescent="0.3">
      <c r="B20" s="108"/>
      <c r="C20" s="109"/>
      <c r="D20" s="109"/>
      <c r="E20" s="110"/>
      <c r="F20" s="125"/>
      <c r="G20" s="126"/>
      <c r="H20" s="126"/>
      <c r="I20" s="126"/>
      <c r="J20" s="127"/>
      <c r="N20" s="108"/>
      <c r="O20" s="109"/>
      <c r="P20" s="109"/>
      <c r="Q20" s="110"/>
      <c r="R20" s="125"/>
      <c r="S20" s="126"/>
      <c r="T20" s="126"/>
      <c r="U20" s="126"/>
      <c r="V20" s="127"/>
      <c r="Y20" s="108"/>
      <c r="Z20" s="109"/>
      <c r="AA20" s="109"/>
      <c r="AB20" s="110"/>
      <c r="AC20" s="125"/>
      <c r="AD20" s="126"/>
      <c r="AE20" s="126"/>
      <c r="AF20" s="126"/>
      <c r="AG20" s="127"/>
    </row>
    <row r="21" spans="2:33" ht="15.75" thickBot="1" x14ac:dyDescent="0.3">
      <c r="B21" s="111" t="s">
        <v>197</v>
      </c>
      <c r="C21" s="112"/>
      <c r="D21" s="112"/>
      <c r="E21" s="113"/>
      <c r="F21" s="111" t="s">
        <v>197</v>
      </c>
      <c r="G21" s="112" t="s">
        <v>311</v>
      </c>
      <c r="H21" s="112" t="s">
        <v>212</v>
      </c>
      <c r="I21" s="112" t="s">
        <v>194</v>
      </c>
      <c r="J21" s="113" t="s">
        <v>312</v>
      </c>
      <c r="N21" s="111" t="s">
        <v>197</v>
      </c>
      <c r="O21" s="112"/>
      <c r="P21" s="112"/>
      <c r="Q21" s="113"/>
      <c r="R21" s="111" t="s">
        <v>197</v>
      </c>
      <c r="S21" s="112"/>
      <c r="T21" s="112"/>
      <c r="U21" s="112"/>
      <c r="V21" s="113"/>
      <c r="Y21" s="111" t="s">
        <v>197</v>
      </c>
      <c r="Z21" s="112"/>
      <c r="AA21" s="112"/>
      <c r="AB21" s="113"/>
      <c r="AC21" s="111" t="s">
        <v>197</v>
      </c>
      <c r="AD21" s="112"/>
      <c r="AE21" s="112"/>
      <c r="AF21" s="112"/>
      <c r="AG21" s="113"/>
    </row>
    <row r="22" spans="2:33" x14ac:dyDescent="0.25">
      <c r="B22" s="114"/>
      <c r="C22" s="115"/>
      <c r="D22" s="116"/>
      <c r="E22" s="117"/>
      <c r="F22" s="114" t="s">
        <v>309</v>
      </c>
      <c r="G22" s="118"/>
      <c r="H22" s="116"/>
      <c r="I22" s="116"/>
      <c r="J22" s="117"/>
      <c r="N22" s="114"/>
      <c r="O22" s="115"/>
      <c r="P22" s="116"/>
      <c r="Q22" s="117"/>
      <c r="R22" s="114"/>
      <c r="S22" s="118"/>
      <c r="T22" s="116"/>
      <c r="U22" s="116"/>
      <c r="V22" s="117"/>
      <c r="Y22" s="114"/>
      <c r="Z22" s="115"/>
      <c r="AA22" s="116"/>
      <c r="AB22" s="117"/>
      <c r="AC22" s="114"/>
      <c r="AD22" s="118"/>
      <c r="AE22" s="116"/>
      <c r="AF22" s="116"/>
      <c r="AG22" s="117"/>
    </row>
    <row r="23" spans="2:33" x14ac:dyDescent="0.25">
      <c r="B23" s="114"/>
      <c r="C23" s="116"/>
      <c r="D23" s="116"/>
      <c r="E23" s="117"/>
      <c r="F23" s="108" t="s">
        <v>310</v>
      </c>
      <c r="G23" s="119"/>
      <c r="H23" s="109"/>
      <c r="I23" s="109"/>
      <c r="J23" s="117"/>
      <c r="N23" s="114"/>
      <c r="O23" s="116"/>
      <c r="P23" s="116"/>
      <c r="Q23" s="117"/>
      <c r="R23" s="108"/>
      <c r="S23" s="119"/>
      <c r="T23" s="109"/>
      <c r="U23" s="109"/>
      <c r="V23" s="117"/>
      <c r="Y23" s="114"/>
      <c r="Z23" s="116"/>
      <c r="AA23" s="116"/>
      <c r="AB23" s="117"/>
      <c r="AC23" s="108"/>
      <c r="AD23" s="119"/>
      <c r="AE23" s="109"/>
      <c r="AF23" s="109"/>
      <c r="AG23" s="117"/>
    </row>
    <row r="24" spans="2:33" s="31" customFormat="1" x14ac:dyDescent="0.25">
      <c r="B24" s="114"/>
      <c r="C24" s="116"/>
      <c r="D24" s="116"/>
      <c r="E24" s="117"/>
      <c r="F24" s="108" t="s">
        <v>313</v>
      </c>
      <c r="G24" s="119"/>
      <c r="H24" s="109"/>
      <c r="I24" s="109"/>
      <c r="J24" s="117"/>
      <c r="N24" s="114"/>
      <c r="O24" s="116"/>
      <c r="P24" s="116"/>
      <c r="Q24" s="117"/>
      <c r="R24" s="108"/>
      <c r="S24" s="119"/>
      <c r="T24" s="109"/>
      <c r="U24" s="109"/>
      <c r="V24" s="117"/>
      <c r="Y24" s="114"/>
      <c r="Z24" s="116"/>
      <c r="AA24" s="116"/>
      <c r="AB24" s="117"/>
      <c r="AC24" s="108"/>
      <c r="AD24" s="119"/>
      <c r="AE24" s="109"/>
      <c r="AF24" s="109"/>
      <c r="AG24" s="117"/>
    </row>
    <row r="25" spans="2:33" s="31" customFormat="1" ht="15.75" thickBot="1" x14ac:dyDescent="0.3">
      <c r="B25" s="114"/>
      <c r="C25" s="116"/>
      <c r="D25" s="116"/>
      <c r="E25" s="117"/>
      <c r="F25" s="108"/>
      <c r="G25" s="119"/>
      <c r="H25" s="109"/>
      <c r="I25" s="109"/>
      <c r="J25" s="117"/>
      <c r="N25" s="114"/>
      <c r="O25" s="116"/>
      <c r="P25" s="116"/>
      <c r="Q25" s="117"/>
      <c r="R25" s="108"/>
      <c r="S25" s="119"/>
      <c r="T25" s="109"/>
      <c r="U25" s="109"/>
      <c r="V25" s="117"/>
      <c r="Y25" s="114"/>
      <c r="Z25" s="116"/>
      <c r="AA25" s="116"/>
      <c r="AB25" s="117"/>
      <c r="AC25" s="108"/>
      <c r="AD25" s="119"/>
      <c r="AE25" s="109"/>
      <c r="AF25" s="109"/>
      <c r="AG25" s="117"/>
    </row>
    <row r="26" spans="2:33" ht="15.75" thickBot="1" x14ac:dyDescent="0.3">
      <c r="B26" s="111" t="s">
        <v>199</v>
      </c>
      <c r="C26" s="112"/>
      <c r="D26" s="112"/>
      <c r="E26" s="113"/>
      <c r="F26" s="111" t="s">
        <v>199</v>
      </c>
      <c r="G26" s="112"/>
      <c r="H26" s="112"/>
      <c r="I26" s="112"/>
      <c r="J26" s="113"/>
      <c r="N26" s="111" t="s">
        <v>199</v>
      </c>
      <c r="O26" s="112"/>
      <c r="P26" s="112"/>
      <c r="Q26" s="113"/>
      <c r="R26" s="111" t="s">
        <v>199</v>
      </c>
      <c r="S26" s="112"/>
      <c r="T26" s="112"/>
      <c r="U26" s="112"/>
      <c r="V26" s="113"/>
      <c r="Y26" s="111" t="s">
        <v>199</v>
      </c>
      <c r="Z26" s="112"/>
      <c r="AA26" s="112"/>
      <c r="AB26" s="113"/>
      <c r="AC26" s="111" t="s">
        <v>199</v>
      </c>
      <c r="AD26" s="112"/>
      <c r="AE26" s="112"/>
      <c r="AF26" s="112"/>
      <c r="AG26" s="113"/>
    </row>
    <row r="27" spans="2:33" x14ac:dyDescent="0.25">
      <c r="B27" s="108"/>
      <c r="C27" s="124"/>
      <c r="D27" s="109"/>
      <c r="E27" s="110"/>
      <c r="F27" s="108" t="s">
        <v>225</v>
      </c>
      <c r="G27" s="137"/>
      <c r="H27" s="109">
        <f>'Indoor Backup Calcs'!H27</f>
        <v>0</v>
      </c>
      <c r="I27" s="109" t="s">
        <v>424</v>
      </c>
      <c r="J27" s="110"/>
      <c r="N27" s="108"/>
      <c r="O27" s="124"/>
      <c r="P27" s="109"/>
      <c r="Q27" s="110"/>
      <c r="R27" s="108"/>
      <c r="S27" s="137"/>
      <c r="T27" s="109"/>
      <c r="U27" s="109"/>
      <c r="V27" s="110"/>
      <c r="Y27" s="108"/>
      <c r="Z27" s="124"/>
      <c r="AA27" s="109"/>
      <c r="AB27" s="110"/>
      <c r="AC27" s="108"/>
      <c r="AD27" s="137"/>
      <c r="AE27" s="109"/>
      <c r="AF27" s="109"/>
      <c r="AG27" s="110"/>
    </row>
    <row r="28" spans="2:33" s="31" customFormat="1" x14ac:dyDescent="0.25">
      <c r="B28" s="108"/>
      <c r="C28" s="124"/>
      <c r="D28" s="109"/>
      <c r="E28" s="110"/>
      <c r="F28" s="108" t="s">
        <v>308</v>
      </c>
      <c r="G28" s="137"/>
      <c r="H28" s="109"/>
      <c r="I28" s="109"/>
      <c r="J28" s="110"/>
      <c r="N28" s="108"/>
      <c r="O28" s="124"/>
      <c r="P28" s="109"/>
      <c r="Q28" s="110"/>
      <c r="R28" s="108"/>
      <c r="S28" s="137"/>
      <c r="T28" s="109"/>
      <c r="U28" s="109"/>
      <c r="V28" s="110"/>
      <c r="Y28" s="108"/>
      <c r="Z28" s="124"/>
      <c r="AA28" s="109"/>
      <c r="AB28" s="110"/>
      <c r="AC28" s="108"/>
      <c r="AD28" s="137"/>
      <c r="AE28" s="109"/>
      <c r="AF28" s="109"/>
      <c r="AG28" s="110"/>
    </row>
    <row r="29" spans="2:33" x14ac:dyDescent="0.25">
      <c r="B29" s="114"/>
      <c r="C29" s="128"/>
      <c r="D29" s="116"/>
      <c r="E29" s="117"/>
      <c r="F29" s="140"/>
      <c r="G29" s="138"/>
      <c r="H29" s="139"/>
      <c r="I29" s="138"/>
      <c r="J29" s="142"/>
      <c r="N29" s="114"/>
      <c r="O29" s="128"/>
      <c r="P29" s="116"/>
      <c r="Q29" s="117"/>
      <c r="R29" s="140"/>
      <c r="S29" s="138"/>
      <c r="T29" s="139"/>
      <c r="U29" s="138"/>
      <c r="V29" s="142"/>
      <c r="Y29" s="114"/>
      <c r="Z29" s="128"/>
      <c r="AA29" s="116"/>
      <c r="AB29" s="117"/>
      <c r="AC29" s="140"/>
      <c r="AD29" s="138"/>
      <c r="AE29" s="139"/>
      <c r="AF29" s="138"/>
      <c r="AG29" s="142"/>
    </row>
    <row r="30" spans="2:33" ht="15.75" thickBot="1" x14ac:dyDescent="0.3">
      <c r="B30" s="114"/>
      <c r="C30" s="116"/>
      <c r="D30" s="116"/>
      <c r="E30" s="117"/>
      <c r="F30" s="114"/>
      <c r="G30" s="116"/>
      <c r="H30" s="129"/>
      <c r="I30" s="116"/>
      <c r="J30" s="117"/>
      <c r="N30" s="114"/>
      <c r="O30" s="116"/>
      <c r="P30" s="116"/>
      <c r="Q30" s="117"/>
      <c r="R30" s="114"/>
      <c r="S30" s="116"/>
      <c r="T30" s="129"/>
      <c r="U30" s="116"/>
      <c r="V30" s="117"/>
      <c r="Y30" s="114"/>
      <c r="Z30" s="116"/>
      <c r="AA30" s="116"/>
      <c r="AB30" s="117"/>
      <c r="AC30" s="114"/>
      <c r="AD30" s="116"/>
      <c r="AE30" s="129"/>
      <c r="AF30" s="116"/>
      <c r="AG30" s="117"/>
    </row>
    <row r="31" spans="2:33" ht="15.75" thickBot="1" x14ac:dyDescent="0.3">
      <c r="B31" s="111" t="s">
        <v>302</v>
      </c>
      <c r="C31" s="112"/>
      <c r="D31" s="112"/>
      <c r="E31" s="113"/>
      <c r="F31" s="131" t="s">
        <v>302</v>
      </c>
      <c r="G31" s="130"/>
      <c r="H31" s="130"/>
      <c r="I31" s="130"/>
      <c r="J31" s="132"/>
      <c r="N31" s="111" t="s">
        <v>302</v>
      </c>
      <c r="O31" s="112"/>
      <c r="P31" s="112"/>
      <c r="Q31" s="113"/>
      <c r="R31" s="131" t="s">
        <v>302</v>
      </c>
      <c r="S31" s="130"/>
      <c r="T31" s="130"/>
      <c r="U31" s="130"/>
      <c r="V31" s="132"/>
      <c r="Y31" s="111" t="s">
        <v>302</v>
      </c>
      <c r="Z31" s="112"/>
      <c r="AA31" s="112"/>
      <c r="AB31" s="113"/>
      <c r="AC31" s="131" t="s">
        <v>302</v>
      </c>
      <c r="AD31" s="130"/>
      <c r="AE31" s="130"/>
      <c r="AF31" s="130"/>
      <c r="AG31" s="132"/>
    </row>
    <row r="32" spans="2:33" x14ac:dyDescent="0.25">
      <c r="B32" s="133"/>
      <c r="C32" s="134"/>
      <c r="D32" s="135"/>
      <c r="E32" s="136"/>
      <c r="F32" s="133"/>
      <c r="G32" s="135"/>
      <c r="H32" s="135"/>
      <c r="I32" s="135"/>
      <c r="J32" s="136"/>
      <c r="N32" s="133"/>
      <c r="O32" s="134"/>
      <c r="P32" s="135"/>
      <c r="Q32" s="136"/>
      <c r="R32" s="133"/>
      <c r="S32" s="135"/>
      <c r="T32" s="135"/>
      <c r="U32" s="135"/>
      <c r="V32" s="136"/>
      <c r="Y32" s="133"/>
      <c r="Z32" s="134"/>
      <c r="AA32" s="135"/>
      <c r="AB32" s="136"/>
      <c r="AC32" s="133"/>
      <c r="AD32" s="135"/>
      <c r="AE32" s="135"/>
      <c r="AF32" s="135"/>
      <c r="AG32" s="136"/>
    </row>
    <row r="33" spans="2:33" x14ac:dyDescent="0.25">
      <c r="B33" s="114"/>
      <c r="C33" s="116"/>
      <c r="D33" s="116"/>
      <c r="E33" s="117"/>
      <c r="F33" s="114"/>
      <c r="G33" s="118"/>
      <c r="H33" s="116"/>
      <c r="I33" s="116"/>
      <c r="J33" s="117"/>
      <c r="N33" s="114"/>
      <c r="O33" s="116"/>
      <c r="P33" s="116"/>
      <c r="Q33" s="117"/>
      <c r="R33" s="114"/>
      <c r="S33" s="118"/>
      <c r="T33" s="116"/>
      <c r="U33" s="116"/>
      <c r="V33" s="117"/>
      <c r="Y33" s="114"/>
      <c r="Z33" s="116"/>
      <c r="AA33" s="116"/>
      <c r="AB33" s="117"/>
      <c r="AC33" s="114"/>
      <c r="AD33" s="118"/>
      <c r="AE33" s="116"/>
      <c r="AF33" s="116"/>
      <c r="AG33" s="117"/>
    </row>
    <row r="34" spans="2:33" x14ac:dyDescent="0.25">
      <c r="B34" s="114"/>
      <c r="C34" s="116"/>
      <c r="D34" s="116"/>
      <c r="E34" s="117"/>
      <c r="F34" s="114"/>
      <c r="G34" s="118"/>
      <c r="H34" s="116"/>
      <c r="I34" s="116"/>
      <c r="J34" s="117"/>
      <c r="N34" s="114"/>
      <c r="O34" s="116"/>
      <c r="P34" s="116"/>
      <c r="Q34" s="117"/>
      <c r="R34" s="114"/>
      <c r="S34" s="118"/>
      <c r="T34" s="116"/>
      <c r="U34" s="116"/>
      <c r="V34" s="117"/>
      <c r="Y34" s="114"/>
      <c r="Z34" s="116"/>
      <c r="AA34" s="116"/>
      <c r="AB34" s="117"/>
      <c r="AC34" s="114"/>
      <c r="AD34" s="118"/>
      <c r="AE34" s="116"/>
      <c r="AF34" s="116"/>
      <c r="AG34" s="117"/>
    </row>
    <row r="35" spans="2:33" ht="15.75" thickBot="1" x14ac:dyDescent="0.3">
      <c r="B35" s="120"/>
      <c r="C35" s="122"/>
      <c r="D35" s="122"/>
      <c r="E35" s="123"/>
      <c r="F35" s="120"/>
      <c r="G35" s="121"/>
      <c r="H35" s="122"/>
      <c r="I35" s="122"/>
      <c r="J35" s="123"/>
      <c r="N35" s="120"/>
      <c r="O35" s="122"/>
      <c r="P35" s="122"/>
      <c r="Q35" s="123"/>
      <c r="R35" s="120"/>
      <c r="S35" s="121"/>
      <c r="T35" s="122"/>
      <c r="U35" s="122"/>
      <c r="V35" s="123"/>
      <c r="Y35" s="120"/>
      <c r="Z35" s="122"/>
      <c r="AA35" s="122"/>
      <c r="AB35" s="123"/>
      <c r="AC35" s="120"/>
      <c r="AD35" s="121"/>
      <c r="AE35" s="122"/>
      <c r="AF35" s="122"/>
      <c r="AG35" s="123"/>
    </row>
    <row r="36" spans="2:33" ht="15.75" thickBot="1" x14ac:dyDescent="0.3">
      <c r="G36" s="31"/>
      <c r="H36" s="31"/>
      <c r="I36" s="31"/>
      <c r="J36" s="31"/>
      <c r="N36" s="31"/>
      <c r="O36" s="31"/>
      <c r="P36" s="31"/>
      <c r="Q36" s="31"/>
      <c r="R36" s="31"/>
      <c r="S36" s="31"/>
      <c r="T36" s="31"/>
      <c r="U36" s="31"/>
      <c r="V36" s="31"/>
      <c r="Y36" s="31"/>
      <c r="Z36" s="31"/>
      <c r="AA36" s="31"/>
      <c r="AB36" s="31"/>
      <c r="AC36" s="31"/>
      <c r="AD36" s="31"/>
      <c r="AE36" s="31"/>
      <c r="AF36" s="31"/>
      <c r="AG36" s="31"/>
    </row>
    <row r="37" spans="2:33" ht="15.75" thickBot="1" x14ac:dyDescent="0.3">
      <c r="B37" s="102" t="s">
        <v>301</v>
      </c>
      <c r="C37" s="103"/>
      <c r="D37" s="103"/>
      <c r="E37" s="104"/>
      <c r="F37" s="141" t="s">
        <v>442</v>
      </c>
      <c r="G37" s="105"/>
      <c r="H37" s="106"/>
      <c r="I37" s="106"/>
      <c r="J37" s="107"/>
      <c r="N37" s="102" t="s">
        <v>301</v>
      </c>
      <c r="O37" s="103"/>
      <c r="P37" s="103"/>
      <c r="Q37" s="104"/>
      <c r="R37" s="141" t="s">
        <v>442</v>
      </c>
      <c r="S37" s="105"/>
      <c r="T37" s="106"/>
      <c r="U37" s="106"/>
      <c r="V37" s="107"/>
      <c r="Y37" s="102" t="s">
        <v>301</v>
      </c>
      <c r="Z37" s="103"/>
      <c r="AA37" s="103"/>
      <c r="AB37" s="104"/>
      <c r="AC37" s="141" t="s">
        <v>442</v>
      </c>
      <c r="AD37" s="105"/>
      <c r="AE37" s="106"/>
      <c r="AF37" s="106"/>
      <c r="AG37" s="107"/>
    </row>
    <row r="38" spans="2:33" ht="15.75" thickBot="1" x14ac:dyDescent="0.3">
      <c r="B38" s="108"/>
      <c r="C38" s="109"/>
      <c r="D38" s="109"/>
      <c r="E38" s="110"/>
      <c r="F38" s="125"/>
      <c r="G38" s="126"/>
      <c r="H38" s="126"/>
      <c r="I38" s="126"/>
      <c r="J38" s="127"/>
      <c r="N38" s="108"/>
      <c r="O38" s="109"/>
      <c r="P38" s="109"/>
      <c r="Q38" s="110"/>
      <c r="R38" s="125"/>
      <c r="S38" s="126"/>
      <c r="T38" s="126"/>
      <c r="U38" s="126"/>
      <c r="V38" s="127"/>
      <c r="Y38" s="108"/>
      <c r="Z38" s="109"/>
      <c r="AA38" s="109"/>
      <c r="AB38" s="110"/>
      <c r="AC38" s="125"/>
      <c r="AD38" s="126"/>
      <c r="AE38" s="126"/>
      <c r="AF38" s="126"/>
      <c r="AG38" s="127"/>
    </row>
    <row r="39" spans="2:33" ht="15.75" thickBot="1" x14ac:dyDescent="0.3">
      <c r="B39" s="111" t="s">
        <v>197</v>
      </c>
      <c r="C39" s="112"/>
      <c r="D39" s="112"/>
      <c r="E39" s="113"/>
      <c r="F39" s="111" t="s">
        <v>197</v>
      </c>
      <c r="G39" s="112"/>
      <c r="H39" s="112"/>
      <c r="I39" s="112"/>
      <c r="J39" s="113"/>
      <c r="N39" s="111" t="s">
        <v>197</v>
      </c>
      <c r="O39" s="112"/>
      <c r="P39" s="112"/>
      <c r="Q39" s="113"/>
      <c r="R39" s="111" t="s">
        <v>197</v>
      </c>
      <c r="S39" s="112"/>
      <c r="T39" s="112"/>
      <c r="U39" s="112"/>
      <c r="V39" s="113"/>
      <c r="Y39" s="111" t="s">
        <v>197</v>
      </c>
      <c r="Z39" s="112"/>
      <c r="AA39" s="112"/>
      <c r="AB39" s="113"/>
      <c r="AC39" s="111" t="s">
        <v>197</v>
      </c>
      <c r="AD39" s="112"/>
      <c r="AE39" s="112"/>
      <c r="AF39" s="112"/>
      <c r="AG39" s="113"/>
    </row>
    <row r="40" spans="2:33" x14ac:dyDescent="0.25">
      <c r="B40" s="114"/>
      <c r="C40" s="115"/>
      <c r="D40" s="116"/>
      <c r="E40" s="117"/>
      <c r="F40" s="114"/>
      <c r="G40" s="118"/>
      <c r="H40" s="116"/>
      <c r="I40" s="116"/>
      <c r="J40" s="117"/>
      <c r="N40" s="114"/>
      <c r="O40" s="115"/>
      <c r="P40" s="116"/>
      <c r="Q40" s="117"/>
      <c r="R40" s="114"/>
      <c r="S40" s="118"/>
      <c r="T40" s="116"/>
      <c r="U40" s="116"/>
      <c r="V40" s="117"/>
      <c r="Y40" s="114"/>
      <c r="Z40" s="115"/>
      <c r="AA40" s="116"/>
      <c r="AB40" s="117"/>
      <c r="AC40" s="114"/>
      <c r="AD40" s="118"/>
      <c r="AE40" s="116"/>
      <c r="AF40" s="116"/>
      <c r="AG40" s="117"/>
    </row>
    <row r="41" spans="2:33" ht="15.75" thickBot="1" x14ac:dyDescent="0.3">
      <c r="B41" s="114"/>
      <c r="C41" s="116"/>
      <c r="D41" s="116"/>
      <c r="E41" s="117"/>
      <c r="F41" s="108"/>
      <c r="G41" s="119"/>
      <c r="H41" s="109"/>
      <c r="I41" s="109"/>
      <c r="J41" s="117"/>
      <c r="N41" s="114"/>
      <c r="O41" s="116"/>
      <c r="P41" s="116"/>
      <c r="Q41" s="117"/>
      <c r="R41" s="108"/>
      <c r="S41" s="119"/>
      <c r="T41" s="109"/>
      <c r="U41" s="109"/>
      <c r="V41" s="117"/>
      <c r="Y41" s="114"/>
      <c r="Z41" s="116"/>
      <c r="AA41" s="116"/>
      <c r="AB41" s="117"/>
      <c r="AC41" s="108"/>
      <c r="AD41" s="119"/>
      <c r="AE41" s="109"/>
      <c r="AF41" s="109"/>
      <c r="AG41" s="117"/>
    </row>
    <row r="42" spans="2:33" ht="15.75" thickBot="1" x14ac:dyDescent="0.3">
      <c r="B42" s="111" t="s">
        <v>199</v>
      </c>
      <c r="C42" s="112"/>
      <c r="D42" s="112"/>
      <c r="E42" s="113"/>
      <c r="F42" s="111" t="s">
        <v>199</v>
      </c>
      <c r="G42" s="112"/>
      <c r="H42" s="112"/>
      <c r="I42" s="112"/>
      <c r="J42" s="113"/>
      <c r="N42" s="111" t="s">
        <v>199</v>
      </c>
      <c r="O42" s="112"/>
      <c r="P42" s="112"/>
      <c r="Q42" s="113"/>
      <c r="R42" s="111" t="s">
        <v>199</v>
      </c>
      <c r="S42" s="112"/>
      <c r="T42" s="112"/>
      <c r="U42" s="112"/>
      <c r="V42" s="113"/>
      <c r="Y42" s="111" t="s">
        <v>199</v>
      </c>
      <c r="Z42" s="112"/>
      <c r="AA42" s="112"/>
      <c r="AB42" s="113"/>
      <c r="AC42" s="111" t="s">
        <v>199</v>
      </c>
      <c r="AD42" s="112"/>
      <c r="AE42" s="112"/>
      <c r="AF42" s="112"/>
      <c r="AG42" s="113"/>
    </row>
    <row r="43" spans="2:33" x14ac:dyDescent="0.25">
      <c r="B43" s="108"/>
      <c r="C43" s="124"/>
      <c r="D43" s="109"/>
      <c r="E43" s="110"/>
      <c r="F43" s="108" t="s">
        <v>225</v>
      </c>
      <c r="G43" s="137"/>
      <c r="H43" s="109">
        <f>'Indoor Backup Calcs'!I27</f>
        <v>1460.0772003485231</v>
      </c>
      <c r="I43" s="109" t="s">
        <v>424</v>
      </c>
      <c r="J43" s="110"/>
      <c r="N43" s="108"/>
      <c r="O43" s="124"/>
      <c r="P43" s="109"/>
      <c r="Q43" s="110"/>
      <c r="R43" s="108"/>
      <c r="S43" s="137"/>
      <c r="T43" s="109"/>
      <c r="U43" s="109"/>
      <c r="V43" s="110"/>
      <c r="Y43" s="108"/>
      <c r="Z43" s="124"/>
      <c r="AA43" s="109"/>
      <c r="AB43" s="110"/>
      <c r="AC43" s="108"/>
      <c r="AD43" s="137"/>
      <c r="AE43" s="109"/>
      <c r="AF43" s="109"/>
      <c r="AG43" s="110"/>
    </row>
    <row r="44" spans="2:33" x14ac:dyDescent="0.25">
      <c r="B44" s="114"/>
      <c r="C44" s="128"/>
      <c r="D44" s="116"/>
      <c r="E44" s="117"/>
      <c r="F44" s="140"/>
      <c r="G44" s="138"/>
      <c r="H44" s="139"/>
      <c r="I44" s="138"/>
      <c r="J44" s="142"/>
      <c r="N44" s="114"/>
      <c r="O44" s="128"/>
      <c r="P44" s="116"/>
      <c r="Q44" s="117"/>
      <c r="R44" s="140"/>
      <c r="S44" s="138"/>
      <c r="T44" s="139"/>
      <c r="U44" s="138"/>
      <c r="V44" s="142"/>
      <c r="Y44" s="114"/>
      <c r="Z44" s="128"/>
      <c r="AA44" s="116"/>
      <c r="AB44" s="117"/>
      <c r="AC44" s="140"/>
      <c r="AD44" s="138"/>
      <c r="AE44" s="139"/>
      <c r="AF44" s="138"/>
      <c r="AG44" s="142"/>
    </row>
    <row r="45" spans="2:33" s="31" customFormat="1" x14ac:dyDescent="0.25">
      <c r="B45" s="114"/>
      <c r="C45" s="128"/>
      <c r="D45" s="116"/>
      <c r="E45" s="117"/>
      <c r="F45" s="140"/>
      <c r="G45" s="138"/>
      <c r="H45" s="139"/>
      <c r="I45" s="138"/>
      <c r="J45" s="142"/>
      <c r="N45" s="114"/>
      <c r="O45" s="128"/>
      <c r="P45" s="116"/>
      <c r="Q45" s="117"/>
      <c r="R45" s="140"/>
      <c r="S45" s="138"/>
      <c r="T45" s="139"/>
      <c r="U45" s="138"/>
      <c r="V45" s="142"/>
      <c r="Y45" s="114"/>
      <c r="Z45" s="128"/>
      <c r="AA45" s="116"/>
      <c r="AB45" s="117"/>
      <c r="AC45" s="140"/>
      <c r="AD45" s="138"/>
      <c r="AE45" s="139"/>
      <c r="AF45" s="138"/>
      <c r="AG45" s="142"/>
    </row>
    <row r="46" spans="2:33" ht="15.75" thickBot="1" x14ac:dyDescent="0.3">
      <c r="B46" s="114"/>
      <c r="C46" s="116"/>
      <c r="D46" s="116"/>
      <c r="E46" s="117"/>
      <c r="F46" s="114"/>
      <c r="G46" s="116"/>
      <c r="H46" s="129"/>
      <c r="I46" s="116"/>
      <c r="J46" s="117"/>
      <c r="N46" s="114"/>
      <c r="O46" s="116"/>
      <c r="P46" s="116"/>
      <c r="Q46" s="117"/>
      <c r="R46" s="114"/>
      <c r="S46" s="116"/>
      <c r="T46" s="129"/>
      <c r="U46" s="116"/>
      <c r="V46" s="117"/>
      <c r="Y46" s="114"/>
      <c r="Z46" s="116"/>
      <c r="AA46" s="116"/>
      <c r="AB46" s="117"/>
      <c r="AC46" s="114"/>
      <c r="AD46" s="116"/>
      <c r="AE46" s="129"/>
      <c r="AF46" s="116"/>
      <c r="AG46" s="117"/>
    </row>
    <row r="47" spans="2:33" ht="15.75" thickBot="1" x14ac:dyDescent="0.3">
      <c r="B47" s="111" t="s">
        <v>302</v>
      </c>
      <c r="C47" s="112"/>
      <c r="D47" s="112"/>
      <c r="E47" s="113"/>
      <c r="F47" s="131" t="s">
        <v>302</v>
      </c>
      <c r="G47" s="130"/>
      <c r="H47" s="130"/>
      <c r="I47" s="130"/>
      <c r="J47" s="132"/>
      <c r="N47" s="111" t="s">
        <v>302</v>
      </c>
      <c r="O47" s="112"/>
      <c r="P47" s="112"/>
      <c r="Q47" s="113"/>
      <c r="R47" s="131" t="s">
        <v>302</v>
      </c>
      <c r="S47" s="130"/>
      <c r="T47" s="130"/>
      <c r="U47" s="130"/>
      <c r="V47" s="132"/>
      <c r="Y47" s="111" t="s">
        <v>302</v>
      </c>
      <c r="Z47" s="112"/>
      <c r="AA47" s="112"/>
      <c r="AB47" s="113"/>
      <c r="AC47" s="131" t="s">
        <v>302</v>
      </c>
      <c r="AD47" s="130"/>
      <c r="AE47" s="130"/>
      <c r="AF47" s="130"/>
      <c r="AG47" s="132"/>
    </row>
    <row r="48" spans="2:33" x14ac:dyDescent="0.25">
      <c r="B48" s="133"/>
      <c r="C48" s="134"/>
      <c r="D48" s="135"/>
      <c r="E48" s="136"/>
      <c r="F48" s="133"/>
      <c r="G48" s="135"/>
      <c r="H48" s="135"/>
      <c r="I48" s="135"/>
      <c r="J48" s="136"/>
      <c r="N48" s="133"/>
      <c r="O48" s="134"/>
      <c r="P48" s="135"/>
      <c r="Q48" s="136"/>
      <c r="R48" s="133"/>
      <c r="S48" s="135"/>
      <c r="T48" s="135"/>
      <c r="U48" s="135"/>
      <c r="V48" s="136"/>
      <c r="Y48" s="133"/>
      <c r="Z48" s="134"/>
      <c r="AA48" s="135"/>
      <c r="AB48" s="136"/>
      <c r="AC48" s="133"/>
      <c r="AD48" s="135"/>
      <c r="AE48" s="135"/>
      <c r="AF48" s="135"/>
      <c r="AG48" s="136"/>
    </row>
    <row r="49" spans="2:33" x14ac:dyDescent="0.25">
      <c r="B49" s="114"/>
      <c r="C49" s="116"/>
      <c r="D49" s="116"/>
      <c r="E49" s="117"/>
      <c r="F49" s="114"/>
      <c r="G49" s="118"/>
      <c r="H49" s="116"/>
      <c r="I49" s="116"/>
      <c r="J49" s="117"/>
      <c r="N49" s="114"/>
      <c r="O49" s="116"/>
      <c r="P49" s="116"/>
      <c r="Q49" s="117"/>
      <c r="R49" s="114"/>
      <c r="S49" s="118"/>
      <c r="T49" s="116"/>
      <c r="U49" s="116"/>
      <c r="V49" s="117"/>
      <c r="Y49" s="114"/>
      <c r="Z49" s="116"/>
      <c r="AA49" s="116"/>
      <c r="AB49" s="117"/>
      <c r="AC49" s="114"/>
      <c r="AD49" s="118"/>
      <c r="AE49" s="116"/>
      <c r="AF49" s="116"/>
      <c r="AG49" s="117"/>
    </row>
    <row r="50" spans="2:33" x14ac:dyDescent="0.25">
      <c r="B50" s="114"/>
      <c r="C50" s="116"/>
      <c r="D50" s="116"/>
      <c r="E50" s="117"/>
      <c r="F50" s="114"/>
      <c r="G50" s="118"/>
      <c r="H50" s="116"/>
      <c r="I50" s="116"/>
      <c r="J50" s="117"/>
      <c r="N50" s="114"/>
      <c r="O50" s="116"/>
      <c r="P50" s="116"/>
      <c r="Q50" s="117"/>
      <c r="R50" s="114"/>
      <c r="S50" s="118"/>
      <c r="T50" s="116"/>
      <c r="U50" s="116"/>
      <c r="V50" s="117"/>
      <c r="Y50" s="114"/>
      <c r="Z50" s="116"/>
      <c r="AA50" s="116"/>
      <c r="AB50" s="117"/>
      <c r="AC50" s="114"/>
      <c r="AD50" s="118"/>
      <c r="AE50" s="116"/>
      <c r="AF50" s="116"/>
      <c r="AG50" s="117"/>
    </row>
    <row r="51" spans="2:33" ht="15.75" thickBot="1" x14ac:dyDescent="0.3">
      <c r="B51" s="120"/>
      <c r="C51" s="122"/>
      <c r="D51" s="122"/>
      <c r="E51" s="123"/>
      <c r="F51" s="120"/>
      <c r="G51" s="121"/>
      <c r="H51" s="122"/>
      <c r="I51" s="122"/>
      <c r="J51" s="123"/>
      <c r="N51" s="120"/>
      <c r="O51" s="122"/>
      <c r="P51" s="122"/>
      <c r="Q51" s="123"/>
      <c r="R51" s="120"/>
      <c r="S51" s="121"/>
      <c r="T51" s="122"/>
      <c r="U51" s="122"/>
      <c r="V51" s="123"/>
      <c r="Y51" s="120"/>
      <c r="Z51" s="122"/>
      <c r="AA51" s="122"/>
      <c r="AB51" s="123"/>
      <c r="AC51" s="120"/>
      <c r="AD51" s="121"/>
      <c r="AE51" s="122"/>
      <c r="AF51" s="122"/>
      <c r="AG51" s="123"/>
    </row>
    <row r="52" spans="2:33" ht="15.75" thickBot="1" x14ac:dyDescent="0.3">
      <c r="N52" s="31"/>
      <c r="O52" s="31"/>
      <c r="P52" s="31"/>
      <c r="Q52" s="31"/>
      <c r="R52" s="31"/>
      <c r="S52" s="31"/>
      <c r="T52" s="31"/>
      <c r="U52" s="31"/>
      <c r="V52" s="31"/>
      <c r="Y52" s="31"/>
      <c r="Z52" s="31"/>
      <c r="AA52" s="31"/>
      <c r="AB52" s="31"/>
      <c r="AC52" s="31"/>
      <c r="AD52" s="31"/>
      <c r="AE52" s="31"/>
      <c r="AF52" s="31"/>
      <c r="AG52" s="31"/>
    </row>
    <row r="53" spans="2:33" ht="15.75" thickBot="1" x14ac:dyDescent="0.3">
      <c r="B53" s="102" t="s">
        <v>301</v>
      </c>
      <c r="C53" s="103"/>
      <c r="D53" s="103"/>
      <c r="E53" s="104"/>
      <c r="F53" s="141" t="s">
        <v>443</v>
      </c>
      <c r="G53" s="105"/>
      <c r="H53" s="106"/>
      <c r="I53" s="106"/>
      <c r="J53" s="107"/>
      <c r="N53" s="102" t="s">
        <v>301</v>
      </c>
      <c r="O53" s="103"/>
      <c r="P53" s="103"/>
      <c r="Q53" s="104"/>
      <c r="R53" s="141" t="s">
        <v>443</v>
      </c>
      <c r="S53" s="105"/>
      <c r="T53" s="106"/>
      <c r="U53" s="106"/>
      <c r="V53" s="107"/>
      <c r="Y53" s="102" t="s">
        <v>301</v>
      </c>
      <c r="Z53" s="103"/>
      <c r="AA53" s="103"/>
      <c r="AB53" s="104"/>
      <c r="AC53" s="141" t="s">
        <v>443</v>
      </c>
      <c r="AD53" s="105"/>
      <c r="AE53" s="106"/>
      <c r="AF53" s="106"/>
      <c r="AG53" s="107"/>
    </row>
    <row r="54" spans="2:33" ht="15.75" thickBot="1" x14ac:dyDescent="0.3">
      <c r="B54" s="108"/>
      <c r="C54" s="109"/>
      <c r="D54" s="109"/>
      <c r="E54" s="110"/>
      <c r="F54" s="125"/>
      <c r="G54" s="126"/>
      <c r="H54" s="126"/>
      <c r="I54" s="126"/>
      <c r="J54" s="127"/>
      <c r="N54" s="108"/>
      <c r="O54" s="109"/>
      <c r="P54" s="109"/>
      <c r="Q54" s="110"/>
      <c r="R54" s="125"/>
      <c r="S54" s="126"/>
      <c r="T54" s="126"/>
      <c r="U54" s="126"/>
      <c r="V54" s="127"/>
      <c r="Y54" s="108"/>
      <c r="Z54" s="109"/>
      <c r="AA54" s="109"/>
      <c r="AB54" s="110"/>
      <c r="AC54" s="125"/>
      <c r="AD54" s="126"/>
      <c r="AE54" s="126"/>
      <c r="AF54" s="126"/>
      <c r="AG54" s="127"/>
    </row>
    <row r="55" spans="2:33" ht="15.75" thickBot="1" x14ac:dyDescent="0.3">
      <c r="B55" s="111" t="s">
        <v>197</v>
      </c>
      <c r="C55" s="112"/>
      <c r="D55" s="112"/>
      <c r="E55" s="113"/>
      <c r="F55" s="111" t="s">
        <v>197</v>
      </c>
      <c r="G55" s="112"/>
      <c r="H55" s="112"/>
      <c r="I55" s="112"/>
      <c r="J55" s="113"/>
      <c r="N55" s="111" t="s">
        <v>197</v>
      </c>
      <c r="O55" s="112"/>
      <c r="P55" s="112"/>
      <c r="Q55" s="113"/>
      <c r="R55" s="111" t="s">
        <v>197</v>
      </c>
      <c r="S55" s="112"/>
      <c r="T55" s="112"/>
      <c r="U55" s="112"/>
      <c r="V55" s="113"/>
      <c r="Y55" s="111" t="s">
        <v>197</v>
      </c>
      <c r="Z55" s="112"/>
      <c r="AA55" s="112"/>
      <c r="AB55" s="113"/>
      <c r="AC55" s="111" t="s">
        <v>197</v>
      </c>
      <c r="AD55" s="112"/>
      <c r="AE55" s="112"/>
      <c r="AF55" s="112"/>
      <c r="AG55" s="113"/>
    </row>
    <row r="56" spans="2:33" x14ac:dyDescent="0.25">
      <c r="B56" s="114"/>
      <c r="C56" s="115"/>
      <c r="D56" s="116"/>
      <c r="E56" s="117"/>
      <c r="F56" s="114"/>
      <c r="G56" s="118"/>
      <c r="H56" s="116"/>
      <c r="I56" s="116"/>
      <c r="J56" s="117"/>
      <c r="N56" s="114"/>
      <c r="O56" s="115"/>
      <c r="P56" s="116"/>
      <c r="Q56" s="117"/>
      <c r="R56" s="114"/>
      <c r="S56" s="118"/>
      <c r="T56" s="116"/>
      <c r="U56" s="116"/>
      <c r="V56" s="117"/>
      <c r="Y56" s="114"/>
      <c r="Z56" s="115"/>
      <c r="AA56" s="116"/>
      <c r="AB56" s="117"/>
      <c r="AC56" s="114"/>
      <c r="AD56" s="118"/>
      <c r="AE56" s="116"/>
      <c r="AF56" s="116"/>
      <c r="AG56" s="117"/>
    </row>
    <row r="57" spans="2:33" ht="15.75" thickBot="1" x14ac:dyDescent="0.3">
      <c r="B57" s="114"/>
      <c r="C57" s="116"/>
      <c r="D57" s="116"/>
      <c r="E57" s="117"/>
      <c r="F57" s="108"/>
      <c r="G57" s="119"/>
      <c r="H57" s="109"/>
      <c r="I57" s="109"/>
      <c r="J57" s="117"/>
      <c r="N57" s="114"/>
      <c r="O57" s="116"/>
      <c r="P57" s="116"/>
      <c r="Q57" s="117"/>
      <c r="R57" s="108"/>
      <c r="S57" s="119"/>
      <c r="T57" s="109"/>
      <c r="U57" s="109"/>
      <c r="V57" s="117"/>
      <c r="Y57" s="114"/>
      <c r="Z57" s="116"/>
      <c r="AA57" s="116"/>
      <c r="AB57" s="117"/>
      <c r="AC57" s="108"/>
      <c r="AD57" s="119"/>
      <c r="AE57" s="109"/>
      <c r="AF57" s="109"/>
      <c r="AG57" s="117"/>
    </row>
    <row r="58" spans="2:33" ht="15.75" thickBot="1" x14ac:dyDescent="0.3">
      <c r="B58" s="111" t="s">
        <v>199</v>
      </c>
      <c r="C58" s="112"/>
      <c r="D58" s="112"/>
      <c r="E58" s="113"/>
      <c r="F58" s="111" t="s">
        <v>199</v>
      </c>
      <c r="G58" s="112"/>
      <c r="H58" s="112"/>
      <c r="I58" s="112"/>
      <c r="J58" s="113"/>
      <c r="N58" s="111" t="s">
        <v>199</v>
      </c>
      <c r="O58" s="112"/>
      <c r="P58" s="112"/>
      <c r="Q58" s="113"/>
      <c r="R58" s="111" t="s">
        <v>199</v>
      </c>
      <c r="S58" s="112"/>
      <c r="T58" s="112"/>
      <c r="U58" s="112"/>
      <c r="V58" s="113"/>
      <c r="Y58" s="111" t="s">
        <v>199</v>
      </c>
      <c r="Z58" s="112"/>
      <c r="AA58" s="112"/>
      <c r="AB58" s="113"/>
      <c r="AC58" s="111" t="s">
        <v>199</v>
      </c>
      <c r="AD58" s="112"/>
      <c r="AE58" s="112"/>
      <c r="AF58" s="112"/>
      <c r="AG58" s="113"/>
    </row>
    <row r="59" spans="2:33" x14ac:dyDescent="0.25">
      <c r="B59" s="108"/>
      <c r="C59" s="124"/>
      <c r="D59" s="109"/>
      <c r="E59" s="110"/>
      <c r="F59" s="108" t="s">
        <v>225</v>
      </c>
      <c r="G59" s="137"/>
      <c r="H59" s="109">
        <f>'Indoor Backup Calcs'!J27</f>
        <v>2488.7679551395281</v>
      </c>
      <c r="I59" s="109" t="s">
        <v>424</v>
      </c>
      <c r="J59" s="110"/>
      <c r="N59" s="108"/>
      <c r="O59" s="124"/>
      <c r="P59" s="109"/>
      <c r="Q59" s="110"/>
      <c r="R59" s="108"/>
      <c r="S59" s="137"/>
      <c r="T59" s="109"/>
      <c r="U59" s="109"/>
      <c r="V59" s="110"/>
      <c r="Y59" s="108"/>
      <c r="Z59" s="124"/>
      <c r="AA59" s="109"/>
      <c r="AB59" s="110"/>
      <c r="AC59" s="108"/>
      <c r="AD59" s="137"/>
      <c r="AE59" s="109"/>
      <c r="AF59" s="109"/>
      <c r="AG59" s="110"/>
    </row>
    <row r="60" spans="2:33" s="31" customFormat="1" x14ac:dyDescent="0.25">
      <c r="B60" s="108"/>
      <c r="C60" s="124"/>
      <c r="D60" s="109"/>
      <c r="E60" s="110"/>
      <c r="F60" s="108"/>
      <c r="G60" s="137"/>
      <c r="H60" s="109"/>
      <c r="I60" s="109"/>
      <c r="J60" s="110"/>
      <c r="N60" s="108"/>
      <c r="O60" s="124"/>
      <c r="P60" s="109"/>
      <c r="Q60" s="110"/>
      <c r="R60" s="108"/>
      <c r="S60" s="137"/>
      <c r="T60" s="109"/>
      <c r="U60" s="109"/>
      <c r="V60" s="110"/>
      <c r="Y60" s="108"/>
      <c r="Z60" s="124"/>
      <c r="AA60" s="109"/>
      <c r="AB60" s="110"/>
      <c r="AC60" s="108"/>
      <c r="AD60" s="137"/>
      <c r="AE60" s="109"/>
      <c r="AF60" s="109"/>
      <c r="AG60" s="110"/>
    </row>
    <row r="61" spans="2:33" x14ac:dyDescent="0.25">
      <c r="B61" s="114"/>
      <c r="C61" s="128"/>
      <c r="D61" s="116"/>
      <c r="E61" s="117"/>
      <c r="F61" s="140"/>
      <c r="G61" s="138"/>
      <c r="H61" s="139"/>
      <c r="I61" s="138"/>
      <c r="J61" s="142"/>
      <c r="N61" s="114"/>
      <c r="O61" s="128"/>
      <c r="P61" s="116"/>
      <c r="Q61" s="117"/>
      <c r="R61" s="140"/>
      <c r="S61" s="138"/>
      <c r="T61" s="139"/>
      <c r="U61" s="138"/>
      <c r="V61" s="142"/>
      <c r="Y61" s="114"/>
      <c r="Z61" s="128"/>
      <c r="AA61" s="116"/>
      <c r="AB61" s="117"/>
      <c r="AC61" s="140"/>
      <c r="AD61" s="138"/>
      <c r="AE61" s="139"/>
      <c r="AF61" s="138"/>
      <c r="AG61" s="142"/>
    </row>
    <row r="62" spans="2:33" ht="15.75" thickBot="1" x14ac:dyDescent="0.3">
      <c r="B62" s="114"/>
      <c r="C62" s="116"/>
      <c r="D62" s="116"/>
      <c r="E62" s="117"/>
      <c r="F62" s="114"/>
      <c r="G62" s="116"/>
      <c r="H62" s="129"/>
      <c r="I62" s="116"/>
      <c r="J62" s="117"/>
      <c r="N62" s="114"/>
      <c r="O62" s="116"/>
      <c r="P62" s="116"/>
      <c r="Q62" s="117"/>
      <c r="R62" s="114"/>
      <c r="S62" s="116"/>
      <c r="T62" s="129"/>
      <c r="U62" s="116"/>
      <c r="V62" s="117"/>
      <c r="Y62" s="114"/>
      <c r="Z62" s="116"/>
      <c r="AA62" s="116"/>
      <c r="AB62" s="117"/>
      <c r="AC62" s="114"/>
      <c r="AD62" s="116"/>
      <c r="AE62" s="129"/>
      <c r="AF62" s="116"/>
      <c r="AG62" s="117"/>
    </row>
    <row r="63" spans="2:33" ht="15.75" thickBot="1" x14ac:dyDescent="0.3">
      <c r="B63" s="111" t="s">
        <v>302</v>
      </c>
      <c r="C63" s="112"/>
      <c r="D63" s="112"/>
      <c r="E63" s="113"/>
      <c r="F63" s="131" t="s">
        <v>302</v>
      </c>
      <c r="G63" s="130"/>
      <c r="H63" s="130"/>
      <c r="I63" s="130"/>
      <c r="J63" s="132"/>
      <c r="N63" s="111" t="s">
        <v>302</v>
      </c>
      <c r="O63" s="112"/>
      <c r="P63" s="112"/>
      <c r="Q63" s="113"/>
      <c r="R63" s="131" t="s">
        <v>302</v>
      </c>
      <c r="S63" s="130"/>
      <c r="T63" s="130"/>
      <c r="U63" s="130"/>
      <c r="V63" s="132"/>
      <c r="Y63" s="111" t="s">
        <v>302</v>
      </c>
      <c r="Z63" s="112"/>
      <c r="AA63" s="112"/>
      <c r="AB63" s="113"/>
      <c r="AC63" s="131" t="s">
        <v>302</v>
      </c>
      <c r="AD63" s="130"/>
      <c r="AE63" s="130"/>
      <c r="AF63" s="130"/>
      <c r="AG63" s="132"/>
    </row>
    <row r="64" spans="2:33" x14ac:dyDescent="0.25">
      <c r="B64" s="133"/>
      <c r="C64" s="134"/>
      <c r="D64" s="135"/>
      <c r="E64" s="136"/>
      <c r="F64" s="133"/>
      <c r="G64" s="135"/>
      <c r="H64" s="135"/>
      <c r="I64" s="135"/>
      <c r="J64" s="136"/>
      <c r="N64" s="133"/>
      <c r="O64" s="134"/>
      <c r="P64" s="135"/>
      <c r="Q64" s="136"/>
      <c r="R64" s="133"/>
      <c r="S64" s="135"/>
      <c r="T64" s="135"/>
      <c r="U64" s="135"/>
      <c r="V64" s="136"/>
      <c r="Y64" s="133"/>
      <c r="Z64" s="134"/>
      <c r="AA64" s="135"/>
      <c r="AB64" s="136"/>
      <c r="AC64" s="133"/>
      <c r="AD64" s="135"/>
      <c r="AE64" s="135"/>
      <c r="AF64" s="135"/>
      <c r="AG64" s="136"/>
    </row>
    <row r="65" spans="2:33" x14ac:dyDescent="0.25">
      <c r="B65" s="114"/>
      <c r="C65" s="116"/>
      <c r="D65" s="116"/>
      <c r="E65" s="117"/>
      <c r="F65" s="114"/>
      <c r="G65" s="118"/>
      <c r="H65" s="116"/>
      <c r="I65" s="116"/>
      <c r="J65" s="117"/>
      <c r="N65" s="114"/>
      <c r="O65" s="116"/>
      <c r="P65" s="116"/>
      <c r="Q65" s="117"/>
      <c r="R65" s="114"/>
      <c r="S65" s="118"/>
      <c r="T65" s="116"/>
      <c r="U65" s="116"/>
      <c r="V65" s="117"/>
      <c r="Y65" s="114"/>
      <c r="Z65" s="116"/>
      <c r="AA65" s="116"/>
      <c r="AB65" s="117"/>
      <c r="AC65" s="114"/>
      <c r="AD65" s="118"/>
      <c r="AE65" s="116"/>
      <c r="AF65" s="116"/>
      <c r="AG65" s="117"/>
    </row>
    <row r="66" spans="2:33" x14ac:dyDescent="0.25">
      <c r="B66" s="114"/>
      <c r="C66" s="116"/>
      <c r="D66" s="116"/>
      <c r="E66" s="117"/>
      <c r="F66" s="114"/>
      <c r="G66" s="118"/>
      <c r="H66" s="116"/>
      <c r="I66" s="116"/>
      <c r="J66" s="117"/>
      <c r="N66" s="114"/>
      <c r="O66" s="116"/>
      <c r="P66" s="116"/>
      <c r="Q66" s="117"/>
      <c r="R66" s="114"/>
      <c r="S66" s="118"/>
      <c r="T66" s="116"/>
      <c r="U66" s="116"/>
      <c r="V66" s="117"/>
      <c r="Y66" s="114"/>
      <c r="Z66" s="116"/>
      <c r="AA66" s="116"/>
      <c r="AB66" s="117"/>
      <c r="AC66" s="114"/>
      <c r="AD66" s="118"/>
      <c r="AE66" s="116"/>
      <c r="AF66" s="116"/>
      <c r="AG66" s="117"/>
    </row>
    <row r="67" spans="2:33" ht="15.75" thickBot="1" x14ac:dyDescent="0.3">
      <c r="B67" s="120"/>
      <c r="C67" s="122"/>
      <c r="D67" s="122"/>
      <c r="E67" s="123"/>
      <c r="F67" s="120"/>
      <c r="G67" s="121"/>
      <c r="H67" s="122"/>
      <c r="I67" s="122"/>
      <c r="J67" s="123"/>
      <c r="N67" s="120"/>
      <c r="O67" s="122"/>
      <c r="P67" s="122"/>
      <c r="Q67" s="123"/>
      <c r="R67" s="120"/>
      <c r="S67" s="121"/>
      <c r="T67" s="122"/>
      <c r="U67" s="122"/>
      <c r="V67" s="123"/>
      <c r="Y67" s="120"/>
      <c r="Z67" s="122"/>
      <c r="AA67" s="122"/>
      <c r="AB67" s="123"/>
      <c r="AC67" s="120"/>
      <c r="AD67" s="121"/>
      <c r="AE67" s="122"/>
      <c r="AF67" s="122"/>
      <c r="AG67" s="123"/>
    </row>
    <row r="68" spans="2:33" s="31" customFormat="1" ht="15.75" thickBot="1" x14ac:dyDescent="0.3">
      <c r="B68" s="102" t="s">
        <v>301</v>
      </c>
      <c r="C68" s="103"/>
      <c r="D68" s="103"/>
      <c r="E68" s="104"/>
      <c r="F68" s="141" t="s">
        <v>444</v>
      </c>
      <c r="G68" s="105"/>
      <c r="H68" s="106"/>
      <c r="I68" s="106"/>
      <c r="J68" s="107"/>
      <c r="N68" s="102" t="s">
        <v>301</v>
      </c>
      <c r="O68" s="103"/>
      <c r="P68" s="103"/>
      <c r="Q68" s="104"/>
      <c r="R68" s="141" t="s">
        <v>444</v>
      </c>
      <c r="S68" s="105"/>
      <c r="T68" s="106"/>
      <c r="U68" s="106"/>
      <c r="V68" s="107"/>
      <c r="Y68" s="102" t="s">
        <v>301</v>
      </c>
      <c r="Z68" s="103"/>
      <c r="AA68" s="103"/>
      <c r="AB68" s="104"/>
      <c r="AC68" s="141" t="s">
        <v>444</v>
      </c>
      <c r="AD68" s="105"/>
      <c r="AE68" s="106"/>
      <c r="AF68" s="106"/>
      <c r="AG68" s="107"/>
    </row>
    <row r="69" spans="2:33" s="31" customFormat="1" ht="15.75" thickBot="1" x14ac:dyDescent="0.3">
      <c r="B69" s="108"/>
      <c r="C69" s="109"/>
      <c r="D69" s="109"/>
      <c r="E69" s="110"/>
      <c r="F69" s="125"/>
      <c r="G69" s="126"/>
      <c r="H69" s="126"/>
      <c r="I69" s="126"/>
      <c r="J69" s="127"/>
      <c r="N69" s="108"/>
      <c r="O69" s="109"/>
      <c r="P69" s="109"/>
      <c r="Q69" s="110"/>
      <c r="R69" s="125"/>
      <c r="S69" s="126"/>
      <c r="T69" s="126"/>
      <c r="U69" s="126"/>
      <c r="V69" s="127"/>
      <c r="Y69" s="108"/>
      <c r="Z69" s="109"/>
      <c r="AA69" s="109"/>
      <c r="AB69" s="110"/>
      <c r="AC69" s="125"/>
      <c r="AD69" s="126"/>
      <c r="AE69" s="126"/>
      <c r="AF69" s="126"/>
      <c r="AG69" s="127"/>
    </row>
    <row r="70" spans="2:33" s="31" customFormat="1" ht="15.75" thickBot="1" x14ac:dyDescent="0.3">
      <c r="B70" s="111" t="s">
        <v>197</v>
      </c>
      <c r="C70" s="112"/>
      <c r="D70" s="112"/>
      <c r="E70" s="113"/>
      <c r="F70" s="111" t="s">
        <v>197</v>
      </c>
      <c r="G70" s="112"/>
      <c r="H70" s="112"/>
      <c r="I70" s="112"/>
      <c r="J70" s="113"/>
      <c r="N70" s="111" t="s">
        <v>197</v>
      </c>
      <c r="O70" s="112"/>
      <c r="P70" s="112"/>
      <c r="Q70" s="113"/>
      <c r="R70" s="111" t="s">
        <v>197</v>
      </c>
      <c r="S70" s="112"/>
      <c r="T70" s="112"/>
      <c r="U70" s="112"/>
      <c r="V70" s="113"/>
      <c r="Y70" s="111" t="s">
        <v>197</v>
      </c>
      <c r="Z70" s="112"/>
      <c r="AA70" s="112"/>
      <c r="AB70" s="113"/>
      <c r="AC70" s="111" t="s">
        <v>197</v>
      </c>
      <c r="AD70" s="112"/>
      <c r="AE70" s="112"/>
      <c r="AF70" s="112"/>
      <c r="AG70" s="113"/>
    </row>
    <row r="71" spans="2:33" s="31" customFormat="1" x14ac:dyDescent="0.25">
      <c r="B71" s="114"/>
      <c r="C71" s="115"/>
      <c r="D71" s="116"/>
      <c r="E71" s="117"/>
      <c r="F71" s="114"/>
      <c r="G71" s="118"/>
      <c r="H71" s="116"/>
      <c r="I71" s="116"/>
      <c r="J71" s="117"/>
      <c r="N71" s="114"/>
      <c r="O71" s="115"/>
      <c r="P71" s="116"/>
      <c r="Q71" s="117"/>
      <c r="R71" s="114"/>
      <c r="S71" s="118"/>
      <c r="T71" s="116"/>
      <c r="U71" s="116"/>
      <c r="V71" s="117"/>
      <c r="Y71" s="114"/>
      <c r="Z71" s="115"/>
      <c r="AA71" s="116"/>
      <c r="AB71" s="117"/>
      <c r="AC71" s="114"/>
      <c r="AD71" s="118"/>
      <c r="AE71" s="116"/>
      <c r="AF71" s="116"/>
      <c r="AG71" s="117"/>
    </row>
    <row r="72" spans="2:33" s="31" customFormat="1" ht="15.75" thickBot="1" x14ac:dyDescent="0.3">
      <c r="B72" s="114"/>
      <c r="C72" s="116"/>
      <c r="D72" s="116"/>
      <c r="E72" s="117"/>
      <c r="F72" s="108"/>
      <c r="G72" s="119"/>
      <c r="H72" s="109"/>
      <c r="I72" s="109"/>
      <c r="J72" s="117"/>
      <c r="N72" s="114"/>
      <c r="O72" s="116"/>
      <c r="P72" s="116"/>
      <c r="Q72" s="117"/>
      <c r="R72" s="108"/>
      <c r="S72" s="119"/>
      <c r="T72" s="109"/>
      <c r="U72" s="109"/>
      <c r="V72" s="117"/>
      <c r="Y72" s="114"/>
      <c r="Z72" s="116"/>
      <c r="AA72" s="116"/>
      <c r="AB72" s="117"/>
      <c r="AC72" s="108"/>
      <c r="AD72" s="119"/>
      <c r="AE72" s="109"/>
      <c r="AF72" s="109"/>
      <c r="AG72" s="117"/>
    </row>
    <row r="73" spans="2:33" s="31" customFormat="1" ht="15.75" thickBot="1" x14ac:dyDescent="0.3">
      <c r="B73" s="111" t="s">
        <v>199</v>
      </c>
      <c r="C73" s="112"/>
      <c r="D73" s="112"/>
      <c r="E73" s="113"/>
      <c r="F73" s="111" t="s">
        <v>199</v>
      </c>
      <c r="G73" s="112"/>
      <c r="H73" s="112"/>
      <c r="I73" s="112"/>
      <c r="J73" s="113"/>
      <c r="N73" s="111" t="s">
        <v>199</v>
      </c>
      <c r="O73" s="112"/>
      <c r="P73" s="112"/>
      <c r="Q73" s="113"/>
      <c r="R73" s="111" t="s">
        <v>199</v>
      </c>
      <c r="S73" s="112"/>
      <c r="T73" s="112"/>
      <c r="U73" s="112"/>
      <c r="V73" s="113"/>
      <c r="Y73" s="111" t="s">
        <v>199</v>
      </c>
      <c r="Z73" s="112"/>
      <c r="AA73" s="112"/>
      <c r="AB73" s="113"/>
      <c r="AC73" s="111" t="s">
        <v>199</v>
      </c>
      <c r="AD73" s="112"/>
      <c r="AE73" s="112"/>
      <c r="AF73" s="112"/>
      <c r="AG73" s="113"/>
    </row>
    <row r="74" spans="2:33" s="31" customFormat="1" x14ac:dyDescent="0.25">
      <c r="B74" s="108"/>
      <c r="C74" s="124"/>
      <c r="D74" s="109"/>
      <c r="E74" s="110"/>
      <c r="F74" s="108" t="s">
        <v>225</v>
      </c>
      <c r="G74" s="137"/>
      <c r="H74" s="109">
        <f>'Indoor Backup Calcs'!K27</f>
        <v>3268.2885951450285</v>
      </c>
      <c r="I74" s="109" t="s">
        <v>424</v>
      </c>
      <c r="J74" s="110"/>
      <c r="N74" s="108"/>
      <c r="O74" s="124"/>
      <c r="P74" s="109"/>
      <c r="Q74" s="110"/>
      <c r="R74" s="108"/>
      <c r="S74" s="137"/>
      <c r="T74" s="109"/>
      <c r="U74" s="109"/>
      <c r="V74" s="110"/>
      <c r="Y74" s="108"/>
      <c r="Z74" s="124"/>
      <c r="AA74" s="109"/>
      <c r="AB74" s="110"/>
      <c r="AC74" s="108"/>
      <c r="AD74" s="137"/>
      <c r="AE74" s="109"/>
      <c r="AF74" s="109"/>
      <c r="AG74" s="110"/>
    </row>
    <row r="75" spans="2:33" s="31" customFormat="1" x14ac:dyDescent="0.25">
      <c r="B75" s="114"/>
      <c r="C75" s="128"/>
      <c r="D75" s="116"/>
      <c r="E75" s="117"/>
      <c r="F75" s="140"/>
      <c r="G75" s="138"/>
      <c r="H75" s="139"/>
      <c r="I75" s="138"/>
      <c r="J75" s="142"/>
      <c r="N75" s="114"/>
      <c r="O75" s="128"/>
      <c r="P75" s="116"/>
      <c r="Q75" s="117"/>
      <c r="R75" s="140"/>
      <c r="S75" s="138"/>
      <c r="T75" s="139"/>
      <c r="U75" s="138"/>
      <c r="V75" s="142"/>
      <c r="Y75" s="114"/>
      <c r="Z75" s="128"/>
      <c r="AA75" s="116"/>
      <c r="AB75" s="117"/>
      <c r="AC75" s="140"/>
      <c r="AD75" s="138"/>
      <c r="AE75" s="139"/>
      <c r="AF75" s="138"/>
      <c r="AG75" s="142"/>
    </row>
    <row r="76" spans="2:33" s="31" customFormat="1" ht="15.75" thickBot="1" x14ac:dyDescent="0.3">
      <c r="B76" s="114"/>
      <c r="C76" s="116"/>
      <c r="D76" s="116"/>
      <c r="E76" s="117"/>
      <c r="F76" s="114"/>
      <c r="G76" s="116"/>
      <c r="H76" s="129"/>
      <c r="I76" s="116"/>
      <c r="J76" s="117"/>
      <c r="N76" s="114"/>
      <c r="O76" s="116"/>
      <c r="P76" s="116"/>
      <c r="Q76" s="117"/>
      <c r="R76" s="114"/>
      <c r="S76" s="116"/>
      <c r="T76" s="129"/>
      <c r="U76" s="116"/>
      <c r="V76" s="117"/>
      <c r="Y76" s="114"/>
      <c r="Z76" s="116"/>
      <c r="AA76" s="116"/>
      <c r="AB76" s="117"/>
      <c r="AC76" s="114"/>
      <c r="AD76" s="116"/>
      <c r="AE76" s="129"/>
      <c r="AF76" s="116"/>
      <c r="AG76" s="117"/>
    </row>
    <row r="77" spans="2:33" s="31" customFormat="1" ht="15.75" thickBot="1" x14ac:dyDescent="0.3">
      <c r="B77" s="111" t="s">
        <v>302</v>
      </c>
      <c r="C77" s="112"/>
      <c r="D77" s="112"/>
      <c r="E77" s="113"/>
      <c r="F77" s="131" t="s">
        <v>302</v>
      </c>
      <c r="G77" s="130"/>
      <c r="H77" s="130"/>
      <c r="I77" s="130"/>
      <c r="J77" s="132"/>
      <c r="N77" s="111" t="s">
        <v>302</v>
      </c>
      <c r="O77" s="112"/>
      <c r="P77" s="112"/>
      <c r="Q77" s="113"/>
      <c r="R77" s="131" t="s">
        <v>302</v>
      </c>
      <c r="S77" s="130"/>
      <c r="T77" s="130"/>
      <c r="U77" s="130"/>
      <c r="V77" s="132"/>
      <c r="Y77" s="111" t="s">
        <v>302</v>
      </c>
      <c r="Z77" s="112"/>
      <c r="AA77" s="112"/>
      <c r="AB77" s="113"/>
      <c r="AC77" s="131" t="s">
        <v>302</v>
      </c>
      <c r="AD77" s="130"/>
      <c r="AE77" s="130"/>
      <c r="AF77" s="130"/>
      <c r="AG77" s="132"/>
    </row>
    <row r="78" spans="2:33" s="31" customFormat="1" x14ac:dyDescent="0.25">
      <c r="B78" s="133"/>
      <c r="C78" s="134"/>
      <c r="D78" s="135"/>
      <c r="E78" s="136"/>
      <c r="F78" s="133"/>
      <c r="G78" s="135"/>
      <c r="H78" s="135"/>
      <c r="I78" s="135"/>
      <c r="J78" s="136"/>
      <c r="N78" s="133"/>
      <c r="O78" s="134"/>
      <c r="P78" s="135"/>
      <c r="Q78" s="136"/>
      <c r="R78" s="133"/>
      <c r="S78" s="135"/>
      <c r="T78" s="135"/>
      <c r="U78" s="135"/>
      <c r="V78" s="136"/>
      <c r="Y78" s="133"/>
      <c r="Z78" s="134"/>
      <c r="AA78" s="135"/>
      <c r="AB78" s="136"/>
      <c r="AC78" s="133"/>
      <c r="AD78" s="135"/>
      <c r="AE78" s="135"/>
      <c r="AF78" s="135"/>
      <c r="AG78" s="136"/>
    </row>
    <row r="79" spans="2:33" s="31" customFormat="1" x14ac:dyDescent="0.25">
      <c r="B79" s="114"/>
      <c r="C79" s="116"/>
      <c r="D79" s="116"/>
      <c r="E79" s="117"/>
      <c r="F79" s="114"/>
      <c r="G79" s="118"/>
      <c r="H79" s="116"/>
      <c r="I79" s="116"/>
      <c r="J79" s="117"/>
      <c r="N79" s="114"/>
      <c r="O79" s="116"/>
      <c r="P79" s="116"/>
      <c r="Q79" s="117"/>
      <c r="R79" s="114"/>
      <c r="S79" s="118"/>
      <c r="T79" s="116"/>
      <c r="U79" s="116"/>
      <c r="V79" s="117"/>
      <c r="Y79" s="114"/>
      <c r="Z79" s="116"/>
      <c r="AA79" s="116"/>
      <c r="AB79" s="117"/>
      <c r="AC79" s="114"/>
      <c r="AD79" s="118"/>
      <c r="AE79" s="116"/>
      <c r="AF79" s="116"/>
      <c r="AG79" s="117"/>
    </row>
    <row r="80" spans="2:33" s="31" customFormat="1" x14ac:dyDescent="0.25">
      <c r="B80" s="114"/>
      <c r="C80" s="116"/>
      <c r="D80" s="116"/>
      <c r="E80" s="117"/>
      <c r="F80" s="114"/>
      <c r="G80" s="118"/>
      <c r="H80" s="116"/>
      <c r="I80" s="116"/>
      <c r="J80" s="117"/>
      <c r="N80" s="114"/>
      <c r="O80" s="116"/>
      <c r="P80" s="116"/>
      <c r="Q80" s="117"/>
      <c r="R80" s="114"/>
      <c r="S80" s="118"/>
      <c r="T80" s="116"/>
      <c r="U80" s="116"/>
      <c r="V80" s="117"/>
      <c r="Y80" s="114"/>
      <c r="Z80" s="116"/>
      <c r="AA80" s="116"/>
      <c r="AB80" s="117"/>
      <c r="AC80" s="114"/>
      <c r="AD80" s="118"/>
      <c r="AE80" s="116"/>
      <c r="AF80" s="116"/>
      <c r="AG80" s="117"/>
    </row>
    <row r="81" spans="2:33" s="31" customFormat="1" ht="15.75" thickBot="1" x14ac:dyDescent="0.3">
      <c r="B81" s="120"/>
      <c r="C81" s="122"/>
      <c r="D81" s="122"/>
      <c r="E81" s="123"/>
      <c r="F81" s="120"/>
      <c r="G81" s="121"/>
      <c r="H81" s="122"/>
      <c r="I81" s="122"/>
      <c r="J81" s="123"/>
      <c r="N81" s="120"/>
      <c r="O81" s="122"/>
      <c r="P81" s="122"/>
      <c r="Q81" s="123"/>
      <c r="R81" s="120"/>
      <c r="S81" s="121"/>
      <c r="T81" s="122"/>
      <c r="U81" s="122"/>
      <c r="V81" s="123"/>
      <c r="Y81" s="120"/>
      <c r="Z81" s="122"/>
      <c r="AA81" s="122"/>
      <c r="AB81" s="123"/>
      <c r="AC81" s="120"/>
      <c r="AD81" s="121"/>
      <c r="AE81" s="122"/>
      <c r="AF81" s="122"/>
      <c r="AG81" s="123"/>
    </row>
    <row r="82" spans="2:33" ht="15.75" thickBot="1" x14ac:dyDescent="0.3">
      <c r="N82" s="31"/>
      <c r="O82" s="31"/>
      <c r="P82" s="31"/>
      <c r="Q82" s="31"/>
      <c r="R82" s="31"/>
      <c r="S82" s="31"/>
      <c r="T82" s="31"/>
      <c r="U82" s="31"/>
      <c r="V82" s="31"/>
      <c r="Y82" s="31"/>
      <c r="Z82" s="31"/>
      <c r="AA82" s="31"/>
      <c r="AB82" s="31"/>
      <c r="AC82" s="31"/>
      <c r="AD82" s="31"/>
      <c r="AE82" s="31"/>
      <c r="AF82" s="31"/>
      <c r="AG82" s="31"/>
    </row>
    <row r="83" spans="2:33" ht="15.75" thickBot="1" x14ac:dyDescent="0.3">
      <c r="B83" s="102" t="s">
        <v>301</v>
      </c>
      <c r="C83" s="103"/>
      <c r="D83" s="103"/>
      <c r="E83" s="104"/>
      <c r="F83" s="141" t="s">
        <v>445</v>
      </c>
      <c r="G83" s="105"/>
      <c r="H83" s="106"/>
      <c r="I83" s="106"/>
      <c r="J83" s="107"/>
      <c r="N83" s="102" t="s">
        <v>301</v>
      </c>
      <c r="O83" s="103"/>
      <c r="P83" s="103"/>
      <c r="Q83" s="104"/>
      <c r="R83" s="141" t="s">
        <v>445</v>
      </c>
      <c r="S83" s="105"/>
      <c r="T83" s="106"/>
      <c r="U83" s="106"/>
      <c r="V83" s="107"/>
      <c r="Y83" s="102" t="s">
        <v>301</v>
      </c>
      <c r="Z83" s="103"/>
      <c r="AA83" s="103"/>
      <c r="AB83" s="104"/>
      <c r="AC83" s="141" t="s">
        <v>445</v>
      </c>
      <c r="AD83" s="105"/>
      <c r="AE83" s="106"/>
      <c r="AF83" s="106"/>
      <c r="AG83" s="107"/>
    </row>
    <row r="84" spans="2:33" ht="15.75" thickBot="1" x14ac:dyDescent="0.3">
      <c r="B84" s="108"/>
      <c r="C84" s="109"/>
      <c r="D84" s="109"/>
      <c r="E84" s="110"/>
      <c r="F84" s="125"/>
      <c r="G84" s="126"/>
      <c r="H84" s="126"/>
      <c r="I84" s="126"/>
      <c r="J84" s="127"/>
      <c r="N84" s="108"/>
      <c r="O84" s="109"/>
      <c r="P84" s="109"/>
      <c r="Q84" s="110"/>
      <c r="R84" s="125"/>
      <c r="S84" s="126"/>
      <c r="T84" s="126"/>
      <c r="U84" s="126"/>
      <c r="V84" s="127"/>
      <c r="Y84" s="108"/>
      <c r="Z84" s="109"/>
      <c r="AA84" s="109"/>
      <c r="AB84" s="110"/>
      <c r="AC84" s="125"/>
      <c r="AD84" s="126"/>
      <c r="AE84" s="126"/>
      <c r="AF84" s="126"/>
      <c r="AG84" s="127"/>
    </row>
    <row r="85" spans="2:33" ht="15.75" thickBot="1" x14ac:dyDescent="0.3">
      <c r="B85" s="111" t="s">
        <v>197</v>
      </c>
      <c r="C85" s="112"/>
      <c r="D85" s="112"/>
      <c r="E85" s="113"/>
      <c r="F85" s="111" t="s">
        <v>197</v>
      </c>
      <c r="G85" s="112"/>
      <c r="H85" s="112"/>
      <c r="I85" s="112"/>
      <c r="J85" s="113"/>
      <c r="N85" s="111" t="s">
        <v>197</v>
      </c>
      <c r="O85" s="112"/>
      <c r="P85" s="112"/>
      <c r="Q85" s="113"/>
      <c r="R85" s="111" t="s">
        <v>197</v>
      </c>
      <c r="S85" s="112"/>
      <c r="T85" s="112"/>
      <c r="U85" s="112"/>
      <c r="V85" s="113"/>
      <c r="Y85" s="111" t="s">
        <v>197</v>
      </c>
      <c r="Z85" s="112"/>
      <c r="AA85" s="112"/>
      <c r="AB85" s="113"/>
      <c r="AC85" s="111" t="s">
        <v>197</v>
      </c>
      <c r="AD85" s="112"/>
      <c r="AE85" s="112"/>
      <c r="AF85" s="112"/>
      <c r="AG85" s="113"/>
    </row>
    <row r="86" spans="2:33" x14ac:dyDescent="0.25">
      <c r="B86" s="114"/>
      <c r="C86" s="115"/>
      <c r="D86" s="116"/>
      <c r="E86" s="117"/>
      <c r="F86" s="114"/>
      <c r="G86" s="118"/>
      <c r="H86" s="116"/>
      <c r="I86" s="116"/>
      <c r="J86" s="117"/>
      <c r="N86" s="114"/>
      <c r="O86" s="115"/>
      <c r="P86" s="116"/>
      <c r="Q86" s="117"/>
      <c r="R86" s="114"/>
      <c r="S86" s="118"/>
      <c r="T86" s="116"/>
      <c r="U86" s="116"/>
      <c r="V86" s="117"/>
      <c r="Y86" s="114"/>
      <c r="Z86" s="115"/>
      <c r="AA86" s="116"/>
      <c r="AB86" s="117"/>
      <c r="AC86" s="114"/>
      <c r="AD86" s="118"/>
      <c r="AE86" s="116"/>
      <c r="AF86" s="116"/>
      <c r="AG86" s="117"/>
    </row>
    <row r="87" spans="2:33" ht="15.75" thickBot="1" x14ac:dyDescent="0.3">
      <c r="B87" s="114"/>
      <c r="C87" s="116"/>
      <c r="D87" s="116"/>
      <c r="E87" s="117"/>
      <c r="F87" s="108"/>
      <c r="G87" s="119"/>
      <c r="H87" s="109"/>
      <c r="I87" s="109"/>
      <c r="J87" s="117"/>
      <c r="N87" s="114"/>
      <c r="O87" s="116"/>
      <c r="P87" s="116"/>
      <c r="Q87" s="117"/>
      <c r="R87" s="108"/>
      <c r="S87" s="119"/>
      <c r="T87" s="109"/>
      <c r="U87" s="109"/>
      <c r="V87" s="117"/>
      <c r="Y87" s="114"/>
      <c r="Z87" s="116"/>
      <c r="AA87" s="116"/>
      <c r="AB87" s="117"/>
      <c r="AC87" s="108"/>
      <c r="AD87" s="119"/>
      <c r="AE87" s="109"/>
      <c r="AF87" s="109"/>
      <c r="AG87" s="117"/>
    </row>
    <row r="88" spans="2:33" ht="15.75" thickBot="1" x14ac:dyDescent="0.3">
      <c r="B88" s="111" t="s">
        <v>199</v>
      </c>
      <c r="C88" s="112"/>
      <c r="D88" s="112"/>
      <c r="E88" s="113"/>
      <c r="F88" s="111" t="s">
        <v>199</v>
      </c>
      <c r="G88" s="112"/>
      <c r="H88" s="112"/>
      <c r="I88" s="112"/>
      <c r="J88" s="113"/>
      <c r="N88" s="111" t="s">
        <v>199</v>
      </c>
      <c r="O88" s="112"/>
      <c r="P88" s="112"/>
      <c r="Q88" s="113"/>
      <c r="R88" s="111" t="s">
        <v>199</v>
      </c>
      <c r="S88" s="112"/>
      <c r="T88" s="112"/>
      <c r="U88" s="112"/>
      <c r="V88" s="113"/>
      <c r="Y88" s="111" t="s">
        <v>199</v>
      </c>
      <c r="Z88" s="112"/>
      <c r="AA88" s="112"/>
      <c r="AB88" s="113"/>
      <c r="AC88" s="111" t="s">
        <v>199</v>
      </c>
      <c r="AD88" s="112"/>
      <c r="AE88" s="112"/>
      <c r="AF88" s="112"/>
      <c r="AG88" s="113"/>
    </row>
    <row r="89" spans="2:33" x14ac:dyDescent="0.25">
      <c r="B89" s="108"/>
      <c r="C89" s="124"/>
      <c r="D89" s="109"/>
      <c r="E89" s="110"/>
      <c r="F89" s="108"/>
      <c r="G89" s="137"/>
      <c r="H89" s="109"/>
      <c r="I89" s="109"/>
      <c r="J89" s="110"/>
      <c r="N89" s="108"/>
      <c r="O89" s="124"/>
      <c r="P89" s="109"/>
      <c r="Q89" s="110"/>
      <c r="R89" s="108"/>
      <c r="S89" s="137"/>
      <c r="T89" s="109"/>
      <c r="U89" s="109"/>
      <c r="V89" s="110"/>
      <c r="Y89" s="108"/>
      <c r="Z89" s="124"/>
      <c r="AA89" s="109"/>
      <c r="AB89" s="110"/>
      <c r="AC89" s="108"/>
      <c r="AD89" s="137"/>
      <c r="AE89" s="109"/>
      <c r="AF89" s="109"/>
      <c r="AG89" s="110"/>
    </row>
    <row r="90" spans="2:33" x14ac:dyDescent="0.25">
      <c r="B90" s="114"/>
      <c r="C90" s="128"/>
      <c r="D90" s="116"/>
      <c r="E90" s="117"/>
      <c r="F90" s="140"/>
      <c r="G90" s="138"/>
      <c r="H90" s="139"/>
      <c r="I90" s="138"/>
      <c r="J90" s="142"/>
      <c r="N90" s="114"/>
      <c r="O90" s="128"/>
      <c r="P90" s="116"/>
      <c r="Q90" s="117"/>
      <c r="R90" s="140"/>
      <c r="S90" s="138"/>
      <c r="T90" s="139"/>
      <c r="U90" s="138"/>
      <c r="V90" s="142"/>
      <c r="Y90" s="114"/>
      <c r="Z90" s="128"/>
      <c r="AA90" s="116"/>
      <c r="AB90" s="117"/>
      <c r="AC90" s="140"/>
      <c r="AD90" s="138"/>
      <c r="AE90" s="139"/>
      <c r="AF90" s="138"/>
      <c r="AG90" s="142"/>
    </row>
    <row r="91" spans="2:33" ht="15.75" thickBot="1" x14ac:dyDescent="0.3">
      <c r="B91" s="114"/>
      <c r="C91" s="116"/>
      <c r="D91" s="116"/>
      <c r="E91" s="117"/>
      <c r="F91" s="114"/>
      <c r="G91" s="116"/>
      <c r="H91" s="129"/>
      <c r="I91" s="116"/>
      <c r="J91" s="117"/>
      <c r="N91" s="114"/>
      <c r="O91" s="116"/>
      <c r="P91" s="116"/>
      <c r="Q91" s="117"/>
      <c r="R91" s="114"/>
      <c r="S91" s="116"/>
      <c r="T91" s="129"/>
      <c r="U91" s="116"/>
      <c r="V91" s="117"/>
      <c r="Y91" s="114"/>
      <c r="Z91" s="116"/>
      <c r="AA91" s="116"/>
      <c r="AB91" s="117"/>
      <c r="AC91" s="114"/>
      <c r="AD91" s="116"/>
      <c r="AE91" s="129"/>
      <c r="AF91" s="116"/>
      <c r="AG91" s="117"/>
    </row>
    <row r="92" spans="2:33" ht="15.75" thickBot="1" x14ac:dyDescent="0.3">
      <c r="B92" s="111" t="s">
        <v>302</v>
      </c>
      <c r="C92" s="112"/>
      <c r="D92" s="112"/>
      <c r="E92" s="113"/>
      <c r="F92" s="131" t="s">
        <v>302</v>
      </c>
      <c r="G92" s="130"/>
      <c r="H92" s="130"/>
      <c r="I92" s="130"/>
      <c r="J92" s="132"/>
      <c r="N92" s="111" t="s">
        <v>302</v>
      </c>
      <c r="O92" s="112"/>
      <c r="P92" s="112"/>
      <c r="Q92" s="113"/>
      <c r="R92" s="131" t="s">
        <v>302</v>
      </c>
      <c r="S92" s="130"/>
      <c r="T92" s="130"/>
      <c r="U92" s="130"/>
      <c r="V92" s="132"/>
      <c r="Y92" s="111" t="s">
        <v>302</v>
      </c>
      <c r="Z92" s="112"/>
      <c r="AA92" s="112"/>
      <c r="AB92" s="113"/>
      <c r="AC92" s="131" t="s">
        <v>302</v>
      </c>
      <c r="AD92" s="130"/>
      <c r="AE92" s="130"/>
      <c r="AF92" s="130"/>
      <c r="AG92" s="132"/>
    </row>
    <row r="93" spans="2:33" x14ac:dyDescent="0.25">
      <c r="B93" s="133"/>
      <c r="C93" s="134"/>
      <c r="D93" s="135"/>
      <c r="E93" s="136"/>
      <c r="F93" s="133"/>
      <c r="G93" s="135"/>
      <c r="H93" s="135"/>
      <c r="I93" s="135"/>
      <c r="J93" s="136"/>
      <c r="N93" s="133"/>
      <c r="O93" s="134"/>
      <c r="P93" s="135"/>
      <c r="Q93" s="136"/>
      <c r="R93" s="133"/>
      <c r="S93" s="135"/>
      <c r="T93" s="135"/>
      <c r="U93" s="135"/>
      <c r="V93" s="136"/>
      <c r="Y93" s="133"/>
      <c r="Z93" s="134"/>
      <c r="AA93" s="135"/>
      <c r="AB93" s="136"/>
      <c r="AC93" s="133"/>
      <c r="AD93" s="135"/>
      <c r="AE93" s="135"/>
      <c r="AF93" s="135"/>
      <c r="AG93" s="136"/>
    </row>
    <row r="94" spans="2:33" x14ac:dyDescent="0.25">
      <c r="B94" s="114"/>
      <c r="C94" s="116"/>
      <c r="D94" s="116"/>
      <c r="E94" s="117"/>
      <c r="F94" s="114"/>
      <c r="G94" s="118"/>
      <c r="H94" s="116"/>
      <c r="I94" s="116"/>
      <c r="J94" s="117"/>
      <c r="N94" s="114"/>
      <c r="O94" s="116"/>
      <c r="P94" s="116"/>
      <c r="Q94" s="117"/>
      <c r="R94" s="114"/>
      <c r="S94" s="118"/>
      <c r="T94" s="116"/>
      <c r="U94" s="116"/>
      <c r="V94" s="117"/>
      <c r="Y94" s="114"/>
      <c r="Z94" s="116"/>
      <c r="AA94" s="116"/>
      <c r="AB94" s="117"/>
      <c r="AC94" s="114"/>
      <c r="AD94" s="118"/>
      <c r="AE94" s="116"/>
      <c r="AF94" s="116"/>
      <c r="AG94" s="117"/>
    </row>
    <row r="95" spans="2:33" x14ac:dyDescent="0.25">
      <c r="B95" s="114"/>
      <c r="C95" s="116"/>
      <c r="D95" s="116"/>
      <c r="E95" s="117"/>
      <c r="F95" s="114"/>
      <c r="G95" s="118"/>
      <c r="H95" s="116"/>
      <c r="I95" s="116"/>
      <c r="J95" s="117"/>
      <c r="N95" s="114"/>
      <c r="O95" s="116"/>
      <c r="P95" s="116"/>
      <c r="Q95" s="117"/>
      <c r="R95" s="114"/>
      <c r="S95" s="118"/>
      <c r="T95" s="116"/>
      <c r="U95" s="116"/>
      <c r="V95" s="117"/>
      <c r="Y95" s="114"/>
      <c r="Z95" s="116"/>
      <c r="AA95" s="116"/>
      <c r="AB95" s="117"/>
      <c r="AC95" s="114"/>
      <c r="AD95" s="118"/>
      <c r="AE95" s="116"/>
      <c r="AF95" s="116"/>
      <c r="AG95" s="117"/>
    </row>
    <row r="96" spans="2:33" ht="15.75" thickBot="1" x14ac:dyDescent="0.3">
      <c r="B96" s="120"/>
      <c r="C96" s="122"/>
      <c r="D96" s="122"/>
      <c r="E96" s="123"/>
      <c r="F96" s="120"/>
      <c r="G96" s="121"/>
      <c r="H96" s="122"/>
      <c r="I96" s="122"/>
      <c r="J96" s="123"/>
      <c r="N96" s="120"/>
      <c r="O96" s="122"/>
      <c r="P96" s="122"/>
      <c r="Q96" s="123"/>
      <c r="R96" s="120"/>
      <c r="S96" s="121"/>
      <c r="T96" s="122"/>
      <c r="U96" s="122"/>
      <c r="V96" s="123"/>
      <c r="Y96" s="120"/>
      <c r="Z96" s="122"/>
      <c r="AA96" s="122"/>
      <c r="AB96" s="123"/>
      <c r="AC96" s="120"/>
      <c r="AD96" s="121"/>
      <c r="AE96" s="122"/>
      <c r="AF96" s="122"/>
      <c r="AG96" s="123"/>
    </row>
    <row r="97" spans="2:33" ht="15.75" thickBot="1" x14ac:dyDescent="0.3">
      <c r="B97" s="31"/>
      <c r="C97" s="31"/>
      <c r="D97" s="31"/>
      <c r="E97" s="31"/>
      <c r="F97" s="31"/>
      <c r="G97" s="31"/>
      <c r="H97" s="31"/>
      <c r="I97" s="31"/>
      <c r="J97" s="31"/>
      <c r="R97" s="31"/>
      <c r="AC97" s="31"/>
    </row>
    <row r="98" spans="2:33" ht="15.75" thickBot="1" x14ac:dyDescent="0.3">
      <c r="B98" s="102" t="s">
        <v>301</v>
      </c>
      <c r="C98" s="103"/>
      <c r="D98" s="103"/>
      <c r="E98" s="104"/>
      <c r="F98" s="141" t="s">
        <v>446</v>
      </c>
      <c r="G98" s="105"/>
      <c r="H98" s="106"/>
      <c r="I98" s="106"/>
      <c r="J98" s="107"/>
      <c r="K98" s="31"/>
      <c r="L98" s="31"/>
      <c r="M98" s="31"/>
      <c r="N98" s="102" t="s">
        <v>301</v>
      </c>
      <c r="O98" s="103"/>
      <c r="P98" s="103"/>
      <c r="Q98" s="104"/>
      <c r="R98" s="141" t="s">
        <v>446</v>
      </c>
      <c r="S98" s="105"/>
      <c r="T98" s="106"/>
      <c r="U98" s="106"/>
      <c r="V98" s="107"/>
      <c r="W98" s="31"/>
      <c r="X98" s="31"/>
      <c r="Y98" s="102" t="s">
        <v>301</v>
      </c>
      <c r="Z98" s="103"/>
      <c r="AA98" s="103"/>
      <c r="AB98" s="104"/>
      <c r="AC98" s="141" t="s">
        <v>446</v>
      </c>
      <c r="AD98" s="105"/>
      <c r="AE98" s="106"/>
      <c r="AF98" s="106"/>
      <c r="AG98" s="107"/>
    </row>
    <row r="99" spans="2:33" ht="15.75" thickBot="1" x14ac:dyDescent="0.3">
      <c r="B99" s="108"/>
      <c r="C99" s="109"/>
      <c r="D99" s="109"/>
      <c r="E99" s="110"/>
      <c r="F99" s="125"/>
      <c r="G99" s="126"/>
      <c r="H99" s="126"/>
      <c r="I99" s="126"/>
      <c r="J99" s="127"/>
      <c r="K99" s="31"/>
      <c r="L99" s="31"/>
      <c r="M99" s="31"/>
      <c r="N99" s="108"/>
      <c r="O99" s="109"/>
      <c r="P99" s="109"/>
      <c r="Q99" s="110"/>
      <c r="R99" s="125"/>
      <c r="S99" s="126"/>
      <c r="T99" s="126"/>
      <c r="U99" s="126"/>
      <c r="V99" s="127"/>
      <c r="W99" s="31"/>
      <c r="X99" s="31"/>
      <c r="Y99" s="108"/>
      <c r="Z99" s="109"/>
      <c r="AA99" s="109"/>
      <c r="AB99" s="110"/>
      <c r="AC99" s="125"/>
      <c r="AD99" s="126"/>
      <c r="AE99" s="126"/>
      <c r="AF99" s="126"/>
      <c r="AG99" s="127"/>
    </row>
    <row r="100" spans="2:33" ht="15.75" thickBot="1" x14ac:dyDescent="0.3">
      <c r="B100" s="111" t="s">
        <v>197</v>
      </c>
      <c r="C100" s="112"/>
      <c r="D100" s="112"/>
      <c r="E100" s="113"/>
      <c r="F100" s="111" t="s">
        <v>197</v>
      </c>
      <c r="G100" s="112"/>
      <c r="H100" s="112"/>
      <c r="I100" s="112"/>
      <c r="J100" s="113"/>
      <c r="K100" s="31"/>
      <c r="L100" s="31"/>
      <c r="M100" s="31"/>
      <c r="N100" s="111" t="s">
        <v>197</v>
      </c>
      <c r="O100" s="112"/>
      <c r="P100" s="112"/>
      <c r="Q100" s="113"/>
      <c r="R100" s="111" t="s">
        <v>197</v>
      </c>
      <c r="S100" s="112"/>
      <c r="T100" s="112"/>
      <c r="U100" s="112"/>
      <c r="V100" s="113"/>
      <c r="W100" s="31"/>
      <c r="X100" s="31"/>
      <c r="Y100" s="111" t="s">
        <v>197</v>
      </c>
      <c r="Z100" s="112"/>
      <c r="AA100" s="112"/>
      <c r="AB100" s="113"/>
      <c r="AC100" s="111" t="s">
        <v>197</v>
      </c>
      <c r="AD100" s="112"/>
      <c r="AE100" s="112"/>
      <c r="AF100" s="112"/>
      <c r="AG100" s="113"/>
    </row>
    <row r="101" spans="2:33" x14ac:dyDescent="0.25">
      <c r="B101" s="114"/>
      <c r="C101" s="115"/>
      <c r="D101" s="116"/>
      <c r="E101" s="117"/>
      <c r="F101" s="114"/>
      <c r="G101" s="118"/>
      <c r="H101" s="116"/>
      <c r="I101" s="116"/>
      <c r="J101" s="117"/>
      <c r="K101" s="31"/>
      <c r="L101" s="31"/>
      <c r="M101" s="31"/>
      <c r="N101" s="114"/>
      <c r="O101" s="115"/>
      <c r="P101" s="116"/>
      <c r="Q101" s="117"/>
      <c r="R101" s="114"/>
      <c r="S101" s="118"/>
      <c r="T101" s="116"/>
      <c r="U101" s="116"/>
      <c r="V101" s="117"/>
      <c r="W101" s="31"/>
      <c r="X101" s="31"/>
      <c r="Y101" s="114"/>
      <c r="Z101" s="115"/>
      <c r="AA101" s="116"/>
      <c r="AB101" s="117"/>
      <c r="AC101" s="114"/>
      <c r="AD101" s="118"/>
      <c r="AE101" s="116"/>
      <c r="AF101" s="116"/>
      <c r="AG101" s="117"/>
    </row>
    <row r="102" spans="2:33" ht="15.75" thickBot="1" x14ac:dyDescent="0.3">
      <c r="B102" s="114"/>
      <c r="C102" s="116"/>
      <c r="D102" s="116"/>
      <c r="E102" s="117"/>
      <c r="F102" s="108"/>
      <c r="G102" s="119"/>
      <c r="H102" s="109"/>
      <c r="I102" s="109"/>
      <c r="J102" s="117"/>
      <c r="K102" s="31"/>
      <c r="L102" s="31"/>
      <c r="M102" s="31"/>
      <c r="N102" s="114"/>
      <c r="O102" s="116"/>
      <c r="P102" s="116"/>
      <c r="Q102" s="117"/>
      <c r="R102" s="108"/>
      <c r="S102" s="119"/>
      <c r="T102" s="109"/>
      <c r="U102" s="109"/>
      <c r="V102" s="117"/>
      <c r="W102" s="31"/>
      <c r="X102" s="31"/>
      <c r="Y102" s="114"/>
      <c r="Z102" s="116"/>
      <c r="AA102" s="116"/>
      <c r="AB102" s="117"/>
      <c r="AC102" s="108"/>
      <c r="AD102" s="119"/>
      <c r="AE102" s="109"/>
      <c r="AF102" s="109"/>
      <c r="AG102" s="117"/>
    </row>
    <row r="103" spans="2:33" ht="15.75" thickBot="1" x14ac:dyDescent="0.3">
      <c r="B103" s="111" t="s">
        <v>199</v>
      </c>
      <c r="C103" s="112"/>
      <c r="D103" s="112"/>
      <c r="E103" s="113"/>
      <c r="F103" s="111" t="s">
        <v>199</v>
      </c>
      <c r="G103" s="112"/>
      <c r="H103" s="112"/>
      <c r="I103" s="112"/>
      <c r="J103" s="113"/>
      <c r="K103" s="31"/>
      <c r="L103" s="31"/>
      <c r="M103" s="31"/>
      <c r="N103" s="111" t="s">
        <v>199</v>
      </c>
      <c r="O103" s="112"/>
      <c r="P103" s="112"/>
      <c r="Q103" s="113"/>
      <c r="R103" s="111" t="s">
        <v>199</v>
      </c>
      <c r="S103" s="112"/>
      <c r="T103" s="112"/>
      <c r="U103" s="112"/>
      <c r="V103" s="113"/>
      <c r="W103" s="31"/>
      <c r="X103" s="31"/>
      <c r="Y103" s="111" t="s">
        <v>199</v>
      </c>
      <c r="Z103" s="112"/>
      <c r="AA103" s="112"/>
      <c r="AB103" s="113"/>
      <c r="AC103" s="111" t="s">
        <v>199</v>
      </c>
      <c r="AD103" s="112"/>
      <c r="AE103" s="112"/>
      <c r="AF103" s="112"/>
      <c r="AG103" s="113"/>
    </row>
    <row r="104" spans="2:33" x14ac:dyDescent="0.25">
      <c r="B104" s="108"/>
      <c r="C104" s="124"/>
      <c r="D104" s="109"/>
      <c r="E104" s="110"/>
      <c r="F104" s="108"/>
      <c r="G104" s="137"/>
      <c r="H104" s="109"/>
      <c r="I104" s="109"/>
      <c r="J104" s="110"/>
      <c r="K104" s="31"/>
      <c r="L104" s="31"/>
      <c r="M104" s="31"/>
      <c r="N104" s="108"/>
      <c r="O104" s="124"/>
      <c r="P104" s="109"/>
      <c r="Q104" s="110"/>
      <c r="R104" s="108"/>
      <c r="S104" s="137"/>
      <c r="T104" s="109"/>
      <c r="U104" s="109"/>
      <c r="V104" s="110"/>
      <c r="W104" s="31"/>
      <c r="X104" s="31"/>
      <c r="Y104" s="108"/>
      <c r="Z104" s="124"/>
      <c r="AA104" s="109"/>
      <c r="AB104" s="110"/>
      <c r="AC104" s="108"/>
      <c r="AD104" s="137"/>
      <c r="AE104" s="109"/>
      <c r="AF104" s="109"/>
      <c r="AG104" s="110"/>
    </row>
    <row r="105" spans="2:33" x14ac:dyDescent="0.25">
      <c r="B105" s="114"/>
      <c r="C105" s="128"/>
      <c r="D105" s="116"/>
      <c r="E105" s="117"/>
      <c r="F105" s="140"/>
      <c r="G105" s="138"/>
      <c r="H105" s="139"/>
      <c r="I105" s="138"/>
      <c r="J105" s="142"/>
      <c r="K105" s="31"/>
      <c r="L105" s="31"/>
      <c r="M105" s="31"/>
      <c r="N105" s="114"/>
      <c r="O105" s="128"/>
      <c r="P105" s="116"/>
      <c r="Q105" s="117"/>
      <c r="R105" s="140"/>
      <c r="S105" s="138"/>
      <c r="T105" s="139"/>
      <c r="U105" s="138"/>
      <c r="V105" s="142"/>
      <c r="W105" s="31"/>
      <c r="X105" s="31"/>
      <c r="Y105" s="114"/>
      <c r="Z105" s="128"/>
      <c r="AA105" s="116"/>
      <c r="AB105" s="117"/>
      <c r="AC105" s="140"/>
      <c r="AD105" s="138"/>
      <c r="AE105" s="139"/>
      <c r="AF105" s="138"/>
      <c r="AG105" s="142"/>
    </row>
    <row r="106" spans="2:33" ht="15.75" thickBot="1" x14ac:dyDescent="0.3">
      <c r="B106" s="114"/>
      <c r="C106" s="116"/>
      <c r="D106" s="116"/>
      <c r="E106" s="117"/>
      <c r="F106" s="114"/>
      <c r="G106" s="116"/>
      <c r="H106" s="129"/>
      <c r="I106" s="116"/>
      <c r="J106" s="117"/>
      <c r="K106" s="31"/>
      <c r="L106" s="31"/>
      <c r="M106" s="31"/>
      <c r="N106" s="114"/>
      <c r="O106" s="116"/>
      <c r="P106" s="116"/>
      <c r="Q106" s="117"/>
      <c r="R106" s="114"/>
      <c r="S106" s="116"/>
      <c r="T106" s="129"/>
      <c r="U106" s="116"/>
      <c r="V106" s="117"/>
      <c r="W106" s="31"/>
      <c r="X106" s="31"/>
      <c r="Y106" s="114"/>
      <c r="Z106" s="116"/>
      <c r="AA106" s="116"/>
      <c r="AB106" s="117"/>
      <c r="AC106" s="114"/>
      <c r="AD106" s="116"/>
      <c r="AE106" s="129"/>
      <c r="AF106" s="116"/>
      <c r="AG106" s="117"/>
    </row>
    <row r="107" spans="2:33" ht="15.75" thickBot="1" x14ac:dyDescent="0.3">
      <c r="B107" s="111" t="s">
        <v>302</v>
      </c>
      <c r="C107" s="112"/>
      <c r="D107" s="112"/>
      <c r="E107" s="113"/>
      <c r="F107" s="131" t="s">
        <v>302</v>
      </c>
      <c r="G107" s="130"/>
      <c r="H107" s="130"/>
      <c r="I107" s="130"/>
      <c r="J107" s="132"/>
      <c r="K107" s="31"/>
      <c r="L107" s="31"/>
      <c r="M107" s="31"/>
      <c r="N107" s="111" t="s">
        <v>302</v>
      </c>
      <c r="O107" s="112"/>
      <c r="P107" s="112"/>
      <c r="Q107" s="113"/>
      <c r="R107" s="131" t="s">
        <v>302</v>
      </c>
      <c r="S107" s="130"/>
      <c r="T107" s="130"/>
      <c r="U107" s="130"/>
      <c r="V107" s="132"/>
      <c r="W107" s="31"/>
      <c r="X107" s="31"/>
      <c r="Y107" s="111" t="s">
        <v>302</v>
      </c>
      <c r="Z107" s="112"/>
      <c r="AA107" s="112"/>
      <c r="AB107" s="113"/>
      <c r="AC107" s="131" t="s">
        <v>302</v>
      </c>
      <c r="AD107" s="130"/>
      <c r="AE107" s="130"/>
      <c r="AF107" s="130"/>
      <c r="AG107" s="132"/>
    </row>
    <row r="108" spans="2:33" x14ac:dyDescent="0.25">
      <c r="B108" s="133"/>
      <c r="C108" s="134"/>
      <c r="D108" s="135"/>
      <c r="E108" s="136"/>
      <c r="F108" s="133"/>
      <c r="G108" s="135"/>
      <c r="H108" s="135"/>
      <c r="I108" s="135"/>
      <c r="J108" s="136"/>
      <c r="K108" s="31"/>
      <c r="L108" s="31"/>
      <c r="M108" s="31"/>
      <c r="N108" s="133"/>
      <c r="O108" s="134"/>
      <c r="P108" s="135"/>
      <c r="Q108" s="136"/>
      <c r="R108" s="133"/>
      <c r="S108" s="135"/>
      <c r="T108" s="135"/>
      <c r="U108" s="135"/>
      <c r="V108" s="136"/>
      <c r="W108" s="31"/>
      <c r="X108" s="31"/>
      <c r="Y108" s="133"/>
      <c r="Z108" s="134"/>
      <c r="AA108" s="135"/>
      <c r="AB108" s="136"/>
      <c r="AC108" s="133"/>
      <c r="AD108" s="135"/>
      <c r="AE108" s="135"/>
      <c r="AF108" s="135"/>
      <c r="AG108" s="136"/>
    </row>
    <row r="109" spans="2:33" x14ac:dyDescent="0.25">
      <c r="B109" s="114"/>
      <c r="C109" s="116"/>
      <c r="D109" s="116"/>
      <c r="E109" s="117"/>
      <c r="F109" s="114"/>
      <c r="G109" s="118"/>
      <c r="H109" s="116"/>
      <c r="I109" s="116"/>
      <c r="J109" s="117"/>
      <c r="K109" s="31"/>
      <c r="L109" s="31"/>
      <c r="M109" s="31"/>
      <c r="N109" s="114"/>
      <c r="O109" s="116"/>
      <c r="P109" s="116"/>
      <c r="Q109" s="117"/>
      <c r="R109" s="114"/>
      <c r="S109" s="118"/>
      <c r="T109" s="116"/>
      <c r="U109" s="116"/>
      <c r="V109" s="117"/>
      <c r="W109" s="31"/>
      <c r="X109" s="31"/>
      <c r="Y109" s="114"/>
      <c r="Z109" s="116"/>
      <c r="AA109" s="116"/>
      <c r="AB109" s="117"/>
      <c r="AC109" s="114"/>
      <c r="AD109" s="118"/>
      <c r="AE109" s="116"/>
      <c r="AF109" s="116"/>
      <c r="AG109" s="117"/>
    </row>
    <row r="110" spans="2:33" x14ac:dyDescent="0.25">
      <c r="B110" s="114"/>
      <c r="C110" s="116"/>
      <c r="D110" s="116"/>
      <c r="E110" s="117"/>
      <c r="F110" s="114"/>
      <c r="G110" s="118"/>
      <c r="H110" s="116"/>
      <c r="I110" s="116"/>
      <c r="J110" s="117"/>
      <c r="K110" s="31"/>
      <c r="L110" s="31"/>
      <c r="M110" s="31"/>
      <c r="N110" s="114"/>
      <c r="O110" s="116"/>
      <c r="P110" s="116"/>
      <c r="Q110" s="117"/>
      <c r="R110" s="114"/>
      <c r="S110" s="118"/>
      <c r="T110" s="116"/>
      <c r="U110" s="116"/>
      <c r="V110" s="117"/>
      <c r="W110" s="31"/>
      <c r="X110" s="31"/>
      <c r="Y110" s="114"/>
      <c r="Z110" s="116"/>
      <c r="AA110" s="116"/>
      <c r="AB110" s="117"/>
      <c r="AC110" s="114"/>
      <c r="AD110" s="118"/>
      <c r="AE110" s="116"/>
      <c r="AF110" s="116"/>
      <c r="AG110" s="117"/>
    </row>
    <row r="111" spans="2:33" ht="15.75" thickBot="1" x14ac:dyDescent="0.3">
      <c r="B111" s="120"/>
      <c r="C111" s="122"/>
      <c r="D111" s="122"/>
      <c r="E111" s="123"/>
      <c r="F111" s="120"/>
      <c r="G111" s="121"/>
      <c r="H111" s="122"/>
      <c r="I111" s="122"/>
      <c r="J111" s="123"/>
      <c r="K111" s="31"/>
      <c r="L111" s="31"/>
      <c r="M111" s="31"/>
      <c r="N111" s="120"/>
      <c r="O111" s="122"/>
      <c r="P111" s="122"/>
      <c r="Q111" s="123"/>
      <c r="R111" s="120"/>
      <c r="S111" s="121"/>
      <c r="T111" s="122"/>
      <c r="U111" s="122"/>
      <c r="V111" s="123"/>
      <c r="W111" s="31"/>
      <c r="X111" s="31"/>
      <c r="Y111" s="120"/>
      <c r="Z111" s="122"/>
      <c r="AA111" s="122"/>
      <c r="AB111" s="123"/>
      <c r="AC111" s="120"/>
      <c r="AD111" s="121"/>
      <c r="AE111" s="122"/>
      <c r="AF111" s="122"/>
      <c r="AG111" s="123"/>
    </row>
    <row r="112" spans="2:33" ht="15.75" thickBot="1" x14ac:dyDescent="0.3">
      <c r="R112" s="31"/>
      <c r="AC112" s="31"/>
    </row>
    <row r="113" spans="2:33" ht="15.75" thickBot="1" x14ac:dyDescent="0.3">
      <c r="B113" s="102" t="s">
        <v>301</v>
      </c>
      <c r="C113" s="103"/>
      <c r="D113" s="103"/>
      <c r="E113" s="104"/>
      <c r="F113" s="141" t="s">
        <v>447</v>
      </c>
      <c r="G113" s="105"/>
      <c r="H113" s="106"/>
      <c r="I113" s="106"/>
      <c r="J113" s="107"/>
      <c r="K113" s="31"/>
      <c r="L113" s="31"/>
      <c r="M113" s="31"/>
      <c r="N113" s="102" t="s">
        <v>301</v>
      </c>
      <c r="O113" s="103"/>
      <c r="P113" s="103"/>
      <c r="Q113" s="104"/>
      <c r="R113" s="141" t="s">
        <v>447</v>
      </c>
      <c r="S113" s="105"/>
      <c r="T113" s="106"/>
      <c r="U113" s="106"/>
      <c r="V113" s="107"/>
      <c r="W113" s="31"/>
      <c r="X113" s="31"/>
      <c r="Y113" s="102" t="s">
        <v>301</v>
      </c>
      <c r="Z113" s="103"/>
      <c r="AA113" s="103"/>
      <c r="AB113" s="104"/>
      <c r="AC113" s="141" t="s">
        <v>447</v>
      </c>
      <c r="AD113" s="105"/>
      <c r="AE113" s="106"/>
      <c r="AF113" s="106"/>
      <c r="AG113" s="107"/>
    </row>
    <row r="114" spans="2:33" ht="15.75" thickBot="1" x14ac:dyDescent="0.3">
      <c r="B114" s="108"/>
      <c r="C114" s="109"/>
      <c r="D114" s="109"/>
      <c r="E114" s="110"/>
      <c r="F114" s="125"/>
      <c r="G114" s="126"/>
      <c r="H114" s="126"/>
      <c r="I114" s="126"/>
      <c r="J114" s="127"/>
      <c r="K114" s="31"/>
      <c r="L114" s="31"/>
      <c r="M114" s="31"/>
      <c r="N114" s="108"/>
      <c r="O114" s="109"/>
      <c r="P114" s="109"/>
      <c r="Q114" s="110"/>
      <c r="R114" s="125"/>
      <c r="S114" s="126"/>
      <c r="T114" s="126"/>
      <c r="U114" s="126"/>
      <c r="V114" s="127"/>
      <c r="W114" s="31"/>
      <c r="X114" s="31"/>
      <c r="Y114" s="108"/>
      <c r="Z114" s="109"/>
      <c r="AA114" s="109"/>
      <c r="AB114" s="110"/>
      <c r="AC114" s="125"/>
      <c r="AD114" s="126"/>
      <c r="AE114" s="126"/>
      <c r="AF114" s="126"/>
      <c r="AG114" s="127"/>
    </row>
    <row r="115" spans="2:33" ht="15.75" thickBot="1" x14ac:dyDescent="0.3">
      <c r="B115" s="111" t="s">
        <v>197</v>
      </c>
      <c r="C115" s="112"/>
      <c r="D115" s="112"/>
      <c r="E115" s="113"/>
      <c r="F115" s="111" t="s">
        <v>197</v>
      </c>
      <c r="G115" s="112"/>
      <c r="H115" s="112"/>
      <c r="I115" s="112"/>
      <c r="J115" s="113"/>
      <c r="K115" s="31"/>
      <c r="L115" s="31"/>
      <c r="M115" s="31"/>
      <c r="N115" s="111" t="s">
        <v>197</v>
      </c>
      <c r="O115" s="112"/>
      <c r="P115" s="112"/>
      <c r="Q115" s="113"/>
      <c r="R115" s="111" t="s">
        <v>197</v>
      </c>
      <c r="S115" s="112"/>
      <c r="T115" s="112"/>
      <c r="U115" s="112"/>
      <c r="V115" s="113"/>
      <c r="W115" s="31"/>
      <c r="X115" s="31"/>
      <c r="Y115" s="111" t="s">
        <v>197</v>
      </c>
      <c r="Z115" s="112"/>
      <c r="AA115" s="112"/>
      <c r="AB115" s="113"/>
      <c r="AC115" s="111" t="s">
        <v>197</v>
      </c>
      <c r="AD115" s="112"/>
      <c r="AE115" s="112"/>
      <c r="AF115" s="112"/>
      <c r="AG115" s="113"/>
    </row>
    <row r="116" spans="2:33" x14ac:dyDescent="0.25">
      <c r="B116" s="114"/>
      <c r="C116" s="115"/>
      <c r="D116" s="116"/>
      <c r="E116" s="117"/>
      <c r="F116" s="114"/>
      <c r="G116" s="118"/>
      <c r="H116" s="116"/>
      <c r="I116" s="116"/>
      <c r="J116" s="117"/>
      <c r="K116" s="31"/>
      <c r="L116" s="31"/>
      <c r="M116" s="31"/>
      <c r="N116" s="114"/>
      <c r="O116" s="115"/>
      <c r="P116" s="116"/>
      <c r="Q116" s="117"/>
      <c r="R116" s="114"/>
      <c r="S116" s="118"/>
      <c r="T116" s="116"/>
      <c r="U116" s="116"/>
      <c r="V116" s="117"/>
      <c r="W116" s="31"/>
      <c r="X116" s="31"/>
      <c r="Y116" s="114"/>
      <c r="Z116" s="115"/>
      <c r="AA116" s="116"/>
      <c r="AB116" s="117"/>
      <c r="AC116" s="114"/>
      <c r="AD116" s="118"/>
      <c r="AE116" s="116"/>
      <c r="AF116" s="116"/>
      <c r="AG116" s="117"/>
    </row>
    <row r="117" spans="2:33" ht="15.75" thickBot="1" x14ac:dyDescent="0.3">
      <c r="B117" s="114"/>
      <c r="C117" s="116"/>
      <c r="D117" s="116"/>
      <c r="E117" s="117"/>
      <c r="F117" s="108"/>
      <c r="G117" s="119"/>
      <c r="H117" s="109"/>
      <c r="I117" s="109"/>
      <c r="J117" s="117"/>
      <c r="K117" s="31"/>
      <c r="L117" s="31"/>
      <c r="M117" s="31"/>
      <c r="N117" s="114"/>
      <c r="O117" s="116"/>
      <c r="P117" s="116"/>
      <c r="Q117" s="117"/>
      <c r="R117" s="108"/>
      <c r="S117" s="119"/>
      <c r="T117" s="109"/>
      <c r="U117" s="109"/>
      <c r="V117" s="117"/>
      <c r="W117" s="31"/>
      <c r="X117" s="31"/>
      <c r="Y117" s="114"/>
      <c r="Z117" s="116"/>
      <c r="AA117" s="116"/>
      <c r="AB117" s="117"/>
      <c r="AC117" s="108"/>
      <c r="AD117" s="119"/>
      <c r="AE117" s="109"/>
      <c r="AF117" s="109"/>
      <c r="AG117" s="117"/>
    </row>
    <row r="118" spans="2:33" ht="15.75" thickBot="1" x14ac:dyDescent="0.3">
      <c r="B118" s="111" t="s">
        <v>199</v>
      </c>
      <c r="C118" s="112"/>
      <c r="D118" s="112"/>
      <c r="E118" s="113"/>
      <c r="F118" s="111" t="s">
        <v>199</v>
      </c>
      <c r="G118" s="112"/>
      <c r="H118" s="112"/>
      <c r="I118" s="112"/>
      <c r="J118" s="113"/>
      <c r="K118" s="31"/>
      <c r="L118" s="31"/>
      <c r="M118" s="31"/>
      <c r="N118" s="111" t="s">
        <v>199</v>
      </c>
      <c r="O118" s="112"/>
      <c r="P118" s="112"/>
      <c r="Q118" s="113"/>
      <c r="R118" s="111" t="s">
        <v>199</v>
      </c>
      <c r="S118" s="112"/>
      <c r="T118" s="112"/>
      <c r="U118" s="112"/>
      <c r="V118" s="113"/>
      <c r="W118" s="31"/>
      <c r="X118" s="31"/>
      <c r="Y118" s="111" t="s">
        <v>199</v>
      </c>
      <c r="Z118" s="112"/>
      <c r="AA118" s="112"/>
      <c r="AB118" s="113"/>
      <c r="AC118" s="111" t="s">
        <v>199</v>
      </c>
      <c r="AD118" s="112"/>
      <c r="AE118" s="112"/>
      <c r="AF118" s="112"/>
      <c r="AG118" s="113"/>
    </row>
    <row r="119" spans="2:33" x14ac:dyDescent="0.25">
      <c r="B119" s="108"/>
      <c r="C119" s="124"/>
      <c r="D119" s="109"/>
      <c r="E119" s="110"/>
      <c r="F119" s="108"/>
      <c r="G119" s="137"/>
      <c r="H119" s="109"/>
      <c r="I119" s="109"/>
      <c r="J119" s="110"/>
      <c r="K119" s="31"/>
      <c r="L119" s="31"/>
      <c r="M119" s="31"/>
      <c r="N119" s="108"/>
      <c r="O119" s="124"/>
      <c r="P119" s="109"/>
      <c r="Q119" s="110"/>
      <c r="R119" s="108"/>
      <c r="S119" s="137"/>
      <c r="T119" s="109"/>
      <c r="U119" s="109"/>
      <c r="V119" s="110"/>
      <c r="W119" s="31"/>
      <c r="X119" s="31"/>
      <c r="Y119" s="108"/>
      <c r="Z119" s="124"/>
      <c r="AA119" s="109"/>
      <c r="AB119" s="110"/>
      <c r="AC119" s="108"/>
      <c r="AD119" s="137"/>
      <c r="AE119" s="109"/>
      <c r="AF119" s="109"/>
      <c r="AG119" s="110"/>
    </row>
    <row r="120" spans="2:33" x14ac:dyDescent="0.25">
      <c r="B120" s="114"/>
      <c r="C120" s="128"/>
      <c r="D120" s="116"/>
      <c r="E120" s="117"/>
      <c r="F120" s="140"/>
      <c r="G120" s="138"/>
      <c r="H120" s="139"/>
      <c r="I120" s="138"/>
      <c r="J120" s="142"/>
      <c r="K120" s="31"/>
      <c r="L120" s="31"/>
      <c r="M120" s="31"/>
      <c r="N120" s="114"/>
      <c r="O120" s="128"/>
      <c r="P120" s="116"/>
      <c r="Q120" s="117"/>
      <c r="R120" s="140"/>
      <c r="S120" s="138"/>
      <c r="T120" s="139"/>
      <c r="U120" s="138"/>
      <c r="V120" s="142"/>
      <c r="W120" s="31"/>
      <c r="X120" s="31"/>
      <c r="Y120" s="114"/>
      <c r="Z120" s="128"/>
      <c r="AA120" s="116"/>
      <c r="AB120" s="117"/>
      <c r="AC120" s="140"/>
      <c r="AD120" s="138"/>
      <c r="AE120" s="139"/>
      <c r="AF120" s="138"/>
      <c r="AG120" s="142"/>
    </row>
    <row r="121" spans="2:33" ht="15.75" thickBot="1" x14ac:dyDescent="0.3">
      <c r="B121" s="114"/>
      <c r="C121" s="116"/>
      <c r="D121" s="116"/>
      <c r="E121" s="117"/>
      <c r="F121" s="114"/>
      <c r="G121" s="116"/>
      <c r="H121" s="129"/>
      <c r="I121" s="116"/>
      <c r="J121" s="117"/>
      <c r="K121" s="31"/>
      <c r="L121" s="31"/>
      <c r="M121" s="31"/>
      <c r="N121" s="114"/>
      <c r="O121" s="116"/>
      <c r="P121" s="116"/>
      <c r="Q121" s="117"/>
      <c r="R121" s="114"/>
      <c r="S121" s="116"/>
      <c r="T121" s="129"/>
      <c r="U121" s="116"/>
      <c r="V121" s="117"/>
      <c r="W121" s="31"/>
      <c r="X121" s="31"/>
      <c r="Y121" s="114"/>
      <c r="Z121" s="116"/>
      <c r="AA121" s="116"/>
      <c r="AB121" s="117"/>
      <c r="AC121" s="114"/>
      <c r="AD121" s="116"/>
      <c r="AE121" s="129"/>
      <c r="AF121" s="116"/>
      <c r="AG121" s="117"/>
    </row>
    <row r="122" spans="2:33" ht="15.75" thickBot="1" x14ac:dyDescent="0.3">
      <c r="B122" s="111" t="s">
        <v>302</v>
      </c>
      <c r="C122" s="112"/>
      <c r="D122" s="112"/>
      <c r="E122" s="113"/>
      <c r="F122" s="131" t="s">
        <v>302</v>
      </c>
      <c r="G122" s="130"/>
      <c r="H122" s="130"/>
      <c r="I122" s="130"/>
      <c r="J122" s="132"/>
      <c r="K122" s="31"/>
      <c r="L122" s="31"/>
      <c r="M122" s="31"/>
      <c r="N122" s="111" t="s">
        <v>302</v>
      </c>
      <c r="O122" s="112"/>
      <c r="P122" s="112"/>
      <c r="Q122" s="113"/>
      <c r="R122" s="131" t="s">
        <v>302</v>
      </c>
      <c r="S122" s="130"/>
      <c r="T122" s="130"/>
      <c r="U122" s="130"/>
      <c r="V122" s="132"/>
      <c r="W122" s="31"/>
      <c r="X122" s="31"/>
      <c r="Y122" s="111" t="s">
        <v>302</v>
      </c>
      <c r="Z122" s="112"/>
      <c r="AA122" s="112"/>
      <c r="AB122" s="113"/>
      <c r="AC122" s="131" t="s">
        <v>302</v>
      </c>
      <c r="AD122" s="130"/>
      <c r="AE122" s="130"/>
      <c r="AF122" s="130"/>
      <c r="AG122" s="132"/>
    </row>
    <row r="123" spans="2:33" x14ac:dyDescent="0.25">
      <c r="B123" s="133"/>
      <c r="C123" s="134"/>
      <c r="D123" s="135"/>
      <c r="E123" s="136"/>
      <c r="F123" s="133"/>
      <c r="G123" s="135"/>
      <c r="H123" s="135"/>
      <c r="I123" s="135"/>
      <c r="J123" s="136"/>
      <c r="K123" s="31"/>
      <c r="L123" s="31"/>
      <c r="M123" s="31"/>
      <c r="N123" s="133"/>
      <c r="O123" s="134"/>
      <c r="P123" s="135"/>
      <c r="Q123" s="136"/>
      <c r="R123" s="133"/>
      <c r="S123" s="135"/>
      <c r="T123" s="135"/>
      <c r="U123" s="135"/>
      <c r="V123" s="136"/>
      <c r="W123" s="31"/>
      <c r="X123" s="31"/>
      <c r="Y123" s="133"/>
      <c r="Z123" s="134"/>
      <c r="AA123" s="135"/>
      <c r="AB123" s="136"/>
      <c r="AC123" s="133"/>
      <c r="AD123" s="135"/>
      <c r="AE123" s="135"/>
      <c r="AF123" s="135"/>
      <c r="AG123" s="136"/>
    </row>
    <row r="124" spans="2:33" x14ac:dyDescent="0.25">
      <c r="B124" s="114"/>
      <c r="C124" s="116"/>
      <c r="D124" s="116"/>
      <c r="E124" s="117"/>
      <c r="F124" s="114"/>
      <c r="G124" s="118"/>
      <c r="H124" s="116"/>
      <c r="I124" s="116"/>
      <c r="J124" s="117"/>
      <c r="K124" s="31"/>
      <c r="L124" s="31"/>
      <c r="M124" s="31"/>
      <c r="N124" s="114"/>
      <c r="O124" s="116"/>
      <c r="P124" s="116"/>
      <c r="Q124" s="117"/>
      <c r="R124" s="114"/>
      <c r="S124" s="118"/>
      <c r="T124" s="116"/>
      <c r="U124" s="116"/>
      <c r="V124" s="117"/>
      <c r="W124" s="31"/>
      <c r="X124" s="31"/>
      <c r="Y124" s="114"/>
      <c r="Z124" s="116"/>
      <c r="AA124" s="116"/>
      <c r="AB124" s="117"/>
      <c r="AC124" s="114"/>
      <c r="AD124" s="118"/>
      <c r="AE124" s="116"/>
      <c r="AF124" s="116"/>
      <c r="AG124" s="117"/>
    </row>
    <row r="125" spans="2:33" x14ac:dyDescent="0.25">
      <c r="B125" s="114"/>
      <c r="C125" s="116"/>
      <c r="D125" s="116"/>
      <c r="E125" s="117"/>
      <c r="F125" s="114"/>
      <c r="G125" s="118"/>
      <c r="H125" s="116"/>
      <c r="I125" s="116"/>
      <c r="J125" s="117"/>
      <c r="K125" s="31"/>
      <c r="L125" s="31"/>
      <c r="M125" s="31"/>
      <c r="N125" s="114"/>
      <c r="O125" s="116"/>
      <c r="P125" s="116"/>
      <c r="Q125" s="117"/>
      <c r="R125" s="114"/>
      <c r="S125" s="118"/>
      <c r="T125" s="116"/>
      <c r="U125" s="116"/>
      <c r="V125" s="117"/>
      <c r="W125" s="31"/>
      <c r="X125" s="31"/>
      <c r="Y125" s="114"/>
      <c r="Z125" s="116"/>
      <c r="AA125" s="116"/>
      <c r="AB125" s="117"/>
      <c r="AC125" s="114"/>
      <c r="AD125" s="118"/>
      <c r="AE125" s="116"/>
      <c r="AF125" s="116"/>
      <c r="AG125" s="117"/>
    </row>
    <row r="126" spans="2:33" ht="15.75" thickBot="1" x14ac:dyDescent="0.3">
      <c r="B126" s="120"/>
      <c r="C126" s="122"/>
      <c r="D126" s="122"/>
      <c r="E126" s="123"/>
      <c r="F126" s="120"/>
      <c r="G126" s="121"/>
      <c r="H126" s="122"/>
      <c r="I126" s="122"/>
      <c r="J126" s="123"/>
      <c r="K126" s="31"/>
      <c r="L126" s="31"/>
      <c r="M126" s="31"/>
      <c r="N126" s="120"/>
      <c r="O126" s="122"/>
      <c r="P126" s="122"/>
      <c r="Q126" s="123"/>
      <c r="R126" s="120"/>
      <c r="S126" s="121"/>
      <c r="T126" s="122"/>
      <c r="U126" s="122"/>
      <c r="V126" s="123"/>
      <c r="W126" s="31"/>
      <c r="X126" s="31"/>
      <c r="Y126" s="120"/>
      <c r="Z126" s="122"/>
      <c r="AA126" s="122"/>
      <c r="AB126" s="123"/>
      <c r="AC126" s="120"/>
      <c r="AD126" s="121"/>
      <c r="AE126" s="122"/>
      <c r="AF126" s="122"/>
      <c r="AG126" s="123"/>
    </row>
  </sheetData>
  <mergeCells count="15">
    <mergeCell ref="B1:D1"/>
    <mergeCell ref="H1:J1"/>
    <mergeCell ref="B15:J16"/>
    <mergeCell ref="N15:V16"/>
    <mergeCell ref="Y15:AG16"/>
    <mergeCell ref="J2:P2"/>
    <mergeCell ref="J3:P3"/>
    <mergeCell ref="J4:P4"/>
    <mergeCell ref="J5:P5"/>
    <mergeCell ref="J6:P6"/>
    <mergeCell ref="J7:P7"/>
    <mergeCell ref="J8:P8"/>
    <mergeCell ref="J9:P9"/>
    <mergeCell ref="J10:P10"/>
    <mergeCell ref="J11:P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-0.249977111117893"/>
  </sheetPr>
  <dimension ref="A1:Y18"/>
  <sheetViews>
    <sheetView zoomScale="85" zoomScaleNormal="85" workbookViewId="0">
      <selection activeCell="M8" sqref="M8"/>
    </sheetView>
  </sheetViews>
  <sheetFormatPr defaultRowHeight="15" x14ac:dyDescent="0.25"/>
  <cols>
    <col min="1" max="1" width="17.85546875" bestFit="1" customWidth="1"/>
    <col min="2" max="2" width="25" customWidth="1"/>
    <col min="3" max="3" width="12.42578125" customWidth="1"/>
    <col min="4" max="5" width="13.140625" customWidth="1"/>
    <col min="11" max="11" width="10.42578125" customWidth="1"/>
    <col min="13" max="13" width="37" bestFit="1" customWidth="1"/>
    <col min="16" max="16" width="11.42578125" customWidth="1"/>
    <col min="17" max="17" width="11" customWidth="1"/>
    <col min="18" max="20" width="10.28515625" customWidth="1"/>
    <col min="21" max="21" width="10.140625" bestFit="1" customWidth="1"/>
  </cols>
  <sheetData>
    <row r="1" spans="1:24" s="31" customFormat="1" x14ac:dyDescent="0.25">
      <c r="A1" s="211"/>
      <c r="B1" s="413" t="s">
        <v>1569</v>
      </c>
      <c r="C1" s="413"/>
      <c r="F1" s="413"/>
      <c r="I1" s="419"/>
      <c r="M1" s="413"/>
      <c r="V1" s="53"/>
    </row>
    <row r="2" spans="1:24" s="31" customFormat="1" x14ac:dyDescent="0.25">
      <c r="A2" s="764" t="s">
        <v>1590</v>
      </c>
      <c r="B2" s="770" t="s">
        <v>1570</v>
      </c>
      <c r="C2" s="771" t="s">
        <v>1571</v>
      </c>
      <c r="D2" s="772"/>
      <c r="E2" s="772"/>
      <c r="F2" s="762" t="s">
        <v>1572</v>
      </c>
      <c r="G2" s="763"/>
      <c r="H2" s="763"/>
      <c r="I2" s="763"/>
      <c r="J2" s="763"/>
      <c r="K2" s="763"/>
      <c r="L2" s="764"/>
      <c r="M2" s="773" t="s">
        <v>1573</v>
      </c>
      <c r="N2" s="769"/>
      <c r="O2" s="774"/>
      <c r="P2" s="765" t="str">
        <f>'[1]100-Economics'!AE47</f>
        <v>Total Acres by Field Operations Equipment per year</v>
      </c>
      <c r="Q2" s="765" t="s">
        <v>1574</v>
      </c>
      <c r="R2" s="765" t="s">
        <v>1575</v>
      </c>
      <c r="S2" s="765" t="s">
        <v>1576</v>
      </c>
      <c r="T2" s="765" t="s">
        <v>1577</v>
      </c>
      <c r="U2" s="768" t="s">
        <v>1578</v>
      </c>
      <c r="V2" s="769" t="s">
        <v>194</v>
      </c>
      <c r="W2" s="761" t="s">
        <v>196</v>
      </c>
    </row>
    <row r="3" spans="1:24" s="31" customFormat="1" x14ac:dyDescent="0.25">
      <c r="A3" s="764"/>
      <c r="B3" s="770"/>
      <c r="C3" s="771"/>
      <c r="D3" s="772"/>
      <c r="E3" s="772"/>
      <c r="F3" s="762" t="s">
        <v>1236</v>
      </c>
      <c r="G3" s="763"/>
      <c r="H3" s="763"/>
      <c r="I3" s="763" t="s">
        <v>1579</v>
      </c>
      <c r="J3" s="763"/>
      <c r="K3" s="763" t="s">
        <v>1580</v>
      </c>
      <c r="L3" s="764"/>
      <c r="M3" s="773"/>
      <c r="N3" s="769"/>
      <c r="O3" s="774"/>
      <c r="P3" s="766"/>
      <c r="Q3" s="766"/>
      <c r="R3" s="766"/>
      <c r="S3" s="766"/>
      <c r="T3" s="766"/>
      <c r="U3" s="768"/>
      <c r="V3" s="769"/>
      <c r="W3" s="761"/>
    </row>
    <row r="4" spans="1:24" s="154" customFormat="1" ht="45" x14ac:dyDescent="0.25">
      <c r="A4" s="764"/>
      <c r="B4" s="433" t="s">
        <v>1581</v>
      </c>
      <c r="C4" s="434" t="s">
        <v>92</v>
      </c>
      <c r="D4" s="435" t="s">
        <v>1582</v>
      </c>
      <c r="E4" s="436" t="s">
        <v>1583</v>
      </c>
      <c r="F4" s="434" t="s">
        <v>1584</v>
      </c>
      <c r="G4" s="435" t="s">
        <v>1585</v>
      </c>
      <c r="H4" s="435" t="s">
        <v>1586</v>
      </c>
      <c r="I4" s="437" t="s">
        <v>1585</v>
      </c>
      <c r="J4" s="435" t="s">
        <v>1586</v>
      </c>
      <c r="K4" s="435" t="s">
        <v>1587</v>
      </c>
      <c r="L4" s="436" t="s">
        <v>1588</v>
      </c>
      <c r="M4" s="434" t="s">
        <v>1589</v>
      </c>
      <c r="N4" s="435" t="s">
        <v>117</v>
      </c>
      <c r="O4" s="436" t="s">
        <v>212</v>
      </c>
      <c r="P4" s="767"/>
      <c r="Q4" s="767"/>
      <c r="R4" s="767"/>
      <c r="S4" s="767"/>
      <c r="T4" s="767"/>
      <c r="U4" s="768"/>
      <c r="V4" s="769"/>
      <c r="W4" s="761"/>
    </row>
    <row r="5" spans="1:24" s="31" customFormat="1" ht="60" x14ac:dyDescent="0.25">
      <c r="A5" s="31" t="s">
        <v>1543</v>
      </c>
      <c r="B5" s="413" t="s">
        <v>1544</v>
      </c>
      <c r="C5" s="413" t="s">
        <v>1545</v>
      </c>
      <c r="D5" s="154" t="s">
        <v>1546</v>
      </c>
      <c r="E5" s="154" t="s">
        <v>1547</v>
      </c>
      <c r="F5" s="414" t="s">
        <v>1548</v>
      </c>
      <c r="G5" s="240" t="s">
        <v>1549</v>
      </c>
      <c r="H5" s="31">
        <v>3300</v>
      </c>
      <c r="I5" s="415" t="s">
        <v>1550</v>
      </c>
      <c r="J5" s="31">
        <v>1300</v>
      </c>
      <c r="K5" s="31">
        <v>4.5</v>
      </c>
      <c r="L5" s="31">
        <v>3.78</v>
      </c>
      <c r="M5" s="416" t="s">
        <v>1551</v>
      </c>
      <c r="N5" s="211" t="s">
        <v>1552</v>
      </c>
      <c r="O5" s="417">
        <v>0.45800000000000002</v>
      </c>
      <c r="P5" s="417"/>
      <c r="Q5" s="417"/>
      <c r="R5" s="417"/>
      <c r="S5" s="417"/>
      <c r="T5" s="417"/>
      <c r="U5" s="417"/>
      <c r="V5" s="418"/>
      <c r="W5" s="211" t="s">
        <v>1553</v>
      </c>
    </row>
    <row r="6" spans="1:24" s="31" customFormat="1" x14ac:dyDescent="0.25">
      <c r="B6" s="413"/>
      <c r="C6" s="413"/>
      <c r="F6" s="414"/>
      <c r="G6" s="240"/>
      <c r="I6" s="419"/>
      <c r="M6" s="420" t="s">
        <v>1554</v>
      </c>
      <c r="N6" s="399" t="s">
        <v>1552</v>
      </c>
      <c r="O6" s="421">
        <v>21.7</v>
      </c>
      <c r="P6" s="421"/>
      <c r="Q6" s="421"/>
      <c r="R6" s="421"/>
      <c r="S6" s="421"/>
      <c r="T6" s="421"/>
      <c r="U6" s="421">
        <f>O6</f>
        <v>21.7</v>
      </c>
      <c r="V6" s="194" t="s">
        <v>1552</v>
      </c>
      <c r="W6" s="399" t="s">
        <v>1555</v>
      </c>
    </row>
    <row r="7" spans="1:24" s="31" customFormat="1" x14ac:dyDescent="0.25">
      <c r="B7" s="413"/>
      <c r="C7" s="413"/>
      <c r="F7" s="414"/>
      <c r="G7" s="240"/>
      <c r="I7" s="419"/>
      <c r="M7" s="420" t="s">
        <v>1556</v>
      </c>
      <c r="N7" s="399" t="s">
        <v>1552</v>
      </c>
      <c r="O7" s="421">
        <v>3.78</v>
      </c>
      <c r="P7" s="421"/>
      <c r="Q7" s="421"/>
      <c r="R7" s="421"/>
      <c r="S7" s="421"/>
      <c r="T7" s="421"/>
      <c r="U7" s="421">
        <f>O7</f>
        <v>3.78</v>
      </c>
      <c r="V7" s="194" t="s">
        <v>1552</v>
      </c>
      <c r="W7" s="399" t="s">
        <v>1555</v>
      </c>
    </row>
    <row r="8" spans="1:24" s="31" customFormat="1" x14ac:dyDescent="0.25">
      <c r="B8" s="413"/>
      <c r="C8" s="413"/>
      <c r="F8" s="414"/>
      <c r="G8" s="240"/>
      <c r="I8" s="419"/>
      <c r="M8" s="420" t="s">
        <v>1557</v>
      </c>
      <c r="N8" s="399" t="s">
        <v>1558</v>
      </c>
      <c r="O8" s="421">
        <v>5.8900000000000001E-2</v>
      </c>
      <c r="P8" s="421"/>
      <c r="Q8" s="421"/>
      <c r="R8" s="421"/>
      <c r="S8" s="421"/>
      <c r="T8" s="421"/>
      <c r="U8" s="421">
        <f>O8*(O6/(O6+O5))</f>
        <v>5.7682552576947384E-2</v>
      </c>
      <c r="V8" s="194" t="s">
        <v>1558</v>
      </c>
      <c r="W8" s="399" t="s">
        <v>1559</v>
      </c>
    </row>
    <row r="9" spans="1:24" s="31" customFormat="1" x14ac:dyDescent="0.25">
      <c r="B9" s="413"/>
      <c r="C9" s="413"/>
      <c r="F9" s="414"/>
      <c r="G9" s="240"/>
      <c r="I9" s="419"/>
      <c r="M9" s="420" t="s">
        <v>1560</v>
      </c>
      <c r="N9" s="399" t="s">
        <v>1552</v>
      </c>
      <c r="O9" s="421">
        <v>23.1</v>
      </c>
      <c r="P9" s="421"/>
      <c r="Q9" s="421"/>
      <c r="R9" s="421"/>
      <c r="S9" s="421"/>
      <c r="T9" s="421"/>
      <c r="U9" s="421">
        <f>O9</f>
        <v>23.1</v>
      </c>
      <c r="V9" s="194" t="str">
        <f>N9</f>
        <v>kg/ha</v>
      </c>
      <c r="W9" s="399" t="s">
        <v>1555</v>
      </c>
    </row>
    <row r="10" spans="1:24" s="31" customFormat="1" x14ac:dyDescent="0.25">
      <c r="B10" s="413"/>
      <c r="C10" s="413"/>
      <c r="F10" s="414"/>
      <c r="G10" s="240"/>
      <c r="I10" s="419"/>
      <c r="M10" s="420" t="s">
        <v>1561</v>
      </c>
      <c r="N10" s="399" t="s">
        <v>1552</v>
      </c>
      <c r="O10" s="421">
        <v>24.2</v>
      </c>
      <c r="P10" s="421"/>
      <c r="Q10" s="421"/>
      <c r="R10" s="421"/>
      <c r="S10" s="421"/>
      <c r="T10" s="421"/>
      <c r="U10" s="421">
        <f>O10</f>
        <v>24.2</v>
      </c>
      <c r="V10" s="194" t="str">
        <f>N10</f>
        <v>kg/ha</v>
      </c>
      <c r="W10" s="399" t="s">
        <v>1555</v>
      </c>
    </row>
    <row r="11" spans="1:24" s="31" customFormat="1" x14ac:dyDescent="0.25">
      <c r="B11" s="413"/>
      <c r="C11" s="413"/>
      <c r="F11" s="414"/>
      <c r="G11" s="240"/>
      <c r="I11" s="419"/>
      <c r="M11" s="413" t="s">
        <v>1562</v>
      </c>
      <c r="N11" s="31" t="s">
        <v>1563</v>
      </c>
      <c r="O11" s="240">
        <v>1200</v>
      </c>
      <c r="P11" s="32"/>
      <c r="Q11" s="32"/>
      <c r="R11" s="32"/>
      <c r="S11" s="32"/>
      <c r="T11" s="32"/>
      <c r="U11" s="32">
        <f>'Outdoor Inputs'!J60*gals_to_liters/(m3_to_liters*('Outdoor Inputs'!J6/acre_to_m2)*acre_to_ha)</f>
        <v>5809.7637320145277</v>
      </c>
      <c r="V11" s="79" t="s">
        <v>1563</v>
      </c>
      <c r="W11" s="32"/>
      <c r="X11" s="32"/>
    </row>
    <row r="12" spans="1:24" s="31" customFormat="1" x14ac:dyDescent="0.25">
      <c r="B12" s="413"/>
      <c r="C12" s="413"/>
      <c r="F12" s="414"/>
      <c r="G12" s="240"/>
      <c r="I12" s="419"/>
      <c r="M12" s="420" t="s">
        <v>1564</v>
      </c>
      <c r="N12" s="399" t="s">
        <v>1563</v>
      </c>
      <c r="O12" s="421">
        <v>4</v>
      </c>
      <c r="P12" s="422"/>
      <c r="Q12" s="422"/>
      <c r="R12" s="422"/>
      <c r="S12" s="422"/>
      <c r="T12" s="422"/>
      <c r="U12" s="422">
        <f>O12</f>
        <v>4</v>
      </c>
      <c r="V12" s="423" t="s">
        <v>1563</v>
      </c>
      <c r="W12" s="422"/>
      <c r="X12" s="32"/>
    </row>
    <row r="13" spans="1:24" s="31" customFormat="1" x14ac:dyDescent="0.25">
      <c r="B13" s="413"/>
      <c r="C13" s="413"/>
      <c r="F13" s="414"/>
      <c r="G13" s="240"/>
      <c r="I13" s="419"/>
      <c r="M13" s="420" t="s">
        <v>1565</v>
      </c>
      <c r="N13" s="399" t="s">
        <v>1552</v>
      </c>
      <c r="O13" s="421">
        <v>4.2699999999999996</v>
      </c>
      <c r="P13" s="422"/>
      <c r="Q13" s="422"/>
      <c r="R13" s="422"/>
      <c r="S13" s="422"/>
      <c r="T13" s="422"/>
      <c r="U13" s="422">
        <f>O13</f>
        <v>4.2699999999999996</v>
      </c>
      <c r="V13" s="423" t="s">
        <v>1552</v>
      </c>
      <c r="W13" s="422"/>
      <c r="X13" s="32"/>
    </row>
    <row r="14" spans="1:24" s="31" customFormat="1" x14ac:dyDescent="0.25">
      <c r="B14" s="413"/>
      <c r="C14" s="413"/>
      <c r="F14" s="414"/>
      <c r="G14" s="240"/>
      <c r="I14" s="419"/>
      <c r="M14" s="413" t="s">
        <v>1566</v>
      </c>
      <c r="N14" s="31" t="s">
        <v>1567</v>
      </c>
      <c r="O14" s="240">
        <v>876</v>
      </c>
      <c r="P14" s="32"/>
      <c r="Q14" s="32"/>
      <c r="R14" s="32"/>
      <c r="S14" s="32"/>
      <c r="T14" s="32"/>
      <c r="U14" s="32">
        <f>O14*(U11/O11)</f>
        <v>4241.127524370605</v>
      </c>
      <c r="V14" s="79" t="s">
        <v>1567</v>
      </c>
      <c r="W14" s="32"/>
      <c r="X14" s="32"/>
    </row>
    <row r="15" spans="1:24" s="47" customFormat="1" ht="15.75" thickBot="1" x14ac:dyDescent="0.3">
      <c r="B15" s="424"/>
      <c r="C15" s="424"/>
      <c r="F15" s="425"/>
      <c r="G15" s="426"/>
      <c r="I15" s="427"/>
      <c r="M15" s="428" t="s">
        <v>1568</v>
      </c>
      <c r="N15" s="429" t="s">
        <v>1552</v>
      </c>
      <c r="O15" s="430">
        <v>1.1299999999999999</v>
      </c>
      <c r="P15" s="431"/>
      <c r="Q15" s="431"/>
      <c r="R15" s="431"/>
      <c r="S15" s="431"/>
      <c r="T15" s="431"/>
      <c r="U15" s="431">
        <f>O15</f>
        <v>1.1299999999999999</v>
      </c>
      <c r="V15" s="431" t="str">
        <f>N15</f>
        <v>kg/ha</v>
      </c>
      <c r="W15" s="431"/>
      <c r="X15" s="432"/>
    </row>
    <row r="17" spans="21:25" x14ac:dyDescent="0.25">
      <c r="U17" t="s">
        <v>1040</v>
      </c>
      <c r="V17" s="423" t="s">
        <v>1591</v>
      </c>
      <c r="W17" t="s">
        <v>1043</v>
      </c>
      <c r="X17" t="s">
        <v>1032</v>
      </c>
      <c r="Y17" t="s">
        <v>1489</v>
      </c>
    </row>
    <row r="18" spans="21:25" x14ac:dyDescent="0.25">
      <c r="U18" t="s">
        <v>1032</v>
      </c>
      <c r="V18" t="s">
        <v>1040</v>
      </c>
      <c r="W18" t="s">
        <v>1592</v>
      </c>
      <c r="X18" t="s">
        <v>1489</v>
      </c>
      <c r="Y18" t="s">
        <v>1593</v>
      </c>
    </row>
  </sheetData>
  <mergeCells count="16">
    <mergeCell ref="A2:A4"/>
    <mergeCell ref="B2:B3"/>
    <mergeCell ref="C2:E3"/>
    <mergeCell ref="F2:L2"/>
    <mergeCell ref="M2:O3"/>
    <mergeCell ref="W2:W4"/>
    <mergeCell ref="F3:H3"/>
    <mergeCell ref="I3:J3"/>
    <mergeCell ref="K3:L3"/>
    <mergeCell ref="Q2:Q4"/>
    <mergeCell ref="R2:R4"/>
    <mergeCell ref="S2:S4"/>
    <mergeCell ref="T2:T4"/>
    <mergeCell ref="U2:U4"/>
    <mergeCell ref="V2:V4"/>
    <mergeCell ref="P2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</sheetPr>
  <dimension ref="A1:N45"/>
  <sheetViews>
    <sheetView zoomScale="70" zoomScaleNormal="70" workbookViewId="0">
      <selection activeCell="G6" sqref="G6"/>
    </sheetView>
  </sheetViews>
  <sheetFormatPr defaultRowHeight="15" x14ac:dyDescent="0.25"/>
  <cols>
    <col min="1" max="1" width="45.85546875" customWidth="1"/>
    <col min="2" max="2" width="16.85546875" style="31" customWidth="1"/>
    <col min="3" max="3" width="38.7109375" style="31" customWidth="1"/>
    <col min="4" max="8" width="16.140625" customWidth="1"/>
    <col min="9" max="9" width="18" customWidth="1"/>
    <col min="10" max="11" width="16.140625" customWidth="1"/>
    <col min="12" max="12" width="18" customWidth="1"/>
    <col min="13" max="13" width="18.42578125" customWidth="1"/>
    <col min="14" max="14" width="102.7109375" customWidth="1"/>
    <col min="15" max="15" width="10.85546875" customWidth="1"/>
  </cols>
  <sheetData>
    <row r="1" spans="1:14" ht="45" x14ac:dyDescent="0.25">
      <c r="C1" s="31" t="s">
        <v>2103</v>
      </c>
      <c r="D1" s="181" t="s">
        <v>449</v>
      </c>
      <c r="E1" s="181" t="s">
        <v>450</v>
      </c>
      <c r="F1" s="181" t="s">
        <v>451</v>
      </c>
      <c r="G1" s="181" t="s">
        <v>452</v>
      </c>
      <c r="H1" s="181" t="s">
        <v>453</v>
      </c>
      <c r="I1" s="181" t="s">
        <v>454</v>
      </c>
      <c r="J1" s="181" t="s">
        <v>455</v>
      </c>
      <c r="K1" s="181" t="s">
        <v>456</v>
      </c>
      <c r="L1" s="181" t="s">
        <v>457</v>
      </c>
      <c r="M1" s="181" t="s">
        <v>458</v>
      </c>
      <c r="N1" s="180" t="s">
        <v>118</v>
      </c>
    </row>
    <row r="2" spans="1:14" x14ac:dyDescent="0.25">
      <c r="A2" s="69" t="s">
        <v>199</v>
      </c>
      <c r="B2" s="69" t="s">
        <v>194</v>
      </c>
      <c r="C2" s="69"/>
      <c r="D2" s="69" t="s">
        <v>459</v>
      </c>
      <c r="E2" s="69" t="s">
        <v>460</v>
      </c>
      <c r="F2" s="69" t="s">
        <v>461</v>
      </c>
      <c r="G2" s="69" t="s">
        <v>462</v>
      </c>
      <c r="H2" s="69" t="s">
        <v>463</v>
      </c>
      <c r="I2" s="69" t="s">
        <v>463</v>
      </c>
      <c r="J2" s="69" t="s">
        <v>464</v>
      </c>
      <c r="K2" s="69" t="s">
        <v>465</v>
      </c>
      <c r="L2" s="179" t="s">
        <v>466</v>
      </c>
      <c r="M2" s="69" t="s">
        <v>467</v>
      </c>
    </row>
    <row r="3" spans="1:14" x14ac:dyDescent="0.25">
      <c r="A3" s="69" t="s">
        <v>225</v>
      </c>
      <c r="B3" s="69" t="s">
        <v>529</v>
      </c>
      <c r="C3" s="562" t="s">
        <v>2183</v>
      </c>
      <c r="D3" s="562">
        <v>1.1428185725392559E-3</v>
      </c>
      <c r="E3" s="562">
        <v>2.8096708315874741</v>
      </c>
      <c r="F3" s="562">
        <v>3.7399782832292722E-3</v>
      </c>
      <c r="G3" s="569">
        <f>610.826368038088/1000</f>
        <v>0.6108263680380881</v>
      </c>
      <c r="H3" s="562">
        <v>3.9162687329008105E-8</v>
      </c>
      <c r="I3" s="562">
        <v>1.1134464926483026E-7</v>
      </c>
      <c r="J3" s="562">
        <v>3.7329263009826182E-8</v>
      </c>
      <c r="K3" s="562">
        <v>1.5997197218336954E-2</v>
      </c>
      <c r="L3" s="562">
        <v>0.40172217543202132</v>
      </c>
      <c r="M3" s="562">
        <v>1.355702534311303E-3</v>
      </c>
      <c r="N3" s="563" t="s">
        <v>1030</v>
      </c>
    </row>
    <row r="4" spans="1:14" s="31" customFormat="1" x14ac:dyDescent="0.25">
      <c r="A4" s="69" t="s">
        <v>225</v>
      </c>
      <c r="B4" s="69" t="s">
        <v>529</v>
      </c>
      <c r="C4" s="562" t="s">
        <v>2266</v>
      </c>
      <c r="D4" s="562">
        <v>1.3874549029921513E-3</v>
      </c>
      <c r="E4" s="562">
        <v>1.4267857827313921</v>
      </c>
      <c r="F4" s="562">
        <v>1.6451728354379956E-3</v>
      </c>
      <c r="G4" s="562">
        <v>0.63148757732645211</v>
      </c>
      <c r="H4" s="562">
        <v>1.842290486490009E-8</v>
      </c>
      <c r="I4" s="562">
        <v>5.303799677101812E-8</v>
      </c>
      <c r="J4" s="562">
        <v>7.8136987333053487E-8</v>
      </c>
      <c r="K4" s="562">
        <v>2.034770430770258E-2</v>
      </c>
      <c r="L4" s="562">
        <v>1.1019606204281425</v>
      </c>
      <c r="M4" s="562">
        <v>4.4254372238565086E-4</v>
      </c>
      <c r="N4" s="563"/>
    </row>
    <row r="5" spans="1:14" s="31" customFormat="1" x14ac:dyDescent="0.25">
      <c r="A5" s="69" t="s">
        <v>225</v>
      </c>
      <c r="B5" s="69" t="s">
        <v>529</v>
      </c>
      <c r="C5" s="562" t="s">
        <v>2267</v>
      </c>
      <c r="D5" s="562">
        <v>6.1390550460192926E-3</v>
      </c>
      <c r="E5" s="562">
        <v>1.686696371628603</v>
      </c>
      <c r="F5" s="562">
        <v>2.4894589471224143E-3</v>
      </c>
      <c r="G5" s="562">
        <v>0.87851439438189727</v>
      </c>
      <c r="H5" s="562">
        <v>2.4864318395351807E-8</v>
      </c>
      <c r="I5" s="562">
        <v>6.6975967303085041E-8</v>
      </c>
      <c r="J5" s="562">
        <v>1.6560019122844087E-7</v>
      </c>
      <c r="K5" s="562">
        <v>5.7632125006895595E-2</v>
      </c>
      <c r="L5" s="562">
        <v>1.3792329717332932</v>
      </c>
      <c r="M5" s="562">
        <v>1.1316244806359383E-3</v>
      </c>
      <c r="N5" s="563"/>
    </row>
    <row r="6" spans="1:14" s="31" customFormat="1" x14ac:dyDescent="0.25">
      <c r="A6" s="69" t="s">
        <v>225</v>
      </c>
      <c r="B6" s="69" t="s">
        <v>529</v>
      </c>
      <c r="C6" s="562" t="s">
        <v>2184</v>
      </c>
      <c r="D6" s="562">
        <v>1.3292282892681205E-3</v>
      </c>
      <c r="E6" s="562">
        <v>2.3288324001087073</v>
      </c>
      <c r="F6" s="562">
        <v>2.9821470508560695E-3</v>
      </c>
      <c r="G6" s="562">
        <v>0.62895458792863501</v>
      </c>
      <c r="H6" s="562">
        <v>3.130748249709704E-8</v>
      </c>
      <c r="I6" s="562">
        <v>9.19201805443242E-8</v>
      </c>
      <c r="J6" s="562">
        <v>6.9069887054658635E-8</v>
      </c>
      <c r="K6" s="562">
        <v>1.3440913176562643E-2</v>
      </c>
      <c r="L6" s="562">
        <v>0.81074754009061833</v>
      </c>
      <c r="M6" s="562">
        <v>1.1243492550969366E-3</v>
      </c>
      <c r="N6" s="563"/>
    </row>
    <row r="7" spans="1:14" s="31" customFormat="1" x14ac:dyDescent="0.25">
      <c r="A7" s="69" t="s">
        <v>225</v>
      </c>
      <c r="B7" s="69" t="s">
        <v>529</v>
      </c>
      <c r="C7" s="562" t="s">
        <v>2185</v>
      </c>
      <c r="D7" s="562">
        <v>2.8366245972589483E-3</v>
      </c>
      <c r="E7" s="562">
        <v>5.8445672718891171</v>
      </c>
      <c r="F7" s="562">
        <v>7.9350013817982047E-3</v>
      </c>
      <c r="G7" s="562">
        <v>0.7720857668047244</v>
      </c>
      <c r="H7" s="562">
        <v>8.2844373568140745E-8</v>
      </c>
      <c r="I7" s="562">
        <v>2.3435183490068935E-7</v>
      </c>
      <c r="J7" s="562">
        <v>3.1707715302393251E-8</v>
      </c>
      <c r="K7" s="562">
        <v>2.4863784833666223E-2</v>
      </c>
      <c r="L7" s="562">
        <v>0.16786188493835874</v>
      </c>
      <c r="M7" s="562">
        <v>2.8045878535479774E-3</v>
      </c>
      <c r="N7" s="563"/>
    </row>
    <row r="8" spans="1:14" s="31" customFormat="1" x14ac:dyDescent="0.25">
      <c r="A8" s="69" t="s">
        <v>225</v>
      </c>
      <c r="B8" s="69" t="s">
        <v>529</v>
      </c>
      <c r="C8" s="562" t="s">
        <v>2186</v>
      </c>
      <c r="D8" s="562">
        <v>7.6329249687939087E-4</v>
      </c>
      <c r="E8" s="562">
        <v>0.63251864375610878</v>
      </c>
      <c r="F8" s="562">
        <v>6.3001871433766756E-4</v>
      </c>
      <c r="G8" s="562">
        <v>0.34244825291451075</v>
      </c>
      <c r="H8" s="562">
        <v>7.8872170301767459E-9</v>
      </c>
      <c r="I8" s="562">
        <v>2.8521419900084592E-8</v>
      </c>
      <c r="J8" s="562">
        <v>7.7367377011345436E-8</v>
      </c>
      <c r="K8" s="562">
        <v>7.6036835666599195E-3</v>
      </c>
      <c r="L8" s="562">
        <v>0.58074448627380415</v>
      </c>
      <c r="M8" s="562">
        <v>2.3722126611367439E-4</v>
      </c>
      <c r="N8" s="563"/>
    </row>
    <row r="9" spans="1:14" s="31" customFormat="1" x14ac:dyDescent="0.25">
      <c r="A9" s="69" t="s">
        <v>225</v>
      </c>
      <c r="B9" s="69" t="s">
        <v>529</v>
      </c>
      <c r="C9" s="562" t="s">
        <v>2187</v>
      </c>
      <c r="D9" s="562">
        <v>2.6477823975460525E-3</v>
      </c>
      <c r="E9" s="562">
        <v>4.7439229144250845</v>
      </c>
      <c r="F9" s="562">
        <v>6.5133694801243281E-3</v>
      </c>
      <c r="G9" s="562">
        <v>0.71617427934121036</v>
      </c>
      <c r="H9" s="562">
        <v>6.6673258551651661E-8</v>
      </c>
      <c r="I9" s="562">
        <v>1.9270228989391372E-7</v>
      </c>
      <c r="J9" s="562">
        <v>5.3716370943468709E-8</v>
      </c>
      <c r="K9" s="562">
        <v>1.8068634046169874E-2</v>
      </c>
      <c r="L9" s="562">
        <v>0.26257074140112457</v>
      </c>
      <c r="M9" s="562">
        <v>2.5083411721976393E-3</v>
      </c>
      <c r="N9" s="563"/>
    </row>
    <row r="10" spans="1:14" s="31" customFormat="1" x14ac:dyDescent="0.25">
      <c r="A10" s="69" t="s">
        <v>225</v>
      </c>
      <c r="B10" s="69" t="s">
        <v>529</v>
      </c>
      <c r="C10" s="562" t="s">
        <v>2188</v>
      </c>
      <c r="D10" s="562">
        <v>2.0078358394913357E-3</v>
      </c>
      <c r="E10" s="562">
        <v>4.3881247539922494</v>
      </c>
      <c r="F10" s="562">
        <v>5.9423155173078382E-3</v>
      </c>
      <c r="G10" s="562">
        <v>0.71301773317700323</v>
      </c>
      <c r="H10" s="562">
        <v>6.1329046943989819E-8</v>
      </c>
      <c r="I10" s="562">
        <v>1.7783692582840672E-7</v>
      </c>
      <c r="J10" s="562">
        <v>6.1496283912174894E-8</v>
      </c>
      <c r="K10" s="562">
        <v>1.6576623627995477E-2</v>
      </c>
      <c r="L10" s="562">
        <v>0.4050357994973619</v>
      </c>
      <c r="M10" s="562">
        <v>2.1034329746892465E-3</v>
      </c>
      <c r="N10" s="563"/>
    </row>
    <row r="11" spans="1:14" s="31" customFormat="1" x14ac:dyDescent="0.25">
      <c r="A11" s="69" t="s">
        <v>225</v>
      </c>
      <c r="B11" s="69" t="s">
        <v>529</v>
      </c>
      <c r="C11" s="562" t="s">
        <v>2189</v>
      </c>
      <c r="D11" s="562">
        <v>2.0898979952864156E-3</v>
      </c>
      <c r="E11" s="562">
        <v>4.8508574754857934</v>
      </c>
      <c r="F11" s="562">
        <v>6.5369296215226557E-3</v>
      </c>
      <c r="G11" s="562">
        <v>0.75839349095488406</v>
      </c>
      <c r="H11" s="562">
        <v>6.8256063235916638E-8</v>
      </c>
      <c r="I11" s="562">
        <v>1.928722735584089E-7</v>
      </c>
      <c r="J11" s="562">
        <v>3.8179426161779154E-8</v>
      </c>
      <c r="K11" s="562">
        <v>2.1309920758055472E-2</v>
      </c>
      <c r="L11" s="562">
        <v>0.3981596764771162</v>
      </c>
      <c r="M11" s="562">
        <v>2.3159953468421786E-3</v>
      </c>
      <c r="N11" s="563"/>
    </row>
    <row r="12" spans="1:14" s="31" customFormat="1" x14ac:dyDescent="0.25">
      <c r="A12" s="69" t="s">
        <v>225</v>
      </c>
      <c r="B12" s="69" t="s">
        <v>529</v>
      </c>
      <c r="C12" s="562" t="s">
        <v>2190</v>
      </c>
      <c r="D12" s="562">
        <v>1.9570639738617254E-3</v>
      </c>
      <c r="E12" s="562">
        <v>3.7938039685107512</v>
      </c>
      <c r="F12" s="562">
        <v>4.9997664770651791E-3</v>
      </c>
      <c r="G12" s="562">
        <v>0.68764449439666353</v>
      </c>
      <c r="H12" s="562">
        <v>5.2685219081819199E-8</v>
      </c>
      <c r="I12" s="562">
        <v>1.5042493711927535E-7</v>
      </c>
      <c r="J12" s="562">
        <v>5.2126844625345801E-8</v>
      </c>
      <c r="K12" s="562">
        <v>1.4670051275344527E-2</v>
      </c>
      <c r="L12" s="562">
        <v>0.59268736211460615</v>
      </c>
      <c r="M12" s="562">
        <v>1.7981054456564184E-3</v>
      </c>
      <c r="N12" s="563"/>
    </row>
    <row r="13" spans="1:14" ht="30" x14ac:dyDescent="0.25">
      <c r="A13" s="69" t="s">
        <v>285</v>
      </c>
      <c r="B13" s="69" t="s">
        <v>530</v>
      </c>
      <c r="C13" s="69" t="s">
        <v>2099</v>
      </c>
      <c r="D13" s="283">
        <v>4.3483965808359237E-3</v>
      </c>
      <c r="E13" s="283">
        <v>1.3957295112980848</v>
      </c>
      <c r="F13" s="283">
        <v>1.021907455089775E-3</v>
      </c>
      <c r="G13" s="283">
        <v>3.0582296343849653</v>
      </c>
      <c r="H13" s="283">
        <v>2.0100053209050013E-8</v>
      </c>
      <c r="I13" s="283">
        <v>4.6980720849336744E-8</v>
      </c>
      <c r="J13" s="283">
        <v>3.6698297428168627E-7</v>
      </c>
      <c r="K13" s="283">
        <v>7.903273618545989E-2</v>
      </c>
      <c r="L13" s="283">
        <v>7.2561246836696034</v>
      </c>
      <c r="M13" s="283">
        <v>4.1810554944319634E-4</v>
      </c>
      <c r="N13" s="412" t="s">
        <v>1541</v>
      </c>
    </row>
    <row r="14" spans="1:14" s="335" customFormat="1" x14ac:dyDescent="0.25">
      <c r="A14" s="610" t="s">
        <v>567</v>
      </c>
      <c r="B14" s="610" t="s">
        <v>530</v>
      </c>
      <c r="C14" s="610" t="s">
        <v>2100</v>
      </c>
      <c r="D14" s="610">
        <v>3.3445233979503561E-6</v>
      </c>
      <c r="E14" s="610">
        <v>2.3532371440131987E-3</v>
      </c>
      <c r="F14" s="610">
        <v>2.6391054516694654E-6</v>
      </c>
      <c r="G14" s="610">
        <v>7.4510473537624667E-4</v>
      </c>
      <c r="H14" s="610">
        <v>4.0996787282839192E-11</v>
      </c>
      <c r="I14" s="610">
        <v>1.1062037092574824E-10</v>
      </c>
      <c r="J14" s="610">
        <v>4.3034615037056626E-11</v>
      </c>
      <c r="K14" s="610">
        <v>3.7761368400106001E-5</v>
      </c>
      <c r="L14" s="610">
        <v>4.6363177946529308E-4</v>
      </c>
      <c r="M14" s="610">
        <v>1.0899919095923131E-6</v>
      </c>
      <c r="N14" s="658" t="s">
        <v>566</v>
      </c>
    </row>
    <row r="15" spans="1:14" x14ac:dyDescent="0.25">
      <c r="A15" s="89" t="s">
        <v>723</v>
      </c>
      <c r="B15" s="89" t="s">
        <v>530</v>
      </c>
      <c r="C15" s="89" t="s">
        <v>2101</v>
      </c>
      <c r="D15" s="69">
        <v>2.7893083797393657E-3</v>
      </c>
      <c r="E15" s="69">
        <v>4.1546255653752411</v>
      </c>
      <c r="F15" s="69">
        <v>2.3810845011047878E-3</v>
      </c>
      <c r="G15" s="69">
        <v>0.87900707369342546</v>
      </c>
      <c r="H15" s="69">
        <v>3.7999029277790412E-8</v>
      </c>
      <c r="I15" s="69">
        <v>1.9568729286045603E-7</v>
      </c>
      <c r="J15" s="69">
        <v>3.9324514171258991E-8</v>
      </c>
      <c r="K15" s="69">
        <v>0.11695827026923489</v>
      </c>
      <c r="L15" s="69">
        <v>0.62922277280585726</v>
      </c>
      <c r="M15" s="69">
        <v>6.8448461260400589E-4</v>
      </c>
      <c r="N15" s="69" t="s">
        <v>722</v>
      </c>
    </row>
    <row r="16" spans="1:14" x14ac:dyDescent="0.25">
      <c r="A16" s="89" t="s">
        <v>1073</v>
      </c>
      <c r="B16" s="89" t="s">
        <v>1072</v>
      </c>
      <c r="C16" s="89" t="s">
        <v>2102</v>
      </c>
      <c r="D16" s="69">
        <v>3.4950730672388471E-2</v>
      </c>
      <c r="E16" s="69">
        <v>22.410810463019168</v>
      </c>
      <c r="F16" s="69">
        <v>2.2992281129804105E-2</v>
      </c>
      <c r="G16" s="69">
        <v>132.00212089456096</v>
      </c>
      <c r="H16" s="69">
        <v>3.4189612234205104E-7</v>
      </c>
      <c r="I16" s="69">
        <v>1.0139198103101216E-6</v>
      </c>
      <c r="J16" s="69">
        <v>6.5209559229795048E-7</v>
      </c>
      <c r="K16" s="69">
        <v>0.57077369778603015</v>
      </c>
      <c r="L16" s="69">
        <v>6.2300424516669501</v>
      </c>
      <c r="M16" s="69">
        <v>8.3511240646671585E-3</v>
      </c>
      <c r="N16" s="69" t="s">
        <v>1160</v>
      </c>
    </row>
    <row r="17" spans="1:14" x14ac:dyDescent="0.25">
      <c r="A17" s="89" t="s">
        <v>1157</v>
      </c>
      <c r="B17" s="89" t="s">
        <v>1158</v>
      </c>
      <c r="C17" s="89" t="s">
        <v>1157</v>
      </c>
      <c r="D17" s="69">
        <v>1.5788123486477265E-3</v>
      </c>
      <c r="E17" s="69">
        <v>2.7386971890410452</v>
      </c>
      <c r="F17" s="69">
        <v>1.0452630725830956E-3</v>
      </c>
      <c r="G17" s="69">
        <v>0.56194620264653905</v>
      </c>
      <c r="H17" s="69">
        <v>3.6344755355155201E-8</v>
      </c>
      <c r="I17" s="69">
        <v>1.1602895603488185E-7</v>
      </c>
      <c r="J17" s="69">
        <v>1.1100027355284042E-7</v>
      </c>
      <c r="K17" s="69">
        <v>1.6948403127068103E-2</v>
      </c>
      <c r="L17" s="69">
        <v>0.99042004115059679</v>
      </c>
      <c r="M17" s="69">
        <v>2.6976013676415856E-4</v>
      </c>
      <c r="N17" s="69" t="s">
        <v>1159</v>
      </c>
    </row>
    <row r="18" spans="1:14" x14ac:dyDescent="0.25">
      <c r="A18" s="89" t="s">
        <v>1203</v>
      </c>
      <c r="B18" s="89" t="s">
        <v>530</v>
      </c>
      <c r="C18" s="89" t="s">
        <v>1197</v>
      </c>
      <c r="D18" s="336">
        <v>1.9416666803305241E-2</v>
      </c>
      <c r="E18" s="336">
        <v>18.098672149531534</v>
      </c>
      <c r="F18" s="336">
        <v>1.1736835259413008E-2</v>
      </c>
      <c r="G18" s="336">
        <v>4.122377091974375</v>
      </c>
      <c r="H18" s="336">
        <v>1.9586102679258395E-7</v>
      </c>
      <c r="I18" s="336">
        <v>8.4837618746916055E-7</v>
      </c>
      <c r="J18" s="336">
        <v>7.2556192535709092E-7</v>
      </c>
      <c r="K18" s="336">
        <v>0.21447261640765539</v>
      </c>
      <c r="L18" s="336">
        <v>8.5834604698326142</v>
      </c>
      <c r="M18" s="336">
        <v>3.8254514597290991E-3</v>
      </c>
      <c r="N18" s="336" t="s">
        <v>1208</v>
      </c>
    </row>
    <row r="19" spans="1:14" x14ac:dyDescent="0.25">
      <c r="A19" s="89" t="s">
        <v>1201</v>
      </c>
      <c r="B19" s="89" t="s">
        <v>530</v>
      </c>
      <c r="C19" s="89" t="s">
        <v>2108</v>
      </c>
      <c r="D19" s="69">
        <v>1.808646183224296E-2</v>
      </c>
      <c r="E19" s="69">
        <v>12.060126322657887</v>
      </c>
      <c r="F19" s="69">
        <v>5.8757497691670447E-3</v>
      </c>
      <c r="G19" s="69">
        <v>3.34462167691906</v>
      </c>
      <c r="H19" s="69">
        <v>9.273655970965411E-8</v>
      </c>
      <c r="I19" s="69">
        <v>5.6281492972365951E-7</v>
      </c>
      <c r="J19" s="69">
        <v>5.8395903236908495E-7</v>
      </c>
      <c r="K19" s="69">
        <v>0.10730578035774047</v>
      </c>
      <c r="L19" s="69">
        <v>7.5251463146668351</v>
      </c>
      <c r="M19" s="69">
        <v>3.0326218604572507E-3</v>
      </c>
      <c r="N19" s="69" t="s">
        <v>1211</v>
      </c>
    </row>
    <row r="20" spans="1:14" x14ac:dyDescent="0.25">
      <c r="A20" s="89" t="s">
        <v>1202</v>
      </c>
      <c r="B20" s="89" t="s">
        <v>530</v>
      </c>
      <c r="C20" s="89" t="s">
        <v>1179</v>
      </c>
      <c r="D20" s="69">
        <v>8.8371819051087635E-3</v>
      </c>
      <c r="E20" s="69">
        <v>3.0074560240799704</v>
      </c>
      <c r="F20" s="69">
        <v>3.0688201409834826E-3</v>
      </c>
      <c r="G20" s="69">
        <v>1.4361105435174719</v>
      </c>
      <c r="H20" s="69">
        <v>5.0971136496863985E-8</v>
      </c>
      <c r="I20" s="69">
        <v>1.3614793243944059E-7</v>
      </c>
      <c r="J20" s="69">
        <v>1.361855579897191E-7</v>
      </c>
      <c r="K20" s="69">
        <v>7.8467036311634514E-2</v>
      </c>
      <c r="L20" s="69">
        <v>0.793441721653254</v>
      </c>
      <c r="M20" s="69">
        <v>1.0160932232699867E-3</v>
      </c>
      <c r="N20" s="69" t="s">
        <v>1215</v>
      </c>
    </row>
    <row r="21" spans="1:14" s="31" customFormat="1" x14ac:dyDescent="0.25">
      <c r="A21" s="89" t="s">
        <v>1595</v>
      </c>
      <c r="B21" s="89" t="s">
        <v>1044</v>
      </c>
      <c r="C21" s="89" t="s">
        <v>2109</v>
      </c>
      <c r="D21" s="441">
        <v>4.3742581197924943E-2</v>
      </c>
      <c r="E21" s="441">
        <v>97.115187868149818</v>
      </c>
      <c r="F21" s="441">
        <v>4.0572449881516148E-2</v>
      </c>
      <c r="G21" s="441">
        <v>8.1857061123965362</v>
      </c>
      <c r="H21" s="441">
        <v>1.0087345260152022E-6</v>
      </c>
      <c r="I21" s="441">
        <v>4.590972388780462E-6</v>
      </c>
      <c r="J21" s="441">
        <v>7.2817556970798875E-7</v>
      </c>
      <c r="K21" s="441">
        <v>0.37469308557889652</v>
      </c>
      <c r="L21" s="441">
        <v>8.5625686877273051</v>
      </c>
      <c r="M21" s="441">
        <v>8.8061732362174142E-3</v>
      </c>
      <c r="N21" s="442" t="s">
        <v>1596</v>
      </c>
    </row>
    <row r="22" spans="1:14" s="31" customFormat="1" ht="30" x14ac:dyDescent="0.25">
      <c r="A22" s="89" t="s">
        <v>1597</v>
      </c>
      <c r="B22" s="89" t="s">
        <v>1044</v>
      </c>
      <c r="C22" s="89" t="s">
        <v>2110</v>
      </c>
      <c r="D22" s="441">
        <v>2.6496157044667172E-2</v>
      </c>
      <c r="E22" s="441">
        <v>41.257303327363324</v>
      </c>
      <c r="F22" s="441">
        <v>2.2542315440038107E-2</v>
      </c>
      <c r="G22" s="441">
        <v>5.7823472967405456</v>
      </c>
      <c r="H22" s="441">
        <v>9.4295221941854483E-7</v>
      </c>
      <c r="I22" s="441">
        <v>1.4596315052003551E-6</v>
      </c>
      <c r="J22" s="441">
        <v>3.3746669052171986E-7</v>
      </c>
      <c r="K22" s="441">
        <v>0.26844845793738092</v>
      </c>
      <c r="L22" s="441">
        <v>3.460032348456783</v>
      </c>
      <c r="M22" s="441">
        <v>6.7710988284552069E-3</v>
      </c>
      <c r="N22" s="442" t="s">
        <v>1598</v>
      </c>
    </row>
    <row r="23" spans="1:14" s="31" customFormat="1" ht="30" x14ac:dyDescent="0.25">
      <c r="A23" s="69" t="s">
        <v>1600</v>
      </c>
      <c r="B23" s="69" t="s">
        <v>1044</v>
      </c>
      <c r="C23" s="69" t="s">
        <v>1600</v>
      </c>
      <c r="D23" s="98">
        <v>4.8988412825910148E-2</v>
      </c>
      <c r="E23" s="98">
        <v>0.88257437831522179</v>
      </c>
      <c r="F23" s="98">
        <v>4.5264263283231569E-3</v>
      </c>
      <c r="G23" s="98">
        <v>3.7795405032579894</v>
      </c>
      <c r="H23" s="98">
        <v>1.7029281161752214E-8</v>
      </c>
      <c r="I23" s="98">
        <v>3.6429504949956751E-8</v>
      </c>
      <c r="J23" s="98">
        <v>9.1427322585443966E-7</v>
      </c>
      <c r="K23" s="98">
        <v>1.5895595402965859</v>
      </c>
      <c r="L23" s="98">
        <v>7.6195450905174145</v>
      </c>
      <c r="M23" s="98">
        <v>1.4314467156036231E-3</v>
      </c>
      <c r="N23" s="443" t="s">
        <v>1599</v>
      </c>
    </row>
    <row r="24" spans="1:14" s="31" customFormat="1" x14ac:dyDescent="0.25">
      <c r="A24" s="69" t="s">
        <v>1601</v>
      </c>
      <c r="B24" s="89" t="s">
        <v>157</v>
      </c>
      <c r="C24" s="69" t="s">
        <v>2104</v>
      </c>
      <c r="D24" s="441">
        <v>0.99790574405315957</v>
      </c>
      <c r="E24" s="441">
        <v>2552.5937859374621</v>
      </c>
      <c r="F24" s="441">
        <v>0.79953031940915509</v>
      </c>
      <c r="G24" s="441">
        <v>332.75243755069374</v>
      </c>
      <c r="H24" s="441">
        <v>3.5288198662162911E-5</v>
      </c>
      <c r="I24" s="441">
        <v>1.1336932272857624E-4</v>
      </c>
      <c r="J24" s="441">
        <v>1.7421525726632829E-5</v>
      </c>
      <c r="K24" s="441">
        <v>15.084253391498491</v>
      </c>
      <c r="L24" s="441">
        <v>170.61977748259611</v>
      </c>
      <c r="M24" s="441">
        <v>0.17632579638583248</v>
      </c>
      <c r="N24" s="443" t="s">
        <v>1602</v>
      </c>
    </row>
    <row r="25" spans="1:14" s="31" customFormat="1" x14ac:dyDescent="0.25">
      <c r="A25" s="89" t="s">
        <v>1603</v>
      </c>
      <c r="B25" s="441" t="s">
        <v>1044</v>
      </c>
      <c r="C25" s="89" t="s">
        <v>2111</v>
      </c>
      <c r="D25" s="441">
        <v>6.4343240761513109E-3</v>
      </c>
      <c r="E25" s="441">
        <v>1.1623389446004833</v>
      </c>
      <c r="F25" s="441">
        <v>4.7577191196157553E-4</v>
      </c>
      <c r="G25" s="441">
        <v>1.9418396353883298</v>
      </c>
      <c r="H25" s="441">
        <v>6.2340028861075281E-8</v>
      </c>
      <c r="I25" s="441">
        <v>2.4341209783800598E-8</v>
      </c>
      <c r="J25" s="441">
        <v>1.2155276193255837E-9</v>
      </c>
      <c r="K25" s="441">
        <v>8.1470385823348312E-2</v>
      </c>
      <c r="L25" s="441">
        <v>9.4522967011213552</v>
      </c>
      <c r="M25" s="441">
        <v>4.4321090543972627E-4</v>
      </c>
      <c r="N25" s="444" t="s">
        <v>1604</v>
      </c>
    </row>
    <row r="26" spans="1:14" s="31" customFormat="1" x14ac:dyDescent="0.25">
      <c r="A26" s="89" t="s">
        <v>1605</v>
      </c>
      <c r="B26" s="441" t="s">
        <v>1044</v>
      </c>
      <c r="C26" s="89" t="s">
        <v>2112</v>
      </c>
      <c r="D26" s="441">
        <v>3.0293495506203603E-3</v>
      </c>
      <c r="E26" s="441">
        <v>2.2492699803112139</v>
      </c>
      <c r="F26" s="441">
        <v>2.345818579079588E-3</v>
      </c>
      <c r="G26" s="441">
        <v>0.70358094185293685</v>
      </c>
      <c r="H26" s="441">
        <v>3.4652589268262267E-8</v>
      </c>
      <c r="I26" s="441">
        <v>9.9399891251588656E-8</v>
      </c>
      <c r="J26" s="441">
        <v>3.6749339756663703E-8</v>
      </c>
      <c r="K26" s="441">
        <v>3.3589198694259588E-2</v>
      </c>
      <c r="L26" s="441">
        <v>0.51364172216001214</v>
      </c>
      <c r="M26" s="441">
        <v>9.1461890991107928E-4</v>
      </c>
      <c r="N26" s="444" t="s">
        <v>1606</v>
      </c>
    </row>
    <row r="27" spans="1:14" s="31" customFormat="1" x14ac:dyDescent="0.25">
      <c r="A27" s="89" t="s">
        <v>1607</v>
      </c>
      <c r="B27" s="441" t="s">
        <v>122</v>
      </c>
      <c r="C27" s="89" t="s">
        <v>2113</v>
      </c>
      <c r="D27" s="441">
        <v>5.0774941809786471E-3</v>
      </c>
      <c r="E27" s="441">
        <v>0.73152011475705403</v>
      </c>
      <c r="F27" s="441">
        <v>7.0588812201554242E-4</v>
      </c>
      <c r="G27" s="441">
        <v>0.539095943471531</v>
      </c>
      <c r="H27" s="441">
        <v>2.4483643814254147E-8</v>
      </c>
      <c r="I27" s="441">
        <v>2.3479631584210218E-8</v>
      </c>
      <c r="J27" s="441">
        <v>1.2540828856982831E-7</v>
      </c>
      <c r="K27" s="441">
        <v>0.15133512619547582</v>
      </c>
      <c r="L27" s="441">
        <v>1.0577270278492039</v>
      </c>
      <c r="M27" s="441">
        <v>7.0565155300263463E-4</v>
      </c>
      <c r="N27" s="444" t="s">
        <v>1608</v>
      </c>
    </row>
    <row r="28" spans="1:14" s="31" customFormat="1" x14ac:dyDescent="0.25">
      <c r="A28" s="89" t="s">
        <v>1609</v>
      </c>
      <c r="B28" s="441" t="s">
        <v>1044</v>
      </c>
      <c r="C28" s="89" t="s">
        <v>2114</v>
      </c>
      <c r="D28" s="441">
        <v>8.0196550736592806E-3</v>
      </c>
      <c r="E28" s="441">
        <v>33.777849687776524</v>
      </c>
      <c r="F28" s="441">
        <v>5.6947143515195279E-3</v>
      </c>
      <c r="G28" s="441">
        <v>1.8454769970469613</v>
      </c>
      <c r="H28" s="441">
        <v>2.7828413647463897E-6</v>
      </c>
      <c r="I28" s="441">
        <v>3.6690362439109099E-7</v>
      </c>
      <c r="J28" s="441">
        <v>1.1614065015668857E-7</v>
      </c>
      <c r="K28" s="441">
        <v>9.9922195760316607E-2</v>
      </c>
      <c r="L28" s="441">
        <v>1.0323692716391175</v>
      </c>
      <c r="M28" s="441">
        <v>2.4263898362904047E-3</v>
      </c>
      <c r="N28" s="444" t="s">
        <v>1610</v>
      </c>
    </row>
    <row r="29" spans="1:14" s="31" customFormat="1" x14ac:dyDescent="0.25">
      <c r="A29" s="89" t="s">
        <v>1611</v>
      </c>
      <c r="B29" s="441" t="s">
        <v>1044</v>
      </c>
      <c r="C29" s="89" t="s">
        <v>2115</v>
      </c>
      <c r="D29" s="441">
        <v>6.0995184093850336E-3</v>
      </c>
      <c r="E29" s="441">
        <v>2.9000086815594899</v>
      </c>
      <c r="F29" s="441">
        <v>1.2074237117893636E-3</v>
      </c>
      <c r="G29" s="441">
        <v>2.070384909495556</v>
      </c>
      <c r="H29" s="441">
        <v>1.3019147467244403E-7</v>
      </c>
      <c r="I29" s="441">
        <v>6.9313775504922122E-8</v>
      </c>
      <c r="J29" s="441">
        <v>1.8916872470391593E-8</v>
      </c>
      <c r="K29" s="441">
        <v>0.10912863931666855</v>
      </c>
      <c r="L29" s="441">
        <v>6.059837998031937</v>
      </c>
      <c r="M29" s="441">
        <v>3.9113890733377167E-4</v>
      </c>
      <c r="N29" s="444" t="s">
        <v>1612</v>
      </c>
    </row>
    <row r="30" spans="1:14" x14ac:dyDescent="0.25">
      <c r="A30" s="89" t="s">
        <v>1213</v>
      </c>
      <c r="B30" s="89" t="s">
        <v>530</v>
      </c>
      <c r="C30" s="89" t="s">
        <v>254</v>
      </c>
      <c r="D30" s="69">
        <v>7.8525228189030211E-2</v>
      </c>
      <c r="E30" s="69">
        <v>70.764323202430177</v>
      </c>
      <c r="F30" s="69">
        <v>5.0182375600744449E-2</v>
      </c>
      <c r="G30" s="69">
        <v>17.817724095480767</v>
      </c>
      <c r="H30" s="69">
        <v>7.8746733511694197E-7</v>
      </c>
      <c r="I30" s="69">
        <v>3.0718216983829894E-6</v>
      </c>
      <c r="J30" s="69">
        <v>2.3026203051750873E-6</v>
      </c>
      <c r="K30" s="69">
        <v>0.8120039267267376</v>
      </c>
      <c r="L30" s="69">
        <v>26.582421044688797</v>
      </c>
      <c r="M30" s="69">
        <v>1.3880856165177303E-2</v>
      </c>
      <c r="N30" s="69" t="s">
        <v>1214</v>
      </c>
    </row>
    <row r="31" spans="1:14" s="257" customFormat="1" x14ac:dyDescent="0.25">
      <c r="A31" s="390" t="s">
        <v>2643</v>
      </c>
      <c r="B31" s="390" t="s">
        <v>530</v>
      </c>
      <c r="C31" s="390" t="s">
        <v>2646</v>
      </c>
      <c r="D31" s="391">
        <v>4.7281242344192806E-5</v>
      </c>
      <c r="E31" s="391">
        <v>7.4697467657909517E-3</v>
      </c>
      <c r="F31" s="391">
        <v>9.6451009616702188E-6</v>
      </c>
      <c r="G31" s="391">
        <v>5.5983990510588E-3</v>
      </c>
      <c r="H31" s="391">
        <v>1.7565742453843903E-10</v>
      </c>
      <c r="I31" s="391">
        <v>2.9854651397884817E-10</v>
      </c>
      <c r="J31" s="391">
        <v>1.096033847932802E-9</v>
      </c>
      <c r="K31" s="391">
        <v>1.309730285599592E-3</v>
      </c>
      <c r="L31" s="391">
        <v>9.3822726353713186E-3</v>
      </c>
      <c r="M31" s="391">
        <v>7.2428479135161819E-6</v>
      </c>
      <c r="N31" s="391" t="s">
        <v>1268</v>
      </c>
    </row>
    <row r="32" spans="1:14" x14ac:dyDescent="0.25">
      <c r="A32" s="89" t="s">
        <v>1849</v>
      </c>
      <c r="B32" s="461" t="s">
        <v>1850</v>
      </c>
      <c r="C32" s="89" t="s">
        <v>2105</v>
      </c>
      <c r="D32" s="69">
        <v>3.6555058778575893E-2</v>
      </c>
      <c r="E32" s="69">
        <v>25.558469646318095</v>
      </c>
      <c r="F32" s="69">
        <v>1.667627302451068E-2</v>
      </c>
      <c r="G32" s="69">
        <v>8.7988974921409326</v>
      </c>
      <c r="H32" s="69">
        <v>1.4758488822224726E-7</v>
      </c>
      <c r="I32" s="69">
        <v>1.230102736004454E-6</v>
      </c>
      <c r="J32" s="69">
        <v>5.7939744640903969E-7</v>
      </c>
      <c r="K32" s="69">
        <v>0.38976774898096206</v>
      </c>
      <c r="L32" s="69">
        <v>7.0735837673923561</v>
      </c>
      <c r="M32" s="69">
        <v>3.3807417528327406E-3</v>
      </c>
      <c r="N32" s="462" t="s">
        <v>1851</v>
      </c>
    </row>
    <row r="33" spans="1:14" x14ac:dyDescent="0.25">
      <c r="A33" s="89" t="s">
        <v>1852</v>
      </c>
      <c r="B33" s="461" t="s">
        <v>530</v>
      </c>
      <c r="C33" s="89" t="s">
        <v>2106</v>
      </c>
      <c r="D33" s="69">
        <v>2.0938188143353173E-2</v>
      </c>
      <c r="E33" s="69">
        <v>22.143051869254233</v>
      </c>
      <c r="F33" s="69">
        <v>2.7476495652925093E-2</v>
      </c>
      <c r="G33" s="69">
        <v>1.9356103058992882</v>
      </c>
      <c r="H33" s="69">
        <v>1.4084122937938007E-7</v>
      </c>
      <c r="I33" s="69">
        <v>1.1828559012652989E-6</v>
      </c>
      <c r="J33" s="69">
        <v>2.3031064598045815E-7</v>
      </c>
      <c r="K33" s="69">
        <v>0.14608847817575868</v>
      </c>
      <c r="L33" s="69">
        <v>3.1735362681605812</v>
      </c>
      <c r="M33" s="69">
        <v>3.5863841267382646E-3</v>
      </c>
      <c r="N33" s="462" t="s">
        <v>1854</v>
      </c>
    </row>
    <row r="34" spans="1:14" x14ac:dyDescent="0.25">
      <c r="A34" s="89" t="s">
        <v>1844</v>
      </c>
      <c r="B34" s="461" t="s">
        <v>530</v>
      </c>
      <c r="C34" s="89" t="s">
        <v>2107</v>
      </c>
      <c r="D34" s="69">
        <v>2.0307598450030528E-3</v>
      </c>
      <c r="E34" s="69">
        <v>5.2063378517246486</v>
      </c>
      <c r="F34" s="69">
        <v>1.7251857171170061E-3</v>
      </c>
      <c r="G34" s="69">
        <v>0.52170923580377104</v>
      </c>
      <c r="H34" s="69">
        <v>3.677334121339534E-8</v>
      </c>
      <c r="I34" s="69">
        <v>2.4770397957401491E-7</v>
      </c>
      <c r="J34" s="69">
        <v>8.6923071641893184E-8</v>
      </c>
      <c r="K34" s="69">
        <v>2.6776631030861253E-2</v>
      </c>
      <c r="L34" s="69">
        <v>0.95759620782315968</v>
      </c>
      <c r="M34" s="69">
        <v>3.3480893868777527E-4</v>
      </c>
      <c r="N34" s="462" t="s">
        <v>1853</v>
      </c>
    </row>
    <row r="35" spans="1:14" x14ac:dyDescent="0.25">
      <c r="A35" s="89" t="s">
        <v>2127</v>
      </c>
      <c r="B35" s="461" t="s">
        <v>530</v>
      </c>
      <c r="C35" s="89" t="s">
        <v>2128</v>
      </c>
      <c r="D35" s="69">
        <v>3.0186692265973353E-4</v>
      </c>
      <c r="E35" s="69">
        <v>0.15365159729257008</v>
      </c>
      <c r="F35" s="69">
        <v>6.8327017110132929E-5</v>
      </c>
      <c r="G35" s="69">
        <v>5.9265099779134169E-2</v>
      </c>
      <c r="H35" s="69">
        <v>1.760194083391916E-9</v>
      </c>
      <c r="I35" s="69">
        <v>5.8365854843143931E-9</v>
      </c>
      <c r="J35" s="69">
        <v>1.4479283580500024E-8</v>
      </c>
      <c r="K35" s="69">
        <v>7.5405179273064652E-3</v>
      </c>
      <c r="L35" s="69">
        <v>0.12231339760264043</v>
      </c>
      <c r="M35" s="69">
        <v>3.4309960129209969E-5</v>
      </c>
      <c r="N35" s="462" t="s">
        <v>2129</v>
      </c>
    </row>
    <row r="36" spans="1:14" x14ac:dyDescent="0.25">
      <c r="A36" s="89" t="s">
        <v>2140</v>
      </c>
      <c r="B36" s="461" t="s">
        <v>530</v>
      </c>
      <c r="C36" s="89" t="s">
        <v>2182</v>
      </c>
      <c r="D36" s="69">
        <v>8.1097614087276785E-3</v>
      </c>
      <c r="E36" s="69">
        <v>5.5149623936361696</v>
      </c>
      <c r="F36" s="69">
        <v>1.8930193911451045E-2</v>
      </c>
      <c r="G36" s="69">
        <v>4.8961081348694337</v>
      </c>
      <c r="H36" s="69">
        <v>5.6349092085689512E-8</v>
      </c>
      <c r="I36" s="69">
        <v>1.1434154009983811E-7</v>
      </c>
      <c r="J36" s="69">
        <v>6.6965761852563317E-8</v>
      </c>
      <c r="K36" s="69">
        <v>8.5120661836469047E-2</v>
      </c>
      <c r="L36" s="69">
        <v>0.54526238309460129</v>
      </c>
      <c r="M36" s="69">
        <v>1.9854773317965735E-3</v>
      </c>
      <c r="N36" s="69" t="s">
        <v>2141</v>
      </c>
    </row>
    <row r="37" spans="1:14" x14ac:dyDescent="0.25">
      <c r="A37" s="89" t="s">
        <v>2167</v>
      </c>
      <c r="B37" s="461" t="s">
        <v>530</v>
      </c>
      <c r="C37" s="69" t="s">
        <v>2169</v>
      </c>
      <c r="D37" s="69">
        <v>1.1056193495783798E-2</v>
      </c>
      <c r="E37" s="69">
        <v>12.650978948686587</v>
      </c>
      <c r="F37" s="69">
        <v>1.8109649470630818E-2</v>
      </c>
      <c r="G37" s="69">
        <v>3.9204093246181348</v>
      </c>
      <c r="H37" s="69">
        <v>7.9909707606007646E-8</v>
      </c>
      <c r="I37" s="69">
        <v>3.2484864720462248E-7</v>
      </c>
      <c r="J37" s="69">
        <v>1.5848455898669552E-7</v>
      </c>
      <c r="K37" s="69">
        <v>9.9170068502636599E-2</v>
      </c>
      <c r="L37" s="69">
        <v>0.99074626053412296</v>
      </c>
      <c r="M37" s="69">
        <v>2.1782614791521272E-3</v>
      </c>
      <c r="N37" s="69" t="s">
        <v>2168</v>
      </c>
    </row>
    <row r="38" spans="1:14" x14ac:dyDescent="0.25">
      <c r="A38" s="89" t="s">
        <v>2548</v>
      </c>
      <c r="B38" s="461" t="s">
        <v>2594</v>
      </c>
      <c r="C38" s="89" t="s">
        <v>2656</v>
      </c>
      <c r="D38" s="69">
        <v>6.1068857440460251E-4</v>
      </c>
      <c r="E38" s="69">
        <v>0.43888411035654312</v>
      </c>
      <c r="F38" s="69">
        <v>1.7718822473738628E-4</v>
      </c>
      <c r="G38" s="69">
        <v>0.16913434060483271</v>
      </c>
      <c r="H38" s="69">
        <v>4.9289536539667744E-9</v>
      </c>
      <c r="I38" s="69">
        <v>1.6568067481591009E-8</v>
      </c>
      <c r="J38" s="69">
        <v>4.03230292001083E-8</v>
      </c>
      <c r="K38" s="69">
        <v>1.2657333660494726E-2</v>
      </c>
      <c r="L38" s="69">
        <v>0.34167512808118483</v>
      </c>
      <c r="M38" s="69">
        <v>8.3510550033486048E-5</v>
      </c>
      <c r="N38" s="69" t="s">
        <v>2592</v>
      </c>
    </row>
    <row r="39" spans="1:14" x14ac:dyDescent="0.25">
      <c r="A39" s="89" t="s">
        <v>2595</v>
      </c>
      <c r="B39" s="461" t="s">
        <v>2594</v>
      </c>
      <c r="C39" s="89" t="s">
        <v>2657</v>
      </c>
      <c r="D39" s="69">
        <v>9.4543777154251721E-3</v>
      </c>
      <c r="E39" s="69">
        <v>16.869994807645785</v>
      </c>
      <c r="F39" s="69">
        <v>3.8347600311383315E-3</v>
      </c>
      <c r="G39" s="69">
        <v>1.941059213171334</v>
      </c>
      <c r="H39" s="69">
        <v>1.1083734971461978E-7</v>
      </c>
      <c r="I39" s="69">
        <v>6.5621338101976266E-7</v>
      </c>
      <c r="J39" s="69">
        <v>4.1795612544774087E-7</v>
      </c>
      <c r="K39" s="69">
        <v>0.2011811837703629</v>
      </c>
      <c r="L39" s="69">
        <v>3.6027643898187511</v>
      </c>
      <c r="M39" s="69">
        <v>1.4340999295382928E-3</v>
      </c>
      <c r="N39" s="69" t="s">
        <v>2599</v>
      </c>
    </row>
    <row r="40" spans="1:14" x14ac:dyDescent="0.25">
      <c r="A40" s="89" t="s">
        <v>2593</v>
      </c>
      <c r="B40" s="461" t="s">
        <v>2594</v>
      </c>
      <c r="C40" s="89" t="s">
        <v>2658</v>
      </c>
      <c r="D40" s="69">
        <v>1.5788123486477265E-3</v>
      </c>
      <c r="E40" s="69">
        <v>2.7386971890410452</v>
      </c>
      <c r="F40" s="69">
        <v>1.0452630725830956E-3</v>
      </c>
      <c r="G40" s="69">
        <v>0.56194620264653905</v>
      </c>
      <c r="H40" s="69">
        <v>3.6344755355155201E-8</v>
      </c>
      <c r="I40" s="69">
        <v>1.1602895603488185E-7</v>
      </c>
      <c r="J40" s="69">
        <v>1.1100027355284042E-7</v>
      </c>
      <c r="K40" s="69">
        <v>1.6948403127068103E-2</v>
      </c>
      <c r="L40" s="69">
        <v>0.99042004115059679</v>
      </c>
      <c r="M40" s="69">
        <v>2.6976013676415856E-4</v>
      </c>
      <c r="N40" s="69" t="s">
        <v>1159</v>
      </c>
    </row>
    <row r="41" spans="1:14" s="31" customFormat="1" x14ac:dyDescent="0.25">
      <c r="A41" s="148"/>
      <c r="B41" s="675"/>
      <c r="C41" s="148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</row>
    <row r="42" spans="1:14" s="31" customFormat="1" x14ac:dyDescent="0.25">
      <c r="A42" s="148"/>
      <c r="B42" s="675"/>
      <c r="C42" s="148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</row>
    <row r="43" spans="1:14" x14ac:dyDescent="0.25">
      <c r="D43" s="31"/>
      <c r="F43" s="31"/>
      <c r="G43">
        <f>0.000026781</f>
        <v>2.6781E-5</v>
      </c>
    </row>
    <row r="44" spans="1:14" x14ac:dyDescent="0.25">
      <c r="D44" s="31"/>
      <c r="F44" s="31"/>
      <c r="G44">
        <f>G43/G14</f>
        <v>3.5942598038216353E-2</v>
      </c>
    </row>
    <row r="45" spans="1:14" x14ac:dyDescent="0.25">
      <c r="D45" s="28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-0.249977111117893"/>
  </sheetPr>
  <dimension ref="A1:AE161"/>
  <sheetViews>
    <sheetView topLeftCell="A19" zoomScale="90" zoomScaleNormal="90" workbookViewId="0">
      <selection activeCell="D45" sqref="D45"/>
    </sheetView>
  </sheetViews>
  <sheetFormatPr defaultColWidth="9.140625" defaultRowHeight="15" x14ac:dyDescent="0.25"/>
  <cols>
    <col min="1" max="1" width="38.28515625" style="149" customWidth="1"/>
    <col min="2" max="2" width="26.5703125" style="149" customWidth="1"/>
    <col min="3" max="3" width="14.140625" style="149" customWidth="1"/>
    <col min="4" max="4" width="13.42578125" style="149" customWidth="1"/>
    <col min="5" max="5" width="16.28515625" style="149" customWidth="1"/>
    <col min="6" max="6" width="17.42578125" style="149" customWidth="1"/>
    <col min="7" max="7" width="15.7109375" style="149" customWidth="1"/>
    <col min="8" max="8" width="18.140625" style="149" customWidth="1"/>
    <col min="9" max="9" width="16.28515625" style="149" customWidth="1"/>
    <col min="10" max="10" width="17.5703125" style="149" customWidth="1"/>
    <col min="11" max="11" width="20" style="149" customWidth="1"/>
    <col min="12" max="12" width="16.140625" style="149" customWidth="1"/>
    <col min="13" max="13" width="47.28515625" style="149" customWidth="1"/>
    <col min="14" max="14" width="21.42578125" style="149" customWidth="1"/>
    <col min="15" max="15" width="25.140625" style="149" bestFit="1" customWidth="1"/>
    <col min="16" max="18" width="16.5703125" style="149" bestFit="1" customWidth="1"/>
    <col min="19" max="19" width="16.85546875" style="149" bestFit="1" customWidth="1"/>
    <col min="20" max="20" width="15.140625" style="149" customWidth="1"/>
    <col min="21" max="21" width="20.28515625" style="149" bestFit="1" customWidth="1"/>
    <col min="22" max="22" width="17.7109375" style="149" bestFit="1" customWidth="1"/>
    <col min="23" max="23" width="21.85546875" style="149" bestFit="1" customWidth="1"/>
    <col min="24" max="24" width="27.5703125" style="149" bestFit="1" customWidth="1"/>
    <col min="25" max="25" width="20.28515625" style="149" bestFit="1" customWidth="1"/>
    <col min="26" max="27" width="9.140625" style="149"/>
    <col min="28" max="28" width="24.140625" style="149" bestFit="1" customWidth="1"/>
    <col min="29" max="29" width="12.7109375" style="149" bestFit="1" customWidth="1"/>
    <col min="30" max="33" width="15.7109375" style="149" customWidth="1"/>
    <col min="34" max="34" width="17.7109375" style="149" customWidth="1"/>
    <col min="35" max="35" width="15.7109375" style="149" customWidth="1"/>
    <col min="36" max="36" width="18.42578125" style="149" customWidth="1"/>
    <col min="37" max="37" width="20.5703125" style="149" customWidth="1"/>
    <col min="38" max="38" width="15.7109375" style="149" customWidth="1"/>
    <col min="39" max="16384" width="9.140625" style="149"/>
  </cols>
  <sheetData>
    <row r="1" spans="1:31" ht="21.75" thickBot="1" x14ac:dyDescent="0.3">
      <c r="C1" s="778" t="s">
        <v>468</v>
      </c>
      <c r="D1" s="779"/>
      <c r="E1" s="779"/>
      <c r="F1" s="779"/>
      <c r="G1" s="779"/>
      <c r="H1" s="779"/>
      <c r="I1" s="779"/>
      <c r="J1" s="779"/>
      <c r="K1" s="779"/>
      <c r="L1" s="780"/>
      <c r="P1" s="778" t="s">
        <v>1594</v>
      </c>
      <c r="Q1" s="779"/>
      <c r="R1" s="779"/>
      <c r="S1" s="779"/>
      <c r="T1" s="779"/>
      <c r="U1" s="779"/>
      <c r="V1" s="779"/>
      <c r="W1" s="779"/>
      <c r="X1" s="779"/>
      <c r="Y1" s="780"/>
    </row>
    <row r="2" spans="1:31" ht="45" x14ac:dyDescent="0.25">
      <c r="C2" s="182" t="s">
        <v>449</v>
      </c>
      <c r="D2" s="182" t="s">
        <v>450</v>
      </c>
      <c r="E2" s="182" t="s">
        <v>451</v>
      </c>
      <c r="F2" s="182" t="s">
        <v>452</v>
      </c>
      <c r="G2" s="182" t="s">
        <v>453</v>
      </c>
      <c r="H2" s="182" t="s">
        <v>454</v>
      </c>
      <c r="I2" s="182" t="s">
        <v>455</v>
      </c>
      <c r="J2" s="182" t="s">
        <v>456</v>
      </c>
      <c r="K2" s="182" t="s">
        <v>457</v>
      </c>
      <c r="L2" s="182" t="s">
        <v>458</v>
      </c>
      <c r="M2" s="149" t="s">
        <v>597</v>
      </c>
      <c r="P2" s="182" t="s">
        <v>449</v>
      </c>
      <c r="Q2" s="182" t="s">
        <v>450</v>
      </c>
      <c r="R2" s="182" t="s">
        <v>451</v>
      </c>
      <c r="S2" s="182" t="s">
        <v>452</v>
      </c>
      <c r="T2" s="182" t="s">
        <v>453</v>
      </c>
      <c r="U2" s="182" t="s">
        <v>454</v>
      </c>
      <c r="V2" s="182" t="s">
        <v>455</v>
      </c>
      <c r="W2" s="182" t="s">
        <v>456</v>
      </c>
      <c r="X2" s="182" t="s">
        <v>457</v>
      </c>
      <c r="Y2" s="182" t="s">
        <v>458</v>
      </c>
    </row>
    <row r="3" spans="1:31" x14ac:dyDescent="0.25">
      <c r="A3" s="69" t="s">
        <v>199</v>
      </c>
      <c r="B3" s="69" t="s">
        <v>194</v>
      </c>
      <c r="C3" s="69" t="s">
        <v>459</v>
      </c>
      <c r="D3" s="69" t="s">
        <v>460</v>
      </c>
      <c r="E3" s="69" t="s">
        <v>461</v>
      </c>
      <c r="F3" s="69" t="s">
        <v>462</v>
      </c>
      <c r="G3" s="69" t="s">
        <v>463</v>
      </c>
      <c r="H3" s="69" t="s">
        <v>463</v>
      </c>
      <c r="I3" s="69" t="s">
        <v>464</v>
      </c>
      <c r="J3" s="69" t="s">
        <v>465</v>
      </c>
      <c r="K3" s="179" t="s">
        <v>466</v>
      </c>
      <c r="L3" s="69" t="s">
        <v>467</v>
      </c>
      <c r="N3" s="69" t="s">
        <v>199</v>
      </c>
      <c r="O3" s="69" t="s">
        <v>194</v>
      </c>
      <c r="P3" s="69" t="s">
        <v>459</v>
      </c>
      <c r="Q3" s="69" t="s">
        <v>460</v>
      </c>
      <c r="R3" s="69" t="s">
        <v>461</v>
      </c>
      <c r="S3" s="69" t="s">
        <v>462</v>
      </c>
      <c r="T3" s="69" t="s">
        <v>463</v>
      </c>
      <c r="U3" s="69" t="s">
        <v>463</v>
      </c>
      <c r="V3" s="69" t="s">
        <v>464</v>
      </c>
      <c r="W3" s="69" t="s">
        <v>465</v>
      </c>
      <c r="X3" s="179" t="s">
        <v>466</v>
      </c>
      <c r="Y3" s="69" t="s">
        <v>467</v>
      </c>
    </row>
    <row r="4" spans="1:31" ht="15.75" customHeight="1" x14ac:dyDescent="0.25">
      <c r="A4" s="211" t="s">
        <v>978</v>
      </c>
      <c r="B4" s="31" t="s">
        <v>598</v>
      </c>
      <c r="C4" s="566">
        <f>'Indoor Inputs'!$K$31*LCI!D13/(kW_to_W*MJ_to_kWh*prop_natural_gas_HHV*indoor_annual_bud_yield)</f>
        <v>0.19353724731941779</v>
      </c>
      <c r="D4" s="529">
        <f>'Indoor Inputs'!$K$31*LCI!E13/(kW_to_W*MJ_to_kWh*prop_natural_gas_HHV*indoor_annual_bud_yield)</f>
        <v>62.120747865913224</v>
      </c>
      <c r="E4" s="529">
        <f>'Indoor Inputs'!$K$31*LCI!F13/(kW_to_W*MJ_to_kWh*prop_natural_gas_HHV*indoor_annual_bud_yield)</f>
        <v>4.5482777892178014E-2</v>
      </c>
      <c r="F4" s="529">
        <f>'Indoor Inputs'!$K$31*LCI!G13/(kW_to_W*MJ_to_kWh*prop_natural_gas_HHV*indoor_annual_bud_yield)</f>
        <v>136.11484925686196</v>
      </c>
      <c r="G4" s="529">
        <f>'Indoor Inputs'!$K$31*LCI!H13/(kW_to_W*MJ_to_kWh*prop_natural_gas_HHV*indoor_annual_bud_yield)</f>
        <v>8.9460767819515352E-7</v>
      </c>
      <c r="H4" s="529">
        <f>'Indoor Inputs'!$K$31*LCI!I13/(kW_to_W*MJ_to_kWh*prop_natural_gas_HHV*indoor_annual_bud_yield)</f>
        <v>2.09100509147091E-6</v>
      </c>
      <c r="I4" s="529">
        <f>'Indoor Inputs'!$K$31*LCI!J13/(kW_to_W*MJ_to_kWh*prop_natural_gas_HHV*indoor_annual_bud_yield)</f>
        <v>1.6333577983339467E-5</v>
      </c>
      <c r="J4" s="529">
        <f>'Indoor Inputs'!$K$31*LCI!K13/(kW_to_W*MJ_to_kWh*prop_natural_gas_HHV*indoor_annual_bud_yield)</f>
        <v>3.5175674355155602</v>
      </c>
      <c r="K4" s="529">
        <f>'Indoor Inputs'!$K$31*LCI!L13/(kW_to_W*MJ_to_kWh*prop_natural_gas_HHV*indoor_annual_bud_yield)</f>
        <v>322.95361551726995</v>
      </c>
      <c r="L4" s="529">
        <f>'Indoor Inputs'!$K$31*LCI!M13/(kW_to_W*MJ_to_kWh*prop_natural_gas_HHV*indoor_annual_bud_yield)</f>
        <v>1.8608927595250135E-2</v>
      </c>
      <c r="M4" s="592">
        <f t="shared" ref="M4:M35" si="0">F4/output_LCA_GWP</f>
        <v>2.9636590916194389E-2</v>
      </c>
      <c r="N4" s="31" t="s">
        <v>978</v>
      </c>
      <c r="O4" s="31" t="s">
        <v>598</v>
      </c>
      <c r="P4" s="34">
        <f>'Outdoor Inputs'!$J$53*LCI!D13/(kW_to_W*kWh_to_MJ*prop_natural_gas_HHV*outdoor_annual_yield)</f>
        <v>1.417834713390726E-4</v>
      </c>
      <c r="Q4" s="34">
        <f>'Outdoor Inputs'!$J$53*LCI!E13/(kW_to_W*kWh_to_MJ*prop_natural_gas_HHV*outdoor_annual_yield)</f>
        <v>4.5509044882053436E-2</v>
      </c>
      <c r="R4" s="34">
        <f>'Outdoor Inputs'!$J$53*LCI!F13/(kW_to_W*kWh_to_MJ*prop_natural_gas_HHV*outdoor_annual_yield)</f>
        <v>3.332023279763791E-5</v>
      </c>
      <c r="S4" s="34">
        <f>'Outdoor Inputs'!$J$53*LCI!G13/(kW_to_W*kWh_to_MJ*prop_natural_gas_HHV*outdoor_annual_yield)</f>
        <v>9.9716391008606645E-2</v>
      </c>
      <c r="T4" s="34">
        <f>'Outdoor Inputs'!$J$53*LCI!H13/(kW_to_W*kWh_to_MJ*prop_natural_gas_HHV*outdoor_annual_yield)</f>
        <v>6.5538072829855091E-10</v>
      </c>
      <c r="U4" s="34">
        <f>'Outdoor Inputs'!$J$53*LCI!I13/(kW_to_W*kWh_to_MJ*prop_natural_gas_HHV*outdoor_annual_yield)</f>
        <v>1.5318496287545136E-9</v>
      </c>
      <c r="V4" s="34">
        <f>'Outdoor Inputs'!$J$53*LCI!J13/(kW_to_W*kWh_to_MJ*prop_natural_gas_HHV*outdoor_annual_yield)</f>
        <v>1.1965817525776952E-8</v>
      </c>
      <c r="W4" s="34">
        <f>'Outdoor Inputs'!$J$53*LCI!K13/(kW_to_W*kWh_to_MJ*prop_natural_gas_HHV*outdoor_annual_yield)</f>
        <v>2.5769350788251966E-3</v>
      </c>
      <c r="X4" s="34">
        <f>'Outdoor Inputs'!$J$53*LCI!L13/(kW_to_W*kWh_to_MJ*prop_natural_gas_HHV*outdoor_annual_yield)</f>
        <v>0.23659262143979357</v>
      </c>
      <c r="Y4" s="34">
        <f>'Outdoor Inputs'!$J$53*LCI!M13/(kW_to_W*kWh_to_MJ*prop_natural_gas_HHV*outdoor_annual_yield)</f>
        <v>1.3632716125167847E-5</v>
      </c>
    </row>
    <row r="5" spans="1:31" ht="15.75" customHeight="1" x14ac:dyDescent="0.25">
      <c r="A5" s="211" t="s">
        <v>979</v>
      </c>
      <c r="B5" s="31" t="s">
        <v>598</v>
      </c>
      <c r="C5" s="250">
        <f>'Indoor Inputs'!$K$30*LCI!D3/kW_to_W/indoor_annual_bud_yield</f>
        <v>2.3150845282854576E-2</v>
      </c>
      <c r="D5" s="32">
        <f>'Indoor Inputs'!$K$30*LCI!E3/kW_to_W/indoor_annual_bud_yield</f>
        <v>56.917393784827226</v>
      </c>
      <c r="E5" s="32">
        <f>'Indoor Inputs'!$K$30*LCI!F3/kW_to_W/indoor_annual_bud_yield</f>
        <v>7.5763258208076403E-2</v>
      </c>
      <c r="F5" s="32">
        <f>'Indoor Inputs'!$K$30*LCI!G3/kW_to_W/indoor_annual_bud_yield</f>
        <v>12.373921006303924</v>
      </c>
      <c r="G5" s="32">
        <f>'Indoor Inputs'!$K$30*LCI!H3/kW_to_W/indoor_annual_bud_yield</f>
        <v>7.9334492543306339E-7</v>
      </c>
      <c r="H5" s="32">
        <f>'Indoor Inputs'!$K$30*LCI!I3/kW_to_W/indoor_annual_bud_yield</f>
        <v>2.2555835284303165E-6</v>
      </c>
      <c r="I5" s="32">
        <f>'Indoor Inputs'!$K$30*LCI!J3/kW_to_W/indoor_annual_bud_yield</f>
        <v>7.5620401455611335E-7</v>
      </c>
      <c r="J5" s="32">
        <f>'Indoor Inputs'!$K$30*LCI!K3/kW_to_W/indoor_annual_bud_yield</f>
        <v>0.32406599495328808</v>
      </c>
      <c r="K5" s="32">
        <f>'Indoor Inputs'!$K$30*LCI!L3/kW_to_W/indoor_annual_bud_yield</f>
        <v>8.1379565869796231</v>
      </c>
      <c r="L5" s="32">
        <f>'Indoor Inputs'!$K$30*LCI!M3/kW_to_W/indoor_annual_bud_yield</f>
        <v>2.7463379031090009E-2</v>
      </c>
      <c r="M5" s="592">
        <f t="shared" si="0"/>
        <v>2.6942015283071422E-3</v>
      </c>
      <c r="N5" s="31" t="s">
        <v>997</v>
      </c>
      <c r="O5" s="31" t="s">
        <v>598</v>
      </c>
      <c r="P5" s="32">
        <f>'Outdoor Inputs'!$J$54/kW_to_W*LCI!D3/outdoor_annual_yield</f>
        <v>1.479982907201966E-3</v>
      </c>
      <c r="Q5" s="32">
        <f>'Indoor Inputs'!$K$30*LCI!R3/kW_to_W/indoor_annual_bud_yield</f>
        <v>0</v>
      </c>
      <c r="R5" s="32">
        <f>'Indoor Inputs'!$K$30*LCI!S3/kW_to_W/indoor_annual_bud_yield</f>
        <v>0</v>
      </c>
      <c r="S5" s="32">
        <f>'Indoor Inputs'!$K$30*LCI!T3/kW_to_W/indoor_annual_bud_yield</f>
        <v>0</v>
      </c>
      <c r="T5" s="32">
        <f>'Indoor Inputs'!$K$30*LCI!U3/kW_to_W/indoor_annual_bud_yield</f>
        <v>0</v>
      </c>
      <c r="U5" s="32">
        <f>'Indoor Inputs'!$K$30*LCI!V3/kW_to_W/indoor_annual_bud_yield</f>
        <v>0</v>
      </c>
      <c r="V5" s="32">
        <f>'Indoor Inputs'!$K$30*LCI!W3/kW_to_W/indoor_annual_bud_yield</f>
        <v>0</v>
      </c>
      <c r="W5" s="32">
        <f>'Indoor Inputs'!$K$30*LCI!X3/kW_to_W/indoor_annual_bud_yield</f>
        <v>0</v>
      </c>
      <c r="X5" s="32">
        <f>'Indoor Inputs'!$K$30*LCI!Y3/kW_to_W/indoor_annual_bud_yield</f>
        <v>0</v>
      </c>
      <c r="Y5" s="32">
        <f>'Indoor Inputs'!$K$30*LCI!Z3/kW_to_W/indoor_annual_bud_yield</f>
        <v>0</v>
      </c>
    </row>
    <row r="6" spans="1:31" ht="30" x14ac:dyDescent="0.25">
      <c r="A6" s="211" t="s">
        <v>2304</v>
      </c>
      <c r="B6" s="31" t="s">
        <v>598</v>
      </c>
      <c r="C6" s="347">
        <f>'Indoor Inputs'!$K$36*LCI!D13/(kW_to_W*MJ_to_kWh*prop_natural_gas_HHV*indoor_annual_bud_yield)</f>
        <v>1.5781668308302546</v>
      </c>
      <c r="D6" s="347">
        <f>'Indoor Inputs'!$K$36*LCI!E13/(kW_to_W*MJ_to_kWh*prop_natural_gas_HHV*indoor_annual_bud_yield)</f>
        <v>506.55315783504699</v>
      </c>
      <c r="E6" s="347">
        <f>'Indoor Inputs'!$K$36*LCI!F13/(kW_to_W*MJ_to_kWh*prop_natural_gas_HHV*indoor_annual_bud_yield)</f>
        <v>0.37088163874206981</v>
      </c>
      <c r="F6" s="347">
        <f>'Indoor Inputs'!$K$36*LCI!G13/(kW_to_W*MJ_to_kWh*prop_natural_gas_HHV*indoor_annual_bud_yield)</f>
        <v>1109.9255737894716</v>
      </c>
      <c r="G6" s="347">
        <f>'Indoor Inputs'!$K$36*LCI!H13/(kW_to_W*MJ_to_kWh*prop_natural_gas_HHV*indoor_annual_bud_yield)</f>
        <v>7.2949273790358707E-6</v>
      </c>
      <c r="H6" s="347">
        <f>'Indoor Inputs'!$K$36*LCI!I13/(kW_to_W*MJ_to_kWh*prop_natural_gas_HHV*indoor_annual_bud_yield)</f>
        <v>1.7050748236644394E-5</v>
      </c>
      <c r="I6" s="347">
        <f>'Indoor Inputs'!$K$36*LCI!J13/(kW_to_W*MJ_to_kWh*prop_natural_gas_HHV*indoor_annual_bud_yield)</f>
        <v>1.3318940596247398E-4</v>
      </c>
      <c r="J6" s="347">
        <f>'Indoor Inputs'!$K$36*LCI!K13/(kW_to_W*MJ_to_kWh*prop_natural_gas_HHV*indoor_annual_bud_yield)</f>
        <v>28.683410190170296</v>
      </c>
      <c r="K6" s="347">
        <f>'Indoor Inputs'!$K$36*LCI!L13/(kW_to_W*MJ_to_kWh*prop_natural_gas_HHV*indoor_annual_bud_yield)</f>
        <v>2633.470770951315</v>
      </c>
      <c r="L6" s="347">
        <f>'Indoor Inputs'!$K$36*LCI!M13/(kW_to_W*MJ_to_kWh*prop_natural_gas_HHV*indoor_annual_bud_yield)</f>
        <v>0.15174336048954984</v>
      </c>
      <c r="M6" s="592">
        <f t="shared" si="0"/>
        <v>0.24166658051941084</v>
      </c>
      <c r="N6" s="149" t="s">
        <v>1274</v>
      </c>
      <c r="O6" s="31" t="s">
        <v>598</v>
      </c>
      <c r="P6" s="347">
        <f>'Indoor Inputs'!$K$36*LCI!D13/(kW_to_W*kWh_to_MJ*prop_natural_gas_HHV*outdoor_annual_yield)</f>
        <v>6.760136660487201E-2</v>
      </c>
      <c r="Q6" s="347">
        <f>'Indoor Inputs'!$K$36*LCI!E13/(kW_to_W*kWh_to_MJ*prop_natural_gas_HHV*outdoor_annual_yield)</f>
        <v>21.698394021909213</v>
      </c>
      <c r="R6" s="347">
        <f>'Indoor Inputs'!$K$36*LCI!F13/(kW_to_W*kWh_to_MJ*prop_natural_gas_HHV*outdoor_annual_yield)</f>
        <v>1.5886853745638686E-2</v>
      </c>
      <c r="S6" s="347">
        <f>'Indoor Inputs'!$K$36*LCI!G13/(kW_to_W*kWh_to_MJ*prop_natural_gas_HHV*outdoor_annual_yield)</f>
        <v>47.544077186308172</v>
      </c>
      <c r="T6" s="347">
        <f>'Indoor Inputs'!$K$36*LCI!H13/(kW_to_W*kWh_to_MJ*prop_natural_gas_HHV*outdoor_annual_yield)</f>
        <v>3.1248094337826324E-7</v>
      </c>
      <c r="U6" s="347">
        <f>'Indoor Inputs'!$K$36*LCI!I13/(kW_to_W*kWh_to_MJ*prop_natural_gas_HHV*outdoor_annual_yield)</f>
        <v>7.3037517955333983E-7</v>
      </c>
      <c r="V6" s="347">
        <f>'Indoor Inputs'!$K$36*LCI!J13/(kW_to_W*kWh_to_MJ*prop_natural_gas_HHV*outdoor_annual_yield)</f>
        <v>5.7052180317448095E-6</v>
      </c>
      <c r="W6" s="347">
        <f>'Indoor Inputs'!$K$36*LCI!K13/(kW_to_W*kWh_to_MJ*prop_natural_gas_HHV*outdoor_annual_yield)</f>
        <v>1.2286646062149964</v>
      </c>
      <c r="X6" s="347">
        <f>'Indoor Inputs'!$K$36*LCI!L13/(kW_to_W*kWh_to_MJ*prop_natural_gas_HHV*outdoor_annual_yield)</f>
        <v>112.80570567855446</v>
      </c>
      <c r="Y6" s="347">
        <f>'Indoor Inputs'!$K$36*LCI!M13/(kW_to_W*kWh_to_MJ*prop_natural_gas_HHV*outdoor_annual_yield)</f>
        <v>6.4999836151116335E-3</v>
      </c>
    </row>
    <row r="7" spans="1:31" ht="30" x14ac:dyDescent="0.25">
      <c r="A7" s="531" t="s">
        <v>2303</v>
      </c>
      <c r="B7" s="149" t="s">
        <v>598</v>
      </c>
      <c r="C7" s="440">
        <f>'Indoor Inputs'!$K$37*LCI!D13/(kW_to_W*MJ_to_kWh*prop_natural_gas_HHV*indoor_annual_bud_yield)</f>
        <v>0.88963228153020479</v>
      </c>
      <c r="D7" s="440">
        <f>'Indoor Inputs'!$K$37*LCI!E13/(kW_to_W*MJ_to_kWh*prop_natural_gas_HHV*indoor_annual_bud_yield)</f>
        <v>285.55031870999551</v>
      </c>
      <c r="E7" s="440">
        <f>'Indoor Inputs'!$K$37*LCI!F13/(kW_to_W*MJ_to_kWh*prop_natural_gas_HHV*indoor_annual_bud_yield)</f>
        <v>0.20907059507655915</v>
      </c>
      <c r="F7" s="440">
        <f>'Indoor Inputs'!$K$37*LCI!G13/(kW_to_W*MJ_to_kWh*prop_natural_gas_HHV*indoor_annual_bud_yield)</f>
        <v>625.67885805810306</v>
      </c>
      <c r="G7" s="440">
        <f>'Indoor Inputs'!$K$37*LCI!H13/(kW_to_W*MJ_to_kWh*prop_natural_gas_HHV*indoor_annual_bud_yield)</f>
        <v>4.1122413429476465E-6</v>
      </c>
      <c r="H7" s="440">
        <f>'Indoor Inputs'!$K$37*LCI!I13/(kW_to_W*MJ_to_kWh*prop_natural_gas_HHV*indoor_annual_bud_yield)</f>
        <v>9.6117189635666668E-6</v>
      </c>
      <c r="I7" s="440">
        <f>'Indoor Inputs'!$K$37*LCI!J13/(kW_to_W*MJ_to_kWh*prop_natural_gas_HHV*indoor_annual_bud_yield)</f>
        <v>7.5080525573910598E-5</v>
      </c>
      <c r="J7" s="440">
        <f>'Indoor Inputs'!$K$37*LCI!K13/(kW_to_W*MJ_to_kWh*prop_natural_gas_HHV*indoor_annual_bud_yield)</f>
        <v>16.169195265701649</v>
      </c>
      <c r="K7" s="440">
        <f>'Indoor Inputs'!$K$37*LCI!L13/(kW_to_W*MJ_to_kWh*prop_natural_gas_HHV*indoor_annual_bud_yield)</f>
        <v>1484.520244968015</v>
      </c>
      <c r="L7" s="440">
        <f>'Indoor Inputs'!$K$37*LCI!M13/(kW_to_W*MJ_to_kWh*prop_natural_gas_HHV*indoor_annual_bud_yield)</f>
        <v>8.553962062956226E-2</v>
      </c>
      <c r="M7" s="592">
        <f t="shared" si="0"/>
        <v>0.13623045878107856</v>
      </c>
      <c r="N7" s="149" t="s">
        <v>1275</v>
      </c>
      <c r="O7" s="53" t="s">
        <v>598</v>
      </c>
      <c r="P7" s="347">
        <f>'Outdoor Inputs'!$J$56/kW_to_W*LCI!D3/outdoor_annual_yield</f>
        <v>7.143773039582997E-4</v>
      </c>
      <c r="Q7" s="347">
        <f>'Outdoor Inputs'!$J$56/kW_to_W*LCI!E3/outdoor_annual_yield</f>
        <v>1.7563287138569734</v>
      </c>
      <c r="R7" s="347">
        <f>'Outdoor Inputs'!$J$56/kW_to_W*LCI!F3/outdoor_annual_yield</f>
        <v>2.3378650531549203E-3</v>
      </c>
      <c r="S7" s="347">
        <f>'Outdoor Inputs'!$J$56/kW_to_W*LCI!G3/outdoor_annual_yield</f>
        <v>0.3818283185721506</v>
      </c>
      <c r="T7" s="347">
        <f>'Outdoor Inputs'!$J$56/kW_to_W*LCI!H3/outdoor_annual_yield</f>
        <v>2.4480644314080454E-8</v>
      </c>
      <c r="U7" s="347">
        <f>'Outdoor Inputs'!$J$56/kW_to_W*LCI!I3/outdoor_annual_yield</f>
        <v>6.9601678046984693E-8</v>
      </c>
      <c r="V7" s="347">
        <f>'Outdoor Inputs'!$J$56/kW_to_W*LCI!J3/outdoor_annual_yield</f>
        <v>2.3334568503255482E-8</v>
      </c>
      <c r="W7" s="347">
        <f>'Outdoor Inputs'!$J$56/kW_to_W*LCI!K3/outdoor_annual_yield</f>
        <v>9.9998677780783179E-3</v>
      </c>
      <c r="X7" s="347">
        <f>'Outdoor Inputs'!$J$56/kW_to_W*LCI!L3/outdoor_annual_yield</f>
        <v>0.25111702900289773</v>
      </c>
      <c r="Y7" s="347">
        <f>'Outdoor Inputs'!$J$56/kW_to_W*LCI!M3/outdoor_annual_yield</f>
        <v>8.4745133191075728E-4</v>
      </c>
    </row>
    <row r="8" spans="1:31" ht="30" x14ac:dyDescent="0.25">
      <c r="A8" s="531" t="s">
        <v>1763</v>
      </c>
      <c r="B8" s="53" t="s">
        <v>598</v>
      </c>
      <c r="C8" s="347">
        <f>'Indoor Inputs'!$K$38*LCI!D13/(kW_to_W*MJ_to_kWh*prop_natural_gas_HHV*indoor_annual_bud_yield)</f>
        <v>1.1780992036724971E-2</v>
      </c>
      <c r="D8" s="347">
        <f>'Indoor Inputs'!$K$38*LCI!E13/(kW_to_W*MJ_to_kWh*prop_natural_gas_HHV*indoor_annual_bud_yield)</f>
        <v>3.7814118267160906</v>
      </c>
      <c r="E8" s="347">
        <f>'Indoor Inputs'!$K$38*LCI!F13/(kW_to_W*MJ_to_kWh*prop_natural_gas_HHV*indoor_annual_bud_yield)</f>
        <v>2.7686259445011707E-3</v>
      </c>
      <c r="F8" s="347">
        <f>'Indoor Inputs'!$K$38*LCI!G13/(kW_to_W*MJ_to_kWh*prop_natural_gas_HHV*indoor_annual_bud_yield)</f>
        <v>8.2855779824570384</v>
      </c>
      <c r="G8" s="347">
        <f>'Indoor Inputs'!$K$38*LCI!H13/(kW_to_W*MJ_to_kWh*prop_natural_gas_HHV*indoor_annual_bud_yield)</f>
        <v>5.4456524926262566E-8</v>
      </c>
      <c r="H8" s="347">
        <f>'Indoor Inputs'!$K$38*LCI!I13/(kW_to_W*MJ_to_kWh*prop_natural_gas_HHV*indoor_annual_bud_yield)</f>
        <v>1.2728358325110163E-7</v>
      </c>
      <c r="I8" s="347">
        <f>'Indoor Inputs'!$K$38*LCI!J13/(kW_to_W*MJ_to_kWh*prop_natural_gas_HHV*indoor_annual_bud_yield)</f>
        <v>9.9425694442871349E-7</v>
      </c>
      <c r="J8" s="347">
        <f>'Indoor Inputs'!$K$38*LCI!K13/(kW_to_W*MJ_to_kWh*prop_natural_gas_HHV*indoor_annual_bud_yield)</f>
        <v>0.21412123258143567</v>
      </c>
      <c r="K8" s="347">
        <f>'Indoor Inputs'!$K$38*LCI!L13/(kW_to_W*MJ_to_kWh*prop_natural_gas_HHV*indoor_annual_bud_yield)</f>
        <v>19.658820332197443</v>
      </c>
      <c r="L8" s="347">
        <f>'Indoor Inputs'!$K$38*LCI!M13/(kW_to_W*MJ_to_kWh*prop_natural_gas_HHV*indoor_annual_bud_yield)</f>
        <v>1.1327619403918104E-3</v>
      </c>
      <c r="M8" s="592">
        <f t="shared" si="0"/>
        <v>1.804037447133471E-3</v>
      </c>
      <c r="N8" s="149" t="s">
        <v>1273</v>
      </c>
      <c r="O8" s="148" t="s">
        <v>598</v>
      </c>
      <c r="P8" s="347">
        <f>'Outdoor Inputs'!$J$62/kW_to_W*LCI!D3/outdoor_annual_yield</f>
        <v>9.7875481075148964E-3</v>
      </c>
      <c r="Q8" s="347">
        <f>'Outdoor Inputs'!$J$62/kW_to_W*LCI!E3/outdoor_annual_yield</f>
        <v>24.063126983788294</v>
      </c>
      <c r="R8" s="347">
        <f>'Outdoor Inputs'!$J$62/kW_to_W*LCI!F3/outdoor_annual_yield</f>
        <v>3.2030646200326855E-2</v>
      </c>
      <c r="S8" s="347">
        <f>'Outdoor Inputs'!$J$62/kW_to_W*LCI!G3/outdoor_annual_yield</f>
        <v>5.2313574579275803</v>
      </c>
      <c r="T8" s="347">
        <f>'Outdoor Inputs'!$J$62/kW_to_W*LCI!H3/outdoor_annual_yield</f>
        <v>3.3540467005235368E-7</v>
      </c>
      <c r="U8" s="347">
        <f>'Outdoor Inputs'!$J$62/kW_to_W*LCI!I3/outdoor_annual_yield</f>
        <v>9.5359940534783792E-7</v>
      </c>
      <c r="V8" s="347">
        <f>'Outdoor Inputs'!$J$62/kW_to_W*LCI!J3/outdoor_annual_yield</f>
        <v>3.1970250248466268E-7</v>
      </c>
      <c r="W8" s="347">
        <f>'Outdoor Inputs'!$J$62/kW_to_W*LCI!K3/outdoor_annual_yield</f>
        <v>0.13700629401916561</v>
      </c>
      <c r="X8" s="347">
        <f>'Outdoor Inputs'!$J$62/kW_to_W*LCI!L3/outdoor_annual_yield</f>
        <v>3.4405068419216542</v>
      </c>
      <c r="Y8" s="347">
        <f>'Outdoor Inputs'!$J$62/kW_to_W*LCI!M3/outdoor_annual_yield</f>
        <v>1.1610770154504076E-2</v>
      </c>
    </row>
    <row r="9" spans="1:31" ht="30" x14ac:dyDescent="0.25">
      <c r="A9" s="531" t="s">
        <v>2305</v>
      </c>
      <c r="B9" s="148" t="s">
        <v>598</v>
      </c>
      <c r="C9" s="347">
        <f>'Indoor Inputs'!$G$35*LCI!D13/(kW_to_W*MJ_to_kWh*prop_natural_gas_HHV*indoor_annual_bud_yield)</f>
        <v>2.2159586072143651E-2</v>
      </c>
      <c r="D9" s="347">
        <f>'Indoor Inputs'!$G$35*LCI!E13/(kW_to_W*MJ_to_kWh*prop_natural_gas_HHV*indoor_annual_bud_yield)</f>
        <v>7.1126880136344974</v>
      </c>
      <c r="E9" s="347">
        <f>'Indoor Inputs'!$G$35*LCI!F13/(kW_to_W*MJ_to_kWh*prop_natural_gas_HHV*indoor_annual_bud_yield)</f>
        <v>5.2076773099830566E-3</v>
      </c>
      <c r="F9" s="347">
        <f>'Indoor Inputs'!$G$35*LCI!G13/(kW_to_W*MJ_to_kWh*prop_natural_gas_HHV*indoor_annual_bud_yield)</f>
        <v>15.584848702669689</v>
      </c>
      <c r="G9" s="347">
        <f>'Indoor Inputs'!$G$35*LCI!H13/(kW_to_W*MJ_to_kWh*prop_natural_gas_HHV*indoor_annual_bud_yield)</f>
        <v>1.0243059731570913E-7</v>
      </c>
      <c r="H9" s="347">
        <f>'Indoor Inputs'!$G$35*LCI!I13/(kW_to_W*MJ_to_kWh*prop_natural_gas_HHV*indoor_annual_bud_yield)</f>
        <v>2.3941545073887867E-7</v>
      </c>
      <c r="I9" s="347">
        <f>'Indoor Inputs'!$G$35*LCI!J13/(kW_to_W*MJ_to_kWh*prop_natural_gas_HHV*indoor_annual_bud_yield)</f>
        <v>1.8701584950752114E-6</v>
      </c>
      <c r="J9" s="347">
        <f>'Indoor Inputs'!$G$35*LCI!K13/(kW_to_W*MJ_to_kWh*prop_natural_gas_HHV*indoor_annual_bud_yield)</f>
        <v>0.40275367884730723</v>
      </c>
      <c r="K9" s="347">
        <f>'Indoor Inputs'!$G$35*LCI!L13/(kW_to_W*MJ_to_kWh*prop_natural_gas_HHV*indoor_annual_bud_yield)</f>
        <v>36.977473532800992</v>
      </c>
      <c r="L9" s="347">
        <f>'Indoor Inputs'!$G$35*LCI!M13/(kW_to_W*MJ_to_kWh*prop_natural_gas_HHV*indoor_annual_bud_yield)</f>
        <v>2.1306809850232967E-3</v>
      </c>
      <c r="M9" s="592">
        <f t="shared" si="0"/>
        <v>3.3933240055255731E-3</v>
      </c>
      <c r="N9" s="149" t="s">
        <v>1284</v>
      </c>
      <c r="O9" s="148" t="s">
        <v>598</v>
      </c>
      <c r="P9" s="347">
        <f>'Outdoor Inputs'!$J$62/kW_to_W*LCI!D3/outdoor_annual_yield</f>
        <v>9.7875481075148964E-3</v>
      </c>
      <c r="Q9" s="347">
        <f>'Outdoor Inputs'!$J$62/kW_to_W*LCI!E3/outdoor_annual_yield</f>
        <v>24.063126983788294</v>
      </c>
      <c r="R9" s="347">
        <f>'Outdoor Inputs'!$J$62/kW_to_W*LCI!F3/outdoor_annual_yield</f>
        <v>3.2030646200326855E-2</v>
      </c>
      <c r="S9" s="347">
        <f>'Outdoor Inputs'!$J$62/kW_to_W*LCI!G3/outdoor_annual_yield</f>
        <v>5.2313574579275803</v>
      </c>
      <c r="T9" s="347">
        <f>'Outdoor Inputs'!$J$62/kW_to_W*LCI!H3/outdoor_annual_yield</f>
        <v>3.3540467005235368E-7</v>
      </c>
      <c r="U9" s="347">
        <f>'Outdoor Inputs'!$J$62/kW_to_W*LCI!I3/outdoor_annual_yield</f>
        <v>9.5359940534783792E-7</v>
      </c>
      <c r="V9" s="347">
        <f>'Outdoor Inputs'!$J$62/kW_to_W*LCI!J3/outdoor_annual_yield</f>
        <v>3.1970250248466268E-7</v>
      </c>
      <c r="W9" s="347">
        <f>'Outdoor Inputs'!$J$62/kW_to_W*LCI!K3/outdoor_annual_yield</f>
        <v>0.13700629401916561</v>
      </c>
      <c r="X9" s="347">
        <f>'Outdoor Inputs'!$J$62/kW_to_W*LCI!L3/outdoor_annual_yield</f>
        <v>3.4405068419216542</v>
      </c>
      <c r="Y9" s="347">
        <f>'Outdoor Inputs'!$J$62/kW_to_W*LCI!M3/outdoor_annual_yield</f>
        <v>1.1610770154504076E-2</v>
      </c>
    </row>
    <row r="10" spans="1:31" x14ac:dyDescent="0.25">
      <c r="A10" s="211" t="s">
        <v>2306</v>
      </c>
      <c r="B10" s="148" t="s">
        <v>598</v>
      </c>
      <c r="C10" s="347">
        <f>'Indoor Inputs'!$G$34*LCI!D3/kW_to_W/indoor_annual_bud_yield</f>
        <v>0.11528822888801399</v>
      </c>
      <c r="D10" s="347">
        <f>'Indoor Inputs'!$G$34*LCI!E3/kW_to_W/indoor_annual_bud_yield</f>
        <v>283.4412930587078</v>
      </c>
      <c r="E10" s="347">
        <f>'Indoor Inputs'!$G$34*LCI!F3/kW_to_W/indoor_annual_bud_yield</f>
        <v>0.3772912715227395</v>
      </c>
      <c r="F10" s="347">
        <f>'Indoor Inputs'!$G$34*LCI!G3/kW_to_W/indoor_annual_bud_yield</f>
        <v>61.620533496177849</v>
      </c>
      <c r="G10" s="347">
        <f>'Indoor Inputs'!$G$34*LCI!H3/kW_to_W/indoor_annual_bud_yield</f>
        <v>3.9507555872358922E-6</v>
      </c>
      <c r="H10" s="347">
        <f>'Indoor Inputs'!$G$34*LCI!I3/kW_to_W/indoor_annual_bud_yield</f>
        <v>1.123251557014615E-5</v>
      </c>
      <c r="I10" s="347">
        <f>'Indoor Inputs'!$G$34*LCI!J3/kW_to_W/indoor_annual_bud_yield</f>
        <v>3.7657986328795731E-6</v>
      </c>
      <c r="J10" s="347">
        <f>'Indoor Inputs'!$G$34*LCI!K3/kW_to_W/indoor_annual_bud_yield</f>
        <v>1.6138069320806212</v>
      </c>
      <c r="K10" s="347">
        <f>'Indoor Inputs'!$G$34*LCI!L3/kW_to_W/indoor_annual_bud_yield</f>
        <v>40.525976059079923</v>
      </c>
      <c r="L10" s="347">
        <f>'Indoor Inputs'!$G$34*LCI!M3/kW_to_W/indoor_annual_bud_yield</f>
        <v>0.13676409172495604</v>
      </c>
      <c r="M10" s="592">
        <f t="shared" si="0"/>
        <v>1.3416776738426364E-2</v>
      </c>
      <c r="O10" s="148"/>
      <c r="P10" s="347"/>
      <c r="Q10" s="347"/>
      <c r="R10" s="347"/>
      <c r="S10" s="347"/>
      <c r="T10" s="347"/>
      <c r="U10" s="347"/>
      <c r="V10" s="347"/>
      <c r="W10" s="347"/>
      <c r="X10" s="347"/>
      <c r="Y10" s="347"/>
    </row>
    <row r="11" spans="1:31" x14ac:dyDescent="0.25">
      <c r="A11" s="531" t="s">
        <v>1761</v>
      </c>
      <c r="B11" s="148" t="s">
        <v>598</v>
      </c>
      <c r="C11" s="347">
        <f>'Indoor Inputs'!$K$32*LCI!D3/kW_to_W/indoor_annual_bud_yield</f>
        <v>6.7859722821638241E-2</v>
      </c>
      <c r="D11" s="347">
        <f>'Indoor Inputs'!$K$32*LCI!E3/kW_to_W/indoor_annual_bud_yield</f>
        <v>166.83617892902112</v>
      </c>
      <c r="E11" s="347">
        <f>'Indoor Inputs'!$K$32*LCI!F3/kW_to_W/indoor_annual_bud_yield</f>
        <v>0.22207714833945524</v>
      </c>
      <c r="F11" s="347">
        <f>'Indoor Inputs'!$K$32*LCI!G3/kW_to_W/indoor_annual_bud_yield</f>
        <v>36.270418615189961</v>
      </c>
      <c r="G11" s="347">
        <f>'Indoor Inputs'!$K$32*LCI!H3/kW_to_W/indoor_annual_bud_yield</f>
        <v>2.3254514504363171E-6</v>
      </c>
      <c r="H11" s="347">
        <f>'Indoor Inputs'!$K$32*LCI!I3/kW_to_W/indoor_annual_bud_yield</f>
        <v>6.6115630410131117E-6</v>
      </c>
      <c r="I11" s="347">
        <f>'Indoor Inputs'!$K$32*LCI!J3/kW_to_W/indoor_annual_bud_yield</f>
        <v>2.2165840684181076E-6</v>
      </c>
      <c r="J11" s="347">
        <f>'Indoor Inputs'!$K$32*LCI!K3/kW_to_W/indoor_annual_bud_yield</f>
        <v>0.94990175627561269</v>
      </c>
      <c r="K11" s="347">
        <f>'Indoor Inputs'!$K$32*LCI!L3/kW_to_W/indoor_annual_bud_yield</f>
        <v>23.853966089780265</v>
      </c>
      <c r="L11" s="347">
        <f>'Indoor Inputs'!$K$32*LCI!M3/kW_to_W/indoor_annual_bud_yield</f>
        <v>8.050061524861804E-2</v>
      </c>
      <c r="M11" s="592">
        <f t="shared" si="0"/>
        <v>7.8972394615741456E-3</v>
      </c>
      <c r="O11" s="148"/>
      <c r="P11" s="347"/>
      <c r="Q11" s="347"/>
      <c r="R11" s="347"/>
      <c r="S11" s="347"/>
      <c r="T11" s="347"/>
      <c r="U11" s="347"/>
      <c r="V11" s="347"/>
      <c r="W11" s="347"/>
      <c r="X11" s="347"/>
      <c r="Y11" s="347"/>
    </row>
    <row r="12" spans="1:31" x14ac:dyDescent="0.25">
      <c r="A12" s="531" t="s">
        <v>1762</v>
      </c>
      <c r="B12" s="148" t="s">
        <v>598</v>
      </c>
      <c r="C12" s="347">
        <f>'Indoor Inputs'!$K$33*LCI!D13/(kW_to_W*MJ_to_kWh*prop_natural_gas_HHV*indoor_annual_bud_yield)</f>
        <v>3.4392206233890346E-2</v>
      </c>
      <c r="D12" s="347">
        <f>'Indoor Inputs'!$K$33*LCI!E13/(kW_to_W*MJ_to_kWh*prop_natural_gas_HHV*indoor_annual_bud_yield)</f>
        <v>11.039061480924747</v>
      </c>
      <c r="E12" s="347">
        <f>'Indoor Inputs'!$K$33*LCI!F13/(kW_to_W*MJ_to_kWh*prop_natural_gas_HHV*indoor_annual_bud_yield)</f>
        <v>8.0824394219906389E-3</v>
      </c>
      <c r="F12" s="347">
        <f>'Indoor Inputs'!$K$33*LCI!G13/(kW_to_W*MJ_to_kWh*prop_natural_gas_HHV*indoor_annual_bud_yield)</f>
        <v>24.188056986316422</v>
      </c>
      <c r="G12" s="347">
        <f>'Indoor Inputs'!$K$33*LCI!H13/(kW_to_W*MJ_to_kWh*prop_natural_gas_HHV*indoor_annual_bud_yield)</f>
        <v>1.5897473066840805E-7</v>
      </c>
      <c r="H12" s="347">
        <f>'Indoor Inputs'!$K$33*LCI!I13/(kW_to_W*MJ_to_kWh*prop_natural_gas_HHV*indoor_annual_bud_yield)</f>
        <v>3.7157849115882845E-7</v>
      </c>
      <c r="I12" s="347">
        <f>'Indoor Inputs'!$K$33*LCI!J13/(kW_to_W*MJ_to_kWh*prop_natural_gas_HHV*indoor_annual_bud_yield)</f>
        <v>2.9025305997724656E-6</v>
      </c>
      <c r="J12" s="347">
        <f>'Indoor Inputs'!$K$33*LCI!K13/(kW_to_W*MJ_to_kWh*prop_natural_gas_HHV*indoor_annual_bud_yield)</f>
        <v>0.62508331785976678</v>
      </c>
      <c r="K12" s="347">
        <f>'Indoor Inputs'!$K$33*LCI!L13/(kW_to_W*MJ_to_kWh*prop_natural_gas_HHV*indoor_annual_bud_yield)</f>
        <v>57.389921075601102</v>
      </c>
      <c r="L12" s="347">
        <f>'Indoor Inputs'!$K$33*LCI!M13/(kW_to_W*MJ_to_kWh*prop_natural_gas_HHV*indoor_annual_bud_yield)</f>
        <v>3.3068677193238329E-3</v>
      </c>
      <c r="M12" s="592">
        <f t="shared" si="0"/>
        <v>5.2665198093728108E-3</v>
      </c>
      <c r="N12" s="149" t="s">
        <v>552</v>
      </c>
      <c r="O12" s="31" t="s">
        <v>598</v>
      </c>
      <c r="P12" s="347">
        <f>'Outdoor Inputs'!$J$57/kW_to_W*LCI!D3/outdoor_annual_yield</f>
        <v>7.0524048278940788E-3</v>
      </c>
      <c r="Q12" s="347">
        <f>'Outdoor Inputs'!$J$57/kW_to_W*LCI!E3/outdoor_annual_yield</f>
        <v>17.338654283027086</v>
      </c>
      <c r="R12" s="347">
        <f>'Outdoor Inputs'!$J$57/kW_to_W*LCI!F3/outdoor_annual_yield</f>
        <v>2.3079639703667065E-2</v>
      </c>
      <c r="S12" s="347">
        <f>'Outdoor Inputs'!$J$57/kW_to_W*LCI!G3/outdoor_annual_yield</f>
        <v>3.7694476887833783</v>
      </c>
      <c r="T12" s="347">
        <f>'Outdoor Inputs'!$J$57/kW_to_W*LCI!H3/outdoor_annual_yield</f>
        <v>2.4167539085292198E-7</v>
      </c>
      <c r="U12" s="347">
        <f>'Outdoor Inputs'!$J$57/kW_to_W*LCI!I3/outdoor_annual_yield</f>
        <v>6.8711478873737714E-7</v>
      </c>
      <c r="V12" s="347">
        <f>'Outdoor Inputs'!$J$57/kW_to_W*LCI!J3/outdoor_annual_yield</f>
        <v>2.3036121480532114E-7</v>
      </c>
      <c r="W12" s="347">
        <f>'Outdoor Inputs'!$J$57/kW_to_W*LCI!K3/outdoor_annual_yield</f>
        <v>9.8719703727511765E-2</v>
      </c>
      <c r="X12" s="347">
        <f>'Outdoor Inputs'!$J$57/kW_to_W*LCI!L3/outdoor_annual_yield</f>
        <v>2.4790526489204234</v>
      </c>
      <c r="Y12" s="347">
        <f>'Outdoor Inputs'!$J$57/kW_to_W*LCI!M3/outdoor_annual_yield</f>
        <v>8.3661250594847594E-3</v>
      </c>
    </row>
    <row r="13" spans="1:31" x14ac:dyDescent="0.25">
      <c r="A13" s="564" t="s">
        <v>552</v>
      </c>
      <c r="B13" s="31" t="s">
        <v>598</v>
      </c>
      <c r="C13" s="347">
        <f>'Indoor Inputs'!$K$39/kW_to_W/indoor_annual_bud_yield*LCI!D3</f>
        <v>1.565751811762258</v>
      </c>
      <c r="D13" s="347">
        <f>'Indoor Inputs'!$K$39/kW_to_W/indoor_annual_bud_yield*LCI!E3</f>
        <v>3849.4712115492362</v>
      </c>
      <c r="E13" s="347">
        <f>'Indoor Inputs'!$K$39/kW_to_W/indoor_annual_bud_yield*LCI!F3</f>
        <v>5.1240659835501425</v>
      </c>
      <c r="F13" s="347">
        <f>'Indoor Inputs'!$K$39/kW_to_W/indoor_annual_bud_yield*LCI!G3</f>
        <v>836.88042477533656</v>
      </c>
      <c r="G13" s="347">
        <f>'Indoor Inputs'!$K$39/kW_to_W/indoor_annual_bud_yield*LCI!H3</f>
        <v>5.3655978396139477E-5</v>
      </c>
      <c r="H13" s="347">
        <f>'Indoor Inputs'!$K$39/kW_to_W/indoor_annual_bud_yield*LCI!I3</f>
        <v>1.5255097397400114E-4</v>
      </c>
      <c r="I13" s="347">
        <f>'Indoor Inputs'!$K$39/kW_to_W/indoor_annual_bud_yield*LCI!J3</f>
        <v>5.1144042102428711E-5</v>
      </c>
      <c r="J13" s="347">
        <f>'Indoor Inputs'!$K$39/kW_to_W/indoor_annual_bud_yield*LCI!K3</f>
        <v>21.917425153561592</v>
      </c>
      <c r="K13" s="347">
        <f>'Indoor Inputs'!$K$39/kW_to_W/indoor_annual_bud_yield*LCI!L3</f>
        <v>550.39114617307894</v>
      </c>
      <c r="L13" s="347">
        <f>'Indoor Inputs'!$K$39/kW_to_W/indoor_annual_bud_yield*LCI!M3</f>
        <v>1.8574196730038641</v>
      </c>
      <c r="M13" s="592">
        <f t="shared" si="0"/>
        <v>0.18221584882361602</v>
      </c>
      <c r="N13" s="287" t="s">
        <v>998</v>
      </c>
      <c r="O13" s="288" t="s">
        <v>598</v>
      </c>
      <c r="P13" s="348">
        <f>'Outdoor Inputs'!$J$60*gals_to_liters/m3_to_liters*prop_water_density*LCI!D14/outdoor_annual_yield</f>
        <v>1.554411909948432E-2</v>
      </c>
      <c r="Q13" s="348">
        <f>'Outdoor Inputs'!$J$60*gals_to_liters/m3_to_liters*prop_water_density*LCI!E14/outdoor_annual_yield</f>
        <v>10.936983863915684</v>
      </c>
      <c r="R13" s="348">
        <f>'Outdoor Inputs'!$J$60*gals_to_liters/m3_to_liters*prop_water_density*LCI!F14/outdoor_annual_yield</f>
        <v>1.2265594996880163E-2</v>
      </c>
      <c r="S13" s="348">
        <f>'Outdoor Inputs'!$J$60*gals_to_liters/m3_to_liters*prop_water_density*LCI!G14/outdoor_annual_yield</f>
        <v>3.4629737544596004</v>
      </c>
      <c r="T13" s="348">
        <f>'Outdoor Inputs'!$J$60*gals_to_liters/m3_to_liters*prop_water_density*LCI!H14/outdoor_annual_yield</f>
        <v>1.9053804336103965E-7</v>
      </c>
      <c r="U13" s="348">
        <f>'Outdoor Inputs'!$J$60*gals_to_liters/m3_to_liters*prop_water_density*LCI!I14/outdoor_annual_yield</f>
        <v>5.1412294545546676E-7</v>
      </c>
      <c r="V13" s="348">
        <f>'Outdoor Inputs'!$J$60*gals_to_liters/m3_to_liters*prop_water_density*LCI!J14/outdoor_annual_yield</f>
        <v>2.0000911996800935E-7</v>
      </c>
      <c r="W13" s="348">
        <f>'Outdoor Inputs'!$J$60*gals_to_liters/m3_to_liters*prop_water_density*LCI!K14/outdoor_annual_yield</f>
        <v>0.1755010020651869</v>
      </c>
      <c r="X13" s="348">
        <f>'Outdoor Inputs'!$J$60*gals_to_liters/m3_to_liters*prop_water_density*LCI!L14/outdoor_annual_yield</f>
        <v>2.1547906056602617</v>
      </c>
      <c r="Y13" s="348">
        <f>'Outdoor Inputs'!$J$60*gals_to_liters/m3_to_liters*prop_water_density*LCI!M14/outdoor_annual_yield</f>
        <v>5.0658829507847121E-3</v>
      </c>
    </row>
    <row r="14" spans="1:31" ht="45" x14ac:dyDescent="0.25">
      <c r="A14" s="287" t="s">
        <v>998</v>
      </c>
      <c r="B14" s="288" t="s">
        <v>598</v>
      </c>
      <c r="C14" s="348">
        <f>'Indoor Inputs'!$K$45*gals_to_liters/m3_to_liters*prop_water_density*LCI!D14/indoor_annual_bud_yield</f>
        <v>8.4110755931304324E-3</v>
      </c>
      <c r="D14" s="348">
        <f>'Indoor Inputs'!$K$45*gals_to_liters/m3_to_liters*prop_water_density*LCI!E14/indoor_annual_bud_yield</f>
        <v>5.9181094439307547</v>
      </c>
      <c r="E14" s="348">
        <f>'Indoor Inputs'!$K$45*gals_to_liters/m3_to_liters*prop_water_density*LCI!F14/indoor_annual_bud_yield</f>
        <v>6.6370339839266976E-3</v>
      </c>
      <c r="F14" s="348">
        <f>'Indoor Inputs'!$K$45*gals_to_liters/m3_to_liters*prop_water_density*LCI!G14/indoor_annual_bud_yield</f>
        <v>1.8738491283660272</v>
      </c>
      <c r="G14" s="348">
        <f>'Indoor Inputs'!$K$45*gals_to_liters/m3_to_liters*prop_water_density*LCI!H14/indoor_annual_bud_yield</f>
        <v>1.0310200763515999E-7</v>
      </c>
      <c r="H14" s="348">
        <f>'Indoor Inputs'!$K$45*gals_to_liters/m3_to_liters*prop_water_density*LCI!I14/indoor_annual_bud_yield</f>
        <v>2.7819697795111883E-7</v>
      </c>
      <c r="I14" s="348">
        <f>'Indoor Inputs'!$K$45*gals_to_liters/m3_to_liters*prop_water_density*LCI!J14/indoor_annual_bud_yield</f>
        <v>1.0822690025723172E-7</v>
      </c>
      <c r="J14" s="348">
        <f>'Indoor Inputs'!$K$45*gals_to_liters/m3_to_liters*prop_water_density*LCI!K14/indoor_annual_bud_yield</f>
        <v>9.4965316824508816E-2</v>
      </c>
      <c r="K14" s="348">
        <f>'Indoor Inputs'!$K$45*gals_to_liters/m3_to_liters*prop_water_density*LCI!L14/indoor_annual_bud_yield</f>
        <v>1.1659783713428342</v>
      </c>
      <c r="L14" s="348">
        <f>'Indoor Inputs'!$K$45*gals_to_liters/m3_to_liters*prop_water_density*LCI!M14/indoor_annual_bud_yield</f>
        <v>2.7411990459089088E-3</v>
      </c>
      <c r="M14" s="592">
        <f t="shared" si="0"/>
        <v>4.0799736663009022E-4</v>
      </c>
      <c r="N14" s="149" t="str">
        <f>'LCI Support'!M6</f>
        <v>agricultural machinery, general, production</v>
      </c>
      <c r="O14" s="288" t="s">
        <v>598</v>
      </c>
      <c r="P14" s="347">
        <f>'LCI Support'!$U$6*LCI!D22*('Outdoor Inputs'!$J$6/acre_to_m2)*acre_to_ha/outdoor_annual_yield</f>
        <v>4.6009375281821376E-4</v>
      </c>
      <c r="Q14" s="347">
        <f>'LCI Support'!$U$6*LCI!E22*('Outdoor Inputs'!$J$6/acre_to_m2)*acre_to_ha/outdoor_annual_yield</f>
        <v>0.71641436480942366</v>
      </c>
      <c r="R14" s="347">
        <f>'LCI Support'!$U$6*LCI!F22*('Outdoor Inputs'!$J$6/acre_to_m2)*acre_to_ha/outdoor_annual_yield</f>
        <v>3.9143708616063479E-4</v>
      </c>
      <c r="S14" s="347">
        <f>'LCI Support'!$U$6*LCI!G22*('Outdoor Inputs'!$J$6/acre_to_m2)*acre_to_ha/outdoor_annual_yield</f>
        <v>0.10040783889417157</v>
      </c>
      <c r="T14" s="347">
        <f>'LCI Support'!$U$6*LCI!H22*('Outdoor Inputs'!$J$6/acre_to_m2)*acre_to_ha/outdoor_annual_yield</f>
        <v>1.6373937723465503E-8</v>
      </c>
      <c r="U14" s="347">
        <f>'LCI Support'!$U$6*LCI!I22*('Outdoor Inputs'!$J$6/acre_to_m2)*acre_to_ha/outdoor_annual_yield</f>
        <v>2.5345839241034173E-8</v>
      </c>
      <c r="V14" s="347">
        <f>'LCI Support'!$U$6*LCI!J22*('Outdoor Inputs'!$J$6/acre_to_m2)*acre_to_ha/outdoor_annual_yield</f>
        <v>5.8599560619878994E-9</v>
      </c>
      <c r="W14" s="347">
        <f>'LCI Support'!$U$6*LCI!K22*('Outdoor Inputs'!$J$6/acre_to_m2)*acre_to_ha/outdoor_annual_yield</f>
        <v>4.6614857483844386E-3</v>
      </c>
      <c r="X14" s="347">
        <f>'LCI Support'!$U$6*LCI!L22*('Outdoor Inputs'!$J$6/acre_to_m2)*acre_to_ha/outdoor_annual_yield</f>
        <v>6.008189283412723E-2</v>
      </c>
      <c r="Y14" s="347">
        <f>'LCI Support'!$U$6*LCI!M22*('Outdoor Inputs'!$J$6/acre_to_m2)*acre_to_ha/outdoor_annual_yield</f>
        <v>1.1757706090868691E-4</v>
      </c>
      <c r="Z14" s="347"/>
      <c r="AA14" s="347"/>
      <c r="AB14" s="347"/>
      <c r="AC14" s="347"/>
      <c r="AD14" s="347"/>
      <c r="AE14" s="347"/>
    </row>
    <row r="15" spans="1:31" ht="30" x14ac:dyDescent="0.25">
      <c r="A15" s="565" t="s">
        <v>1286</v>
      </c>
      <c r="B15" s="288" t="s">
        <v>598</v>
      </c>
      <c r="C15" s="348">
        <f>'Indoor Inputs'!$K$44/kW_to_W*LCI!D3/indoor_annual_bud_yield</f>
        <v>2.8471888530559632E-3</v>
      </c>
      <c r="D15" s="348">
        <f>'Indoor Inputs'!$K$44/kW_to_W*LCI!E3/indoor_annual_bud_yield</f>
        <v>6.999941779627969</v>
      </c>
      <c r="E15" s="348">
        <f>'Indoor Inputs'!$K$44/kW_to_W*LCI!F3/indoor_annual_bud_yield</f>
        <v>9.3176858816896649E-3</v>
      </c>
      <c r="F15" s="348">
        <f>'Indoor Inputs'!$K$44/kW_to_W*LCI!G3/indoor_annual_bud_yield</f>
        <v>1.5217971321261181</v>
      </c>
      <c r="G15" s="348">
        <f>'Indoor Inputs'!$K$44/kW_to_W*LCI!H3/indoor_annual_bud_yield</f>
        <v>9.7568913822528662E-8</v>
      </c>
      <c r="H15" s="348">
        <f>'Indoor Inputs'!$K$44/kW_to_W*LCI!I3/indoor_annual_bud_yield</f>
        <v>2.7740120072590167E-7</v>
      </c>
      <c r="I15" s="348">
        <f>'Indoor Inputs'!$K$44/kW_to_W*LCI!J3/indoor_annual_bud_yield</f>
        <v>9.3001167541596411E-8</v>
      </c>
      <c r="J15" s="348">
        <f>'Indoor Inputs'!$K$44/kW_to_W*LCI!K3/indoor_annual_bud_yield</f>
        <v>3.9855006467898725E-2</v>
      </c>
      <c r="K15" s="348">
        <f>'Indoor Inputs'!$K$44/kW_to_W*LCI!L3/indoor_annual_bud_yield</f>
        <v>1.0008403148139722</v>
      </c>
      <c r="L15" s="348">
        <f>'Indoor Inputs'!$K$44/kW_to_W*LCI!M3/indoor_annual_bud_yield</f>
        <v>3.3775624902335683E-3</v>
      </c>
      <c r="M15" s="592">
        <f t="shared" si="0"/>
        <v>3.3134429717620185E-4</v>
      </c>
      <c r="N15" s="149" t="str">
        <f>'LCI Support'!M7</f>
        <v>diesel, at regional storage</v>
      </c>
      <c r="O15" s="288" t="s">
        <v>598</v>
      </c>
      <c r="P15" s="347">
        <f>'LCI Support'!$U$7*LCI!D23*('Outdoor Inputs'!$J$6/acre_to_m2)*acre_to_ha/outdoor_annual_yield</f>
        <v>1.4817975834820004E-4</v>
      </c>
      <c r="Q15" s="347">
        <f>'LCI Support'!$U$7*LCI!E23*('Outdoor Inputs'!$J$6/acre_to_m2)*acre_to_ha/outdoor_annual_yield</f>
        <v>2.6696039034335198E-3</v>
      </c>
      <c r="R15" s="347">
        <f>'LCI Support'!$U$7*LCI!F23*('Outdoor Inputs'!$J$6/acre_to_m2)*acre_to_ha/outdoor_annual_yield</f>
        <v>1.3691498067010391E-5</v>
      </c>
      <c r="S15" s="347">
        <f>'LCI Support'!$U$7*LCI!G23*('Outdoor Inputs'!$J$6/acre_to_m2)*acre_to_ha/outdoor_annual_yield</f>
        <v>1.1432323811556309E-2</v>
      </c>
      <c r="T15" s="347">
        <f>'LCI Support'!$U$7*LCI!H23*('Outdoor Inputs'!$J$6/acre_to_m2)*acre_to_ha/outdoor_annual_yield</f>
        <v>5.1510033124758965E-11</v>
      </c>
      <c r="U15" s="347">
        <f>'LCI Support'!$U$7*LCI!I23*('Outdoor Inputs'!$J$6/acre_to_m2)*acre_to_ha/outdoor_annual_yield</f>
        <v>1.1019167449683256E-10</v>
      </c>
      <c r="V15" s="347">
        <f>'LCI Support'!$U$7*LCI!J23*('Outdoor Inputs'!$J$6/acre_to_m2)*acre_to_ha/outdoor_annual_yield</f>
        <v>2.7654863233226864E-9</v>
      </c>
      <c r="W15" s="347">
        <f>'LCI Support'!$U$7*LCI!K23*('Outdoor Inputs'!$J$6/acre_to_m2)*acre_to_ha/outdoor_annual_yield</f>
        <v>4.8080869530977288E-3</v>
      </c>
      <c r="X15" s="347">
        <f>'LCI Support'!$U$7*LCI!L23*('Outdoor Inputs'!$J$6/acre_to_m2)*acre_to_ha/outdoor_annual_yield</f>
        <v>2.3047538899625655E-2</v>
      </c>
      <c r="Y15" s="347">
        <f>'LCI Support'!$U$7*LCI!M23*('Outdoor Inputs'!$J$6/acre_to_m2)*acre_to_ha/outdoor_annual_yield</f>
        <v>4.3298285486457528E-6</v>
      </c>
    </row>
    <row r="16" spans="1:31" x14ac:dyDescent="0.25">
      <c r="A16" s="565" t="s">
        <v>1282</v>
      </c>
      <c r="B16" s="288" t="s">
        <v>598</v>
      </c>
      <c r="C16" s="348">
        <f>'Indoor Inputs'!$K$40/kW_to_W*LCI!D3/indoor_annual_bud_yield</f>
        <v>3.7722804352421768E-3</v>
      </c>
      <c r="D16" s="348">
        <f>'Indoor Inputs'!$K$40/kW_to_W*LCI!E3/indoor_annual_bud_yield</f>
        <v>9.2743210183556712</v>
      </c>
      <c r="E16" s="348">
        <f>'Indoor Inputs'!$K$40/kW_to_W*LCI!F3/indoor_annual_bud_yield</f>
        <v>1.2345132679029671E-2</v>
      </c>
      <c r="F16" s="348">
        <f>'Indoor Inputs'!$K$40/kW_to_W*LCI!G3/indoor_annual_bud_yield</f>
        <v>2.0162503592852374</v>
      </c>
      <c r="G16" s="348">
        <f>'Indoor Inputs'!$K$40/kW_to_W*LCI!H3/indoor_annual_bud_yield</f>
        <v>1.2927042205349647E-7</v>
      </c>
      <c r="H16" s="348">
        <f>'Indoor Inputs'!$K$40/kW_to_W*LCI!I3/indoor_annual_bud_yield</f>
        <v>3.6753274061460319E-7</v>
      </c>
      <c r="I16" s="348">
        <f>'Indoor Inputs'!$K$40/kW_to_W*LCI!J3/indoor_annual_bud_yield</f>
        <v>1.2321855095607464E-7</v>
      </c>
      <c r="J16" s="348">
        <f>'Indoor Inputs'!$K$40/kW_to_W*LCI!K3/indoor_annual_bud_yield</f>
        <v>5.28044569238659E-2</v>
      </c>
      <c r="K16" s="348">
        <f>'Indoor Inputs'!$K$40/kW_to_W*LCI!L3/indoor_annual_bud_yield</f>
        <v>1.3260273670719374</v>
      </c>
      <c r="L16" s="348">
        <f>'Indoor Inputs'!$K$40/kW_to_W*LCI!M3/indoor_annual_bud_yield</f>
        <v>4.4749799041396785E-3</v>
      </c>
      <c r="M16" s="592">
        <f t="shared" si="0"/>
        <v>4.3900270550205323E-4</v>
      </c>
      <c r="N16" s="149" t="str">
        <f>'LCI Support'!M8</f>
        <v>shed</v>
      </c>
      <c r="O16" s="288" t="s">
        <v>598</v>
      </c>
      <c r="P16" s="347">
        <f>'LCI Support'!$U$8*LCI!D24*('Outdoor Inputs'!$J$6/acre_to_m2)*acre_to_ha/outdoor_annual_yield</f>
        <v>4.6061460728378834E-5</v>
      </c>
      <c r="Q16" s="347">
        <f>'LCI Support'!$U$8*LCI!E24*('Outdoor Inputs'!$J$6/acre_to_m2)*acre_to_ha/outdoor_annual_yield</f>
        <v>0.11782294983983863</v>
      </c>
      <c r="R16" s="347">
        <f>'LCI Support'!$U$8*LCI!F24*('Outdoor Inputs'!$J$6/acre_to_m2)*acre_to_ha/outdoor_annual_yield</f>
        <v>3.6904822552711088E-5</v>
      </c>
      <c r="S16" s="347">
        <f>'LCI Support'!$U$8*LCI!G24*('Outdoor Inputs'!$J$6/acre_to_m2)*acre_to_ha/outdoor_annual_yield</f>
        <v>1.5359229492216573E-2</v>
      </c>
      <c r="T16" s="347">
        <f>'LCI Support'!$U$8*LCI!H24*('Outdoor Inputs'!$J$6/acre_to_m2)*acre_to_ha/outdoor_annual_yield</f>
        <v>1.6288371788005858E-9</v>
      </c>
      <c r="U16" s="347">
        <f>'LCI Support'!$U$8*LCI!I24*('Outdoor Inputs'!$J$6/acre_to_m2)*acre_to_ha/outdoor_annual_yield</f>
        <v>5.2329156714294265E-9</v>
      </c>
      <c r="V16" s="347">
        <f>'LCI Support'!$U$8*LCI!J24*('Outdoor Inputs'!$J$6/acre_to_m2)*acre_to_ha/outdoor_annual_yield</f>
        <v>8.0414500855202174E-10</v>
      </c>
      <c r="W16" s="347">
        <f>'LCI Support'!$U$8*LCI!K24*('Outdoor Inputs'!$J$6/acre_to_m2)*acre_to_ha/outdoor_annual_yield</f>
        <v>6.9626089372666253E-4</v>
      </c>
      <c r="X16" s="347">
        <f>'LCI Support'!$U$8*LCI!L24*('Outdoor Inputs'!$J$6/acre_to_m2)*acre_to_ha/outdoor_annual_yield</f>
        <v>7.8754894706575384E-3</v>
      </c>
      <c r="Y16" s="347">
        <f>'LCI Support'!$U$8*LCI!M24*('Outdoor Inputs'!$J$6/acre_to_m2)*acre_to_ha/outdoor_annual_yield</f>
        <v>8.1388686196333662E-6</v>
      </c>
      <c r="Z16" s="290"/>
      <c r="AA16" s="290"/>
      <c r="AB16" s="290"/>
      <c r="AC16" s="290"/>
      <c r="AD16" s="290"/>
      <c r="AE16" s="290"/>
    </row>
    <row r="17" spans="1:31" x14ac:dyDescent="0.25">
      <c r="A17" s="287" t="s">
        <v>721</v>
      </c>
      <c r="B17" s="287" t="s">
        <v>598</v>
      </c>
      <c r="C17" s="348">
        <f>'Indoor Inputs'!$K$47*LCI!D15/kg_to_lb/indoor_annual_bud_yield</f>
        <v>1.821375128929601</v>
      </c>
      <c r="D17" s="348">
        <f>'Indoor Inputs'!$K$47*LCI!E15/kg_to_lb/indoor_annual_bud_yield</f>
        <v>2712.9060844454293</v>
      </c>
      <c r="E17" s="348">
        <f>'Indoor Inputs'!$K$47*LCI!F15/kg_to_lb/indoor_annual_bud_yield</f>
        <v>1.55481126493344</v>
      </c>
      <c r="F17" s="348">
        <f>'Indoor Inputs'!$K$47*LCI!G15/kg_to_lb/indoor_annual_bud_yield</f>
        <v>573.97799175148657</v>
      </c>
      <c r="G17" s="348">
        <f>'Indoor Inputs'!$K$47*LCI!H15/kg_to_lb/indoor_annual_bud_yield</f>
        <v>2.4812777014100626E-5</v>
      </c>
      <c r="H17" s="348">
        <f>'Indoor Inputs'!$K$47*LCI!I15/kg_to_lb/indoor_annual_bud_yield</f>
        <v>1.2778076847024772E-4</v>
      </c>
      <c r="I17" s="348">
        <f>'Indoor Inputs'!$K$47*LCI!J15/kg_to_lb/indoor_annual_bud_yield</f>
        <v>2.5678298100356842E-5</v>
      </c>
      <c r="J17" s="348">
        <f>'Indoor Inputs'!$K$47*LCI!K15/kg_to_lb/indoor_annual_bud_yield</f>
        <v>76.371937265292971</v>
      </c>
      <c r="K17" s="348">
        <f>'Indoor Inputs'!$K$47*LCI!L15/kg_to_lb/indoor_annual_bud_yield</f>
        <v>410.8727157130603</v>
      </c>
      <c r="L17" s="348">
        <f>'Indoor Inputs'!$K$47*LCI!M15/kg_to_lb/indoor_annual_bud_yield</f>
        <v>0.44695784036917491</v>
      </c>
      <c r="M17" s="592">
        <f t="shared" si="0"/>
        <v>0.12497351339189057</v>
      </c>
      <c r="O17" s="288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290"/>
      <c r="AA17" s="290"/>
      <c r="AB17" s="290"/>
      <c r="AC17" s="290"/>
      <c r="AD17" s="290"/>
      <c r="AE17" s="290"/>
    </row>
    <row r="18" spans="1:31" x14ac:dyDescent="0.25">
      <c r="A18" s="287" t="s">
        <v>1862</v>
      </c>
      <c r="B18" s="287" t="s">
        <v>598</v>
      </c>
      <c r="C18" s="348">
        <f>'Indoor Inputs'!$K$23*'Indoor Inputs'!$K$29*'Indoor Inputs'!$K$17*LCI!D32/indoor_annual_bud_yield</f>
        <v>8.7106309655617057E-3</v>
      </c>
      <c r="D18" s="348">
        <f>'Indoor Inputs'!$K$23*'Indoor Inputs'!$K$29*'Indoor Inputs'!$K$17*LCI!E32/indoor_annual_bud_yield</f>
        <v>6.0902759993390037</v>
      </c>
      <c r="E18" s="348">
        <f>'Indoor Inputs'!$K$23*'Indoor Inputs'!$K$29*'Indoor Inputs'!$K$17*LCI!F32/indoor_annual_bud_yield</f>
        <v>3.9737553447075366E-3</v>
      </c>
      <c r="F18" s="348">
        <f>'Indoor Inputs'!$K$23*'Indoor Inputs'!$K$29*'Indoor Inputs'!$K$17*LCI!G32/indoor_annual_bud_yield</f>
        <v>2.0966714736283056</v>
      </c>
      <c r="G18" s="348">
        <f>'Indoor Inputs'!$K$23*'Indoor Inputs'!$K$29*'Indoor Inputs'!$K$17*LCI!H32/indoor_annual_bud_yield</f>
        <v>3.5167704289155918E-8</v>
      </c>
      <c r="H18" s="348">
        <f>'Indoor Inputs'!$K$23*'Indoor Inputs'!$K$29*'Indoor Inputs'!$K$17*LCI!I32/indoor_annual_bud_yield</f>
        <v>2.9311869112196256E-7</v>
      </c>
      <c r="I18" s="348">
        <f>'Indoor Inputs'!$K$23*'Indoor Inputs'!$K$29*'Indoor Inputs'!$K$17*LCI!J32/indoor_annual_bud_yield</f>
        <v>1.3806344475134168E-7</v>
      </c>
      <c r="J18" s="348">
        <f>'Indoor Inputs'!$K$23*'Indoor Inputs'!$K$29*'Indoor Inputs'!$K$17*LCI!K32/indoor_annual_bud_yield</f>
        <v>9.2876967979070954E-2</v>
      </c>
      <c r="K18" s="348">
        <f>'Indoor Inputs'!$K$23*'Indoor Inputs'!$K$29*'Indoor Inputs'!$K$17*LCI!L32/indoor_annual_bud_yield</f>
        <v>1.685549958350878</v>
      </c>
      <c r="L18" s="348">
        <f>'Indoor Inputs'!$K$23*'Indoor Inputs'!$K$29*'Indoor Inputs'!$K$17*LCI!M32/indoor_annual_bud_yield</f>
        <v>8.0559010935173981E-4</v>
      </c>
      <c r="M18" s="592">
        <f t="shared" si="0"/>
        <v>4.5651297480641312E-4</v>
      </c>
      <c r="O18" s="288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290"/>
      <c r="AA18" s="290"/>
      <c r="AB18" s="290"/>
      <c r="AC18" s="290"/>
      <c r="AD18" s="290"/>
      <c r="AE18" s="290"/>
    </row>
    <row r="19" spans="1:31" ht="30" x14ac:dyDescent="0.25">
      <c r="A19" s="287" t="s">
        <v>1863</v>
      </c>
      <c r="B19" s="287" t="s">
        <v>598</v>
      </c>
      <c r="C19" s="348">
        <f>'Indoor Inputs'!$K$24*'Indoor Inputs'!$K$29*'Indoor Inputs'!$K$17*LCI!D33/indoor_annual_bud_yield</f>
        <v>1.1105074919868136E-2</v>
      </c>
      <c r="D19" s="348">
        <f>'Indoor Inputs'!$K$24*'Indoor Inputs'!$K$29*'Indoor Inputs'!$K$17*LCI!E33/indoor_annual_bud_yield</f>
        <v>11.744103562306343</v>
      </c>
      <c r="E19" s="348">
        <f>'Indoor Inputs'!$K$24*'Indoor Inputs'!$K$29*'Indoor Inputs'!$K$17*LCI!F33/indoor_annual_bud_yield</f>
        <v>1.4572824576420063E-2</v>
      </c>
      <c r="F19" s="348">
        <f>'Indoor Inputs'!$K$24*'Indoor Inputs'!$K$29*'Indoor Inputs'!$K$17*LCI!G33/indoor_annual_bud_yield</f>
        <v>1.0265977798802086</v>
      </c>
      <c r="G19" s="348">
        <f>'Indoor Inputs'!$K$24*'Indoor Inputs'!$K$29*'Indoor Inputs'!$K$17*LCI!H33/indoor_annual_bud_yield</f>
        <v>7.4698555259704126E-8</v>
      </c>
      <c r="H19" s="348">
        <f>'Indoor Inputs'!$K$24*'Indoor Inputs'!$K$29*'Indoor Inputs'!$K$17*LCI!I33/indoor_annual_bud_yield</f>
        <v>6.2735625991254741E-7</v>
      </c>
      <c r="I19" s="348">
        <f>'Indoor Inputs'!$K$24*'Indoor Inputs'!$K$29*'Indoor Inputs'!$K$17*LCI!J33/indoor_annual_bud_yield</f>
        <v>1.2215082608607326E-7</v>
      </c>
      <c r="J19" s="348">
        <f>'Indoor Inputs'!$K$24*'Indoor Inputs'!$K$29*'Indoor Inputs'!$K$17*LCI!K33/indoor_annual_bud_yield</f>
        <v>7.7481560675837544E-2</v>
      </c>
      <c r="K19" s="348">
        <f>'Indoor Inputs'!$K$24*'Indoor Inputs'!$K$29*'Indoor Inputs'!$K$17*LCI!L33/indoor_annual_bud_yield</f>
        <v>1.683161779689599</v>
      </c>
      <c r="L19" s="348">
        <f>'Indoor Inputs'!$K$24*'Indoor Inputs'!$K$29*'Indoor Inputs'!$K$17*LCI!M33/indoor_annual_bud_yield</f>
        <v>1.9021256350443762E-3</v>
      </c>
      <c r="M19" s="592">
        <f t="shared" si="0"/>
        <v>2.2352343336448508E-4</v>
      </c>
      <c r="N19" s="149" t="str">
        <f>'LCI Support'!M9</f>
        <v>polyethylene, HDPE, granulate, at plant</v>
      </c>
      <c r="O19" s="288" t="s">
        <v>598</v>
      </c>
      <c r="P19" s="347">
        <f>'LCI Support'!$U$9*LCI!D25*('Outdoor Inputs'!$J$6/acre_to_m2)*acre_to_ha/outdoor_annual_yield</f>
        <v>1.1893745036527105E-4</v>
      </c>
      <c r="Q19" s="347">
        <f>'LCI Support'!$U$9*LCI!E25*('Outdoor Inputs'!$J$6/acre_to_m2)*acre_to_ha/outdoor_annual_yield</f>
        <v>2.1485649291966207E-2</v>
      </c>
      <c r="R19" s="347">
        <f>'LCI Support'!$U$9*LCI!F25*('Outdoor Inputs'!$J$6/acre_to_m2)*acre_to_ha/outdoor_annual_yield</f>
        <v>8.7945676180438158E-6</v>
      </c>
      <c r="S19" s="347">
        <f>'LCI Support'!$U$9*LCI!G25*('Outdoor Inputs'!$J$6/acre_to_m2)*acre_to_ha/outdoor_annual_yield</f>
        <v>3.5894594757412759E-2</v>
      </c>
      <c r="T19" s="347">
        <f>'LCI Support'!$U$9*LCI!H25*('Outdoor Inputs'!$J$6/acre_to_m2)*acre_to_ha/outdoor_annual_yield</f>
        <v>1.1523454524020068E-9</v>
      </c>
      <c r="U19" s="347">
        <f>'LCI Support'!$U$9*LCI!I25*('Outdoor Inputs'!$J$6/acre_to_m2)*acre_to_ha/outdoor_annual_yield</f>
        <v>4.4994336564768226E-10</v>
      </c>
      <c r="V19" s="347">
        <f>'LCI Support'!$U$9*LCI!J25*('Outdoor Inputs'!$J$6/acre_to_m2)*acre_to_ha/outdoor_annual_yield</f>
        <v>2.2468833428363506E-11</v>
      </c>
      <c r="W19" s="347">
        <f>'LCI Support'!$U$9*LCI!K25*('Outdoor Inputs'!$J$6/acre_to_m2)*acre_to_ha/outdoor_annual_yield</f>
        <v>1.5059670379394337E-3</v>
      </c>
      <c r="X19" s="347">
        <f>'LCI Support'!$U$9*LCI!L25*('Outdoor Inputs'!$J$6/acre_to_m2)*acre_to_ha/outdoor_annual_yield</f>
        <v>0.17472419113833257</v>
      </c>
      <c r="Y19" s="347">
        <f>'LCI Support'!$U$9*LCI!M25*('Outdoor Inputs'!$J$6/acre_to_m2)*acre_to_ha/outdoor_annual_yield</f>
        <v>8.1926826257429312E-6</v>
      </c>
    </row>
    <row r="20" spans="1:31" x14ac:dyDescent="0.25">
      <c r="A20" s="287" t="s">
        <v>1864</v>
      </c>
      <c r="B20" s="288" t="s">
        <v>598</v>
      </c>
      <c r="C20" s="348">
        <f>'Indoor Inputs'!$K$25*'Indoor Inputs'!$K$29*'Indoor Inputs'!$K$17*LCI!D34/indoor_annual_bud_yield</f>
        <v>7.3550471069326942E-4</v>
      </c>
      <c r="D20" s="348">
        <f>'Indoor Inputs'!$K$25*'Indoor Inputs'!$K$29*'Indoor Inputs'!$K$17*LCI!E34/indoor_annual_bud_yield</f>
        <v>1.8856419801812649</v>
      </c>
      <c r="E20" s="348">
        <f>'Indoor Inputs'!$K$25*'Indoor Inputs'!$K$29*'Indoor Inputs'!$K$17*LCI!F34/indoor_annual_bud_yield</f>
        <v>6.2483125460775335E-4</v>
      </c>
      <c r="F20" s="348">
        <f>'Indoor Inputs'!$K$25*'Indoor Inputs'!$K$29*'Indoor Inputs'!$K$17*LCI!G34/indoor_annual_bud_yield</f>
        <v>0.18895370690436436</v>
      </c>
      <c r="G20" s="348">
        <f>'Indoor Inputs'!$K$25*'Indoor Inputs'!$K$29*'Indoor Inputs'!$K$17*LCI!H34/indoor_annual_bud_yield</f>
        <v>1.3318643145783968E-8</v>
      </c>
      <c r="H20" s="348">
        <f>'Indoor Inputs'!$K$25*'Indoor Inputs'!$K$29*'Indoor Inputs'!$K$17*LCI!I34/indoor_annual_bud_yield</f>
        <v>8.9713928647177623E-8</v>
      </c>
      <c r="I20" s="348">
        <f>'Indoor Inputs'!$K$25*'Indoor Inputs'!$K$29*'Indoor Inputs'!$K$17*LCI!J34/indoor_annual_bud_yield</f>
        <v>3.148197400980462E-8</v>
      </c>
      <c r="J20" s="348">
        <f>'Indoor Inputs'!$K$25*'Indoor Inputs'!$K$29*'Indoor Inputs'!$K$17*LCI!K34/indoor_annual_bud_yield</f>
        <v>9.698014419654049E-3</v>
      </c>
      <c r="K20" s="348">
        <f>'Indoor Inputs'!$K$25*'Indoor Inputs'!$K$29*'Indoor Inputs'!$K$17*LCI!L34/indoor_annual_bud_yield</f>
        <v>0.346824132616669</v>
      </c>
      <c r="L20" s="348">
        <f>'Indoor Inputs'!$K$25*'Indoor Inputs'!$K$29*'Indoor Inputs'!$K$17*LCI!M34/indoor_annual_bud_yield</f>
        <v>1.2126177902966293E-4</v>
      </c>
      <c r="M20" s="592">
        <f t="shared" si="0"/>
        <v>4.1141313708216384E-5</v>
      </c>
      <c r="N20" s="149" t="str">
        <f>'LCI Support'!M10</f>
        <v>extrusion, plastic film</v>
      </c>
      <c r="O20" s="288" t="s">
        <v>598</v>
      </c>
      <c r="P20" s="347">
        <f>'LCI Support'!$U$10*LCI!D26*('Outdoor Inputs'!$J$6/acre_to_m2)*acre_to_ha/outdoor_annual_yield</f>
        <v>5.8663567204186984E-5</v>
      </c>
      <c r="Q20" s="347">
        <f>'LCI Support'!$U$10*LCI!E26*('Outdoor Inputs'!$J$6/acre_to_m2)*acre_to_ha/outdoor_annual_yield</f>
        <v>4.3557271435818959E-2</v>
      </c>
      <c r="R20" s="347">
        <f>'LCI Support'!$U$10*LCI!F26*('Outdoor Inputs'!$J$6/acre_to_m2)*acre_to_ha/outdoor_annual_yield</f>
        <v>4.5426941844490929E-5</v>
      </c>
      <c r="S20" s="347">
        <f>'LCI Support'!$U$10*LCI!G26*('Outdoor Inputs'!$J$6/acre_to_m2)*acre_to_ha/outdoor_annual_yield</f>
        <v>1.3624894445582417E-2</v>
      </c>
      <c r="T20" s="347">
        <f>'LCI Support'!$U$10*LCI!H26*('Outdoor Inputs'!$J$6/acre_to_m2)*acre_to_ha/outdoor_annual_yield</f>
        <v>6.7104982946636174E-10</v>
      </c>
      <c r="U20" s="347">
        <f>'LCI Support'!$U$10*LCI!I26*('Outdoor Inputs'!$J$6/acre_to_m2)*acre_to_ha/outdoor_annual_yield</f>
        <v>1.9248858882370726E-9</v>
      </c>
      <c r="V20" s="347">
        <f>'LCI Support'!$U$10*LCI!J26*('Outdoor Inputs'!$J$6/acre_to_m2)*acre_to_ha/outdoor_annual_yield</f>
        <v>7.1165355020950294E-10</v>
      </c>
      <c r="W20" s="347">
        <f>'LCI Support'!$U$10*LCI!K26*('Outdoor Inputs'!$J$6/acre_to_m2)*acre_to_ha/outdoor_annual_yield</f>
        <v>6.5045719617664124E-4</v>
      </c>
      <c r="X20" s="347">
        <f>'LCI Support'!$U$10*LCI!L26*('Outdoor Inputs'!$J$6/acre_to_m2)*acre_to_ha/outdoor_annual_yield</f>
        <v>9.9467080913913253E-3</v>
      </c>
      <c r="Y20" s="347">
        <f>'LCI Support'!$U$10*LCI!M26*('Outdoor Inputs'!$J$6/acre_to_m2)*acre_to_ha/outdoor_annual_yield</f>
        <v>1.7711659546453212E-5</v>
      </c>
    </row>
    <row r="21" spans="1:31" ht="30" x14ac:dyDescent="0.25">
      <c r="A21" s="287" t="s">
        <v>616</v>
      </c>
      <c r="B21" s="289" t="s">
        <v>598</v>
      </c>
      <c r="C21" s="348">
        <f>'Indoor Inputs'!$K$91*'Indoor Inputs'!$K$29*LCI!D35/indoor_annual_bud_yield</f>
        <v>1.9855630527532982E-2</v>
      </c>
      <c r="D21" s="348">
        <f>'Indoor Inputs'!$K$91*'Indoor Inputs'!$K$29*LCI!E35/indoor_annual_bud_yield</f>
        <v>10.106603661393853</v>
      </c>
      <c r="E21" s="348">
        <f>'Indoor Inputs'!$K$91*'Indoor Inputs'!$K$29*LCI!F35/indoor_annual_bud_yield</f>
        <v>4.4942850804375089E-3</v>
      </c>
      <c r="F21" s="348">
        <f>'Indoor Inputs'!$K$91*'Indoor Inputs'!$K$29*LCI!G35/indoor_annual_bud_yield</f>
        <v>3.8982274507707513</v>
      </c>
      <c r="G21" s="348">
        <f>'Indoor Inputs'!$K$91*'Indoor Inputs'!$K$29*LCI!H35/indoor_annual_bud_yield</f>
        <v>1.1577871158800355E-7</v>
      </c>
      <c r="H21" s="348">
        <f>'Indoor Inputs'!$K$91*'Indoor Inputs'!$K$29*LCI!I35/indoor_annual_bud_yield</f>
        <v>3.839078621063087E-7</v>
      </c>
      <c r="I21" s="348">
        <f>'Indoor Inputs'!$K$91*'Indoor Inputs'!$K$29*LCI!J35/indoor_annual_bud_yield</f>
        <v>9.5239088319010696E-7</v>
      </c>
      <c r="J21" s="348">
        <f>'Indoor Inputs'!$K$91*'Indoor Inputs'!$K$29*LCI!K35/indoor_annual_bud_yield</f>
        <v>0.49598590210429699</v>
      </c>
      <c r="K21" s="348">
        <f>'Indoor Inputs'!$K$91*'Indoor Inputs'!$K$29*LCI!L35/indoor_annual_bud_yield</f>
        <v>8.0452989349310471</v>
      </c>
      <c r="L21" s="348">
        <f>'Indoor Inputs'!$K$91*'Indoor Inputs'!$K$29*LCI!M35/indoor_annual_bud_yield</f>
        <v>2.2567755543984724E-3</v>
      </c>
      <c r="M21" s="592">
        <f t="shared" si="0"/>
        <v>8.4876979174223219E-4</v>
      </c>
      <c r="N21" s="149" t="str">
        <f>'LCI Support'!M12</f>
        <v>excavation, hydraulic digger</v>
      </c>
      <c r="O21" s="288" t="s">
        <v>598</v>
      </c>
      <c r="P21" s="347">
        <f>'LCI Support'!$U$12*LCI!D27*('Outdoor Inputs'!$J$6/acre_to_m2)*acre_to_ha/outdoor_annual_yield</f>
        <v>1.6252236708468056E-5</v>
      </c>
      <c r="Q21" s="347">
        <f>'LCI Support'!$U$12*LCI!E27*('Outdoor Inputs'!$J$6/acre_to_m2)*acre_to_ha/outdoor_annual_yield</f>
        <v>2.3414774371530401E-3</v>
      </c>
      <c r="R21" s="347">
        <f>'LCI Support'!$U$12*LCI!F27*('Outdoor Inputs'!$J$6/acre_to_m2)*acre_to_ha/outdoor_annual_yield</f>
        <v>2.2594335788054783E-6</v>
      </c>
      <c r="S21" s="347">
        <f>'LCI Support'!$U$12*LCI!G27*('Outdoor Inputs'!$J$6/acre_to_m2)*acre_to_ha/outdoor_annual_yield</f>
        <v>1.7255588228336529E-3</v>
      </c>
      <c r="T21" s="347">
        <f>'LCI Support'!$U$12*LCI!H27*('Outdoor Inputs'!$J$6/acre_to_m2)*acre_to_ha/outdoor_annual_yield</f>
        <v>7.8368179375910832E-11</v>
      </c>
      <c r="U21" s="347">
        <f>'LCI Support'!$U$12*LCI!I27*('Outdoor Inputs'!$J$6/acre_to_m2)*acre_to_ha/outdoor_annual_yield</f>
        <v>7.5154498800559438E-11</v>
      </c>
      <c r="V21" s="347">
        <f>'LCI Support'!$U$12*LCI!J27*('Outdoor Inputs'!$J$6/acre_to_m2)*acre_to_ha/outdoor_annual_yield</f>
        <v>4.0141162518238047E-10</v>
      </c>
      <c r="W21" s="347">
        <f>'LCI Support'!$U$12*LCI!K27*('Outdoor Inputs'!$J$6/acre_to_m2)*acre_to_ha/outdoor_annual_yield</f>
        <v>4.8439923426179128E-4</v>
      </c>
      <c r="X21" s="347">
        <f>'LCI Support'!$U$12*LCI!L27*('Outdoor Inputs'!$J$6/acre_to_m2)*acre_to_ha/outdoor_annual_yield</f>
        <v>3.3856129454463159E-3</v>
      </c>
      <c r="Y21" s="347">
        <f>'LCI Support'!$U$12*LCI!M27*('Outdoor Inputs'!$J$6/acre_to_m2)*acre_to_ha/outdoor_annual_yield</f>
        <v>2.2586763597012065E-6</v>
      </c>
    </row>
    <row r="22" spans="1:31" x14ac:dyDescent="0.25">
      <c r="A22" s="287" t="s">
        <v>1210</v>
      </c>
      <c r="B22" s="289" t="s">
        <v>598</v>
      </c>
      <c r="C22" s="348">
        <f>'Indoor Inputs'!$K$22*'Indoor Inputs'!$K$29*LCI!D20/indoor_annual_bud_yield</f>
        <v>0.8204832265663442</v>
      </c>
      <c r="D22" s="348">
        <f>'Indoor Inputs'!$K$22*'Indoor Inputs'!$K$29*LCI!E20/indoor_annual_bud_yield</f>
        <v>279.22557766600067</v>
      </c>
      <c r="E22" s="348">
        <f>'Indoor Inputs'!$K$22*'Indoor Inputs'!$K$29*LCI!F20/indoor_annual_bud_yield</f>
        <v>0.28492289488465855</v>
      </c>
      <c r="F22" s="348">
        <f>'Indoor Inputs'!$K$22*'Indoor Inputs'!$K$29*LCI!G20/indoor_annual_bud_yield</f>
        <v>133.33488267000425</v>
      </c>
      <c r="G22" s="348">
        <f>'Indoor Inputs'!$K$22*'Indoor Inputs'!$K$29*LCI!H20/indoor_annual_bud_yield</f>
        <v>4.7323867476942918E-6</v>
      </c>
      <c r="H22" s="348">
        <f>'Indoor Inputs'!$K$22*'Indoor Inputs'!$K$29*LCI!I20/indoor_annual_bud_yield</f>
        <v>1.2640578874320909E-5</v>
      </c>
      <c r="I22" s="348">
        <f>'Indoor Inputs'!$K$22*'Indoor Inputs'!$K$29*LCI!J20/indoor_annual_bud_yield</f>
        <v>1.264407219755736E-5</v>
      </c>
      <c r="J22" s="348">
        <f>'Indoor Inputs'!$K$22*'Indoor Inputs'!$K$29*LCI!K20/indoor_annual_bud_yield</f>
        <v>7.2852282349025614</v>
      </c>
      <c r="K22" s="348">
        <f>'Indoor Inputs'!$K$22*'Indoor Inputs'!$K$29*LCI!L20/indoor_annual_bud_yield</f>
        <v>73.666654241673072</v>
      </c>
      <c r="L22" s="348">
        <f>'Indoor Inputs'!$K$22*'Indoor Inputs'!$K$29*LCI!M20/indoor_annual_bud_yield</f>
        <v>9.4338608763818901E-2</v>
      </c>
      <c r="M22" s="592">
        <f t="shared" si="0"/>
        <v>2.90313025663545E-2</v>
      </c>
      <c r="N22" s="149" t="str">
        <f>'LCI Support'!M13</f>
        <v>cast iron, at plant</v>
      </c>
      <c r="O22" s="288" t="s">
        <v>598</v>
      </c>
      <c r="P22" s="347">
        <f>'LCI Support'!$U$13*LCI!D28*('Outdoor Inputs'!$J$6/acre_to_m2)*acre_to_ha/outdoor_annual_yield</f>
        <v>2.7402316490598756E-5</v>
      </c>
      <c r="Q22" s="347">
        <f>'LCI Support'!$U$13*LCI!E28*('Outdoor Inputs'!$J$6/acre_to_m2)*acre_to_ha/outdoor_annual_yield</f>
        <v>0.11541535377954701</v>
      </c>
      <c r="R22" s="347">
        <f>'LCI Support'!$U$13*LCI!F28*('Outdoor Inputs'!$J$6/acre_to_m2)*acre_to_ha/outdoor_annual_yield</f>
        <v>1.9458238982925462E-5</v>
      </c>
      <c r="S22" s="347">
        <f>'LCI Support'!$U$13*LCI!G28*('Outdoor Inputs'!$J$6/acre_to_m2)*acre_to_ha/outdoor_annual_yield</f>
        <v>6.3058004720552068E-3</v>
      </c>
      <c r="T22" s="347">
        <f>'LCI Support'!$U$13*LCI!H28*('Outdoor Inputs'!$J$6/acre_to_m2)*acre_to_ha/outdoor_annual_yield</f>
        <v>9.5086757621753221E-9</v>
      </c>
      <c r="U22" s="347">
        <f>'LCI Support'!$U$13*LCI!I28*('Outdoor Inputs'!$J$6/acre_to_m2)*acre_to_ha/outdoor_annual_yield</f>
        <v>1.2536710300839548E-9</v>
      </c>
      <c r="V22" s="347">
        <f>'LCI Support'!$U$13*LCI!J28*('Outdoor Inputs'!$J$6/acre_to_m2)*acre_to_ha/outdoor_annual_yield</f>
        <v>3.9684036579959023E-10</v>
      </c>
      <c r="W22" s="347">
        <f>'LCI Support'!$U$13*LCI!K28*('Outdoor Inputs'!$J$6/acre_to_m2)*acre_to_ha/outdoor_annual_yield</f>
        <v>3.4142361579279202E-4</v>
      </c>
      <c r="X22" s="347">
        <f>'LCI Support'!$U$13*LCI!L28*('Outdoor Inputs'!$J$6/acre_to_m2)*acre_to_ha/outdoor_annual_yield</f>
        <v>3.5274970378141109E-3</v>
      </c>
      <c r="Y22" s="347">
        <f>'LCI Support'!$U$13*LCI!M28*('Outdoor Inputs'!$J$6/acre_to_m2)*acre_to_ha/outdoor_annual_yield</f>
        <v>8.2907184427401703E-6</v>
      </c>
    </row>
    <row r="23" spans="1:31" ht="45" x14ac:dyDescent="0.25">
      <c r="A23" s="149" t="s">
        <v>2177</v>
      </c>
      <c r="B23" s="149" t="s">
        <v>598</v>
      </c>
      <c r="C23" s="347">
        <f>'Indoor Inputs'!$K$26*'Indoor Inputs'!$K$17*'Indoor Inputs'!$K$29*prop_neem_density/m3_to_liters*LCI!D36/indoor_annual_bud_yield</f>
        <v>1.2440258086287865E-2</v>
      </c>
      <c r="D23" s="347">
        <f>'Indoor Inputs'!$K$26*'Indoor Inputs'!$K$17*'Indoor Inputs'!$K$29*prop_neem_density/m3_to_liters*LCI!E36/indoor_annual_bud_yield</f>
        <v>8.4598734852015234</v>
      </c>
      <c r="E23" s="347">
        <f>'Indoor Inputs'!$K$26*'Indoor Inputs'!$K$17*'Indoor Inputs'!$K$29*prop_neem_density/m3_to_liters*LCI!F36/indoor_annual_bud_yield</f>
        <v>2.9038646886514592E-2</v>
      </c>
      <c r="F23" s="347">
        <f>'Indoor Inputs'!$K$26*'Indoor Inputs'!$K$17*'Indoor Inputs'!$K$29*prop_neem_density/m3_to_liters*LCI!G36/indoor_annual_bud_yield</f>
        <v>7.5105598976807784</v>
      </c>
      <c r="G23" s="347">
        <f>'Indoor Inputs'!$K$26*'Indoor Inputs'!$K$17*'Indoor Inputs'!$K$29*prop_neem_density/m3_to_liters*LCI!H36/indoor_annual_bud_yield</f>
        <v>8.6438701848807691E-8</v>
      </c>
      <c r="H23" s="347">
        <f>'Indoor Inputs'!$K$26*'Indoor Inputs'!$K$17*'Indoor Inputs'!$K$29*prop_neem_density/m3_to_liters*LCI!I36/indoor_annual_bud_yield</f>
        <v>1.7539828820300429E-7</v>
      </c>
      <c r="I23" s="347">
        <f>'Indoor Inputs'!$K$26*'Indoor Inputs'!$K$17*'Indoor Inputs'!$K$29*prop_neem_density/m3_to_liters*LCI!J36/indoor_annual_bud_yield</f>
        <v>1.0272452152466924E-7</v>
      </c>
      <c r="J23" s="347">
        <f>'Indoor Inputs'!$K$26*'Indoor Inputs'!$K$17*'Indoor Inputs'!$K$29*prop_neem_density/m3_to_liters*LCI!K36/indoor_annual_bud_yield</f>
        <v>0.13057387860778519</v>
      </c>
      <c r="K23" s="347">
        <f>'Indoor Inputs'!$K$26*'Indoor Inputs'!$K$17*'Indoor Inputs'!$K$29*prop_neem_density/m3_to_liters*LCI!L36/indoor_annual_bud_yield</f>
        <v>0.83642470210543551</v>
      </c>
      <c r="L23" s="347">
        <f>'Indoor Inputs'!$K$26*'Indoor Inputs'!$K$17*'Indoor Inputs'!$K$29*prop_neem_density/m3_to_liters*LCI!M36/indoor_annual_bud_yield</f>
        <v>3.0456938480880264E-3</v>
      </c>
      <c r="M23" s="592">
        <f t="shared" si="0"/>
        <v>1.6352910241196092E-3</v>
      </c>
      <c r="N23" s="149" t="str">
        <f>'LCI Support'!M15</f>
        <v>polyvinylchloride, builk polymerised, at plant</v>
      </c>
      <c r="O23" s="288" t="s">
        <v>598</v>
      </c>
      <c r="P23" s="347">
        <f>'LCI Support'!$U$15*LCI!D29*('Outdoor Inputs'!$J$6/acre_to_m2)*acre_to_ha/outdoor_annual_yield</f>
        <v>5.5154087436591363E-6</v>
      </c>
      <c r="Q23" s="347">
        <f>'LCI Support'!$U$15*LCI!E29*('Outdoor Inputs'!$J$6/acre_to_m2)*acre_to_ha/outdoor_annual_yield</f>
        <v>2.6222944444843862E-3</v>
      </c>
      <c r="R23" s="347">
        <f>'LCI Support'!$U$15*LCI!F29*('Outdoor Inputs'!$J$6/acre_to_m2)*acre_to_ha/outdoor_annual_yield</f>
        <v>1.0917969010566266E-6</v>
      </c>
      <c r="S23" s="347">
        <f>'LCI Support'!$U$15*LCI!G29*('Outdoor Inputs'!$J$6/acre_to_m2)*acre_to_ha/outdoor_annual_yield</f>
        <v>1.8721181355894961E-3</v>
      </c>
      <c r="T23" s="347">
        <f>'LCI Support'!$U$15*LCI!H29*('Outdoor Inputs'!$J$6/acre_to_m2)*acre_to_ha/outdoor_annual_yield</f>
        <v>1.1772391680192846E-10</v>
      </c>
      <c r="U23" s="347">
        <f>'LCI Support'!$U$15*LCI!I29*('Outdoor Inputs'!$J$6/acre_to_m2)*acre_to_ha/outdoor_annual_yield</f>
        <v>6.2676063554076173E-11</v>
      </c>
      <c r="V23" s="347">
        <f>'LCI Support'!$U$15*LCI!J29*('Outdoor Inputs'!$J$6/acre_to_m2)*acre_to_ha/outdoor_annual_yield</f>
        <v>1.7105331408681131E-11</v>
      </c>
      <c r="W23" s="347">
        <f>'LCI Support'!$U$15*LCI!K29*('Outdoor Inputs'!$J$6/acre_to_m2)*acre_to_ha/outdoor_annual_yield</f>
        <v>9.867812687386602E-5</v>
      </c>
      <c r="X23" s="347">
        <f>'LCI Support'!$U$15*LCI!L29*('Outdoor Inputs'!$J$6/acre_to_m2)*acre_to_ha/outdoor_annual_yield</f>
        <v>5.4795282571944801E-3</v>
      </c>
      <c r="Y23" s="347">
        <f>'LCI Support'!$U$15*LCI!M29*('Outdoor Inputs'!$J$6/acre_to_m2)*acre_to_ha/outdoor_annual_yield</f>
        <v>3.5368217696902859E-7</v>
      </c>
    </row>
    <row r="24" spans="1:31" ht="30" x14ac:dyDescent="0.25">
      <c r="A24" s="149" t="s">
        <v>2314</v>
      </c>
      <c r="B24" s="149" t="s">
        <v>598</v>
      </c>
      <c r="C24" s="528">
        <f>'Indoor Inputs'!$K$27*'Indoor Inputs'!$K$17*'Indoor Inputs'!$K$29*prop_water_density/m3_to_liters*LCI!D14/indoor_annual_bud_yield</f>
        <v>2.2544667925630029E-4</v>
      </c>
      <c r="D24" s="528">
        <f>'Indoor Inputs'!$K$27*'Indoor Inputs'!$K$17*'Indoor Inputs'!$K$29*prop_water_density/m3_to_liters*LCI!E14/indoor_annual_bud_yield</f>
        <v>0.15862633819380162</v>
      </c>
      <c r="E24" s="528">
        <f>'Indoor Inputs'!$K$27*'Indoor Inputs'!$K$17*'Indoor Inputs'!$K$29*prop_water_density/m3_to_liters*LCI!F14/indoor_annual_bud_yield</f>
        <v>1.7789606753856261E-4</v>
      </c>
      <c r="F24" s="528">
        <f>'Indoor Inputs'!$K$27*'Indoor Inputs'!$K$17*'Indoor Inputs'!$K$29*prop_water_density/m3_to_liters*LCI!G14/indoor_annual_bud_yield</f>
        <v>5.0225807477281878E-2</v>
      </c>
      <c r="G24" s="528">
        <f>'Indoor Inputs'!$K$27*'Indoor Inputs'!$K$17*'Indoor Inputs'!$K$29*prop_water_density/m3_to_liters*LCI!H14/indoor_annual_bud_yield</f>
        <v>2.763499743717508E-9</v>
      </c>
      <c r="H24" s="528">
        <f>'Indoor Inputs'!$K$27*'Indoor Inputs'!$K$17*'Indoor Inputs'!$K$29*prop_water_density/m3_to_liters*LCI!I14/indoor_annual_bud_yield</f>
        <v>7.4566664113020232E-9</v>
      </c>
      <c r="I24" s="528">
        <f>'Indoor Inputs'!$K$27*'Indoor Inputs'!$K$17*'Indoor Inputs'!$K$29*prop_water_density/m3_to_liters*LCI!J14/indoor_annual_bud_yield</f>
        <v>2.900865055727642E-9</v>
      </c>
      <c r="J24" s="528">
        <f>'Indoor Inputs'!$K$27*'Indoor Inputs'!$K$17*'Indoor Inputs'!$K$29*prop_water_density/m3_to_liters*LCI!K14/indoor_annual_bud_yield</f>
        <v>2.5454075505032705E-3</v>
      </c>
      <c r="K24" s="528">
        <f>'Indoor Inputs'!$K$27*'Indoor Inputs'!$K$17*'Indoor Inputs'!$K$29*prop_water_density/m3_to_liters*LCI!L14/indoor_annual_bud_yield</f>
        <v>3.1252358749290228E-2</v>
      </c>
      <c r="L24" s="528">
        <f>'Indoor Inputs'!$K$27*'Indoor Inputs'!$K$17*'Indoor Inputs'!$K$29*prop_water_density/m3_to_liters*LCI!M14/indoor_annual_bud_yield</f>
        <v>7.3473863745254634E-5</v>
      </c>
      <c r="M24" s="592">
        <f t="shared" si="0"/>
        <v>1.0935777527334693E-5</v>
      </c>
      <c r="N24" s="287" t="s">
        <v>1286</v>
      </c>
      <c r="O24" s="288" t="s">
        <v>598</v>
      </c>
      <c r="P24" s="348">
        <f>'LCI Support'!$U$14*('Outdoor Inputs'!$J$6/acre_to_m2)*acre_to_ha*LCI!D3/outdoor_annual_yield</f>
        <v>3.8784869484035827E-3</v>
      </c>
      <c r="Q24" s="348">
        <f>'LCI Support'!$U$14*('Outdoor Inputs'!$J$6/acre_to_m2)*acre_to_ha*LCI!E3/outdoor_annual_yield</f>
        <v>9.5354345050670215</v>
      </c>
      <c r="R24" s="348">
        <f>'LCI Support'!$U$14*('Outdoor Inputs'!$J$6/acre_to_m2)*acre_to_ha*LCI!F3/outdoor_annual_yield</f>
        <v>1.2692703205363165E-2</v>
      </c>
      <c r="S24" s="348">
        <f>'LCI Support'!$U$14*('Outdoor Inputs'!$J$6/acre_to_m2)*acre_to_ha*LCI!G3/outdoor_annual_yield</f>
        <v>2.0730167964566482</v>
      </c>
      <c r="T24" s="348">
        <f>'LCI Support'!$U$14*('Outdoor Inputs'!$J$6/acre_to_m2)*acre_to_ha*LCI!H3/outdoor_annual_yield</f>
        <v>1.3290996079323064E-7</v>
      </c>
      <c r="U24" s="348">
        <f>'LCI Support'!$U$14*('Outdoor Inputs'!$J$6/acre_to_m2)*acre_to_ha*LCI!I3/outdoor_annual_yield</f>
        <v>3.7788042592682371E-7</v>
      </c>
      <c r="V24" s="348">
        <f>'LCI Support'!$U$14*('Outdoor Inputs'!$J$6/acre_to_m2)*acre_to_ha*LCI!J3/outdoor_annual_yield</f>
        <v>1.2668770254183303E-7</v>
      </c>
      <c r="W24" s="348">
        <f>'LCI Support'!$U$14*('Outdoor Inputs'!$J$6/acre_to_m2)*acre_to_ha*LCI!K3/outdoor_annual_yield</f>
        <v>5.4291137817701791E-2</v>
      </c>
      <c r="X24" s="348">
        <f>'LCI Support'!$U$14*('Outdoor Inputs'!$J$6/acre_to_m2)*acre_to_ha*LCI!L3/outdoor_annual_yield</f>
        <v>1.3633609496172843</v>
      </c>
      <c r="Y24" s="348">
        <f>'LCI Support'!$U$14*('Outdoor Inputs'!$J$6/acre_to_m2)*acre_to_ha*LCI!M3/outdoor_annual_yield</f>
        <v>4.6009705403728327E-3</v>
      </c>
    </row>
    <row r="25" spans="1:31" x14ac:dyDescent="0.25">
      <c r="A25" s="149" t="s">
        <v>2178</v>
      </c>
      <c r="B25" s="149" t="s">
        <v>598</v>
      </c>
      <c r="C25" s="528">
        <f>'Indoor Inputs'!$K$28*'Indoor Inputs'!$K$17*'Indoor Inputs'!$K$29*prop_soap_density/m3_to_liters*LCI!D37/indoor_annual_bud_yield</f>
        <v>3.4246265901776889E-3</v>
      </c>
      <c r="D25" s="528">
        <f>'Indoor Inputs'!$K$28*'Indoor Inputs'!$K$17*'Indoor Inputs'!$K$29*prop_soap_density/m3_to_liters*LCI!E37/indoor_annual_bud_yield</f>
        <v>3.9186071513646996</v>
      </c>
      <c r="E25" s="528">
        <f>'Indoor Inputs'!$K$28*'Indoor Inputs'!$K$17*'Indoor Inputs'!$K$29*prop_soap_density/m3_to_liters*LCI!F37/indoor_annual_bud_yield</f>
        <v>5.6094158572360395E-3</v>
      </c>
      <c r="F25" s="528">
        <f>'Indoor Inputs'!$K$28*'Indoor Inputs'!$K$17*'Indoor Inputs'!$K$29*prop_soap_density/m3_to_liters*LCI!G37/indoor_annual_bud_yield</f>
        <v>1.2143363828235918</v>
      </c>
      <c r="G25" s="528">
        <f>'Indoor Inputs'!$K$28*'Indoor Inputs'!$K$17*'Indoor Inputs'!$K$29*prop_soap_density/m3_to_liters*LCI!H37/indoor_annual_bud_yield</f>
        <v>2.4751819836114187E-8</v>
      </c>
      <c r="H25" s="528">
        <f>'Indoor Inputs'!$K$28*'Indoor Inputs'!$K$17*'Indoor Inputs'!$K$29*prop_soap_density/m3_to_liters*LCI!I37/indoor_annual_bud_yield</f>
        <v>1.0062100626444713E-7</v>
      </c>
      <c r="I25" s="528">
        <f>'Indoor Inputs'!$K$28*'Indoor Inputs'!$K$17*'Indoor Inputs'!$K$29*prop_soap_density/m3_to_liters*LCI!J37/indoor_annual_bud_yield</f>
        <v>4.9090171499385932E-8</v>
      </c>
      <c r="J25" s="528">
        <f>'Indoor Inputs'!$K$28*'Indoor Inputs'!$K$17*'Indoor Inputs'!$K$29*prop_soap_density/m3_to_liters*LCI!K37/indoor_annual_bud_yield</f>
        <v>3.0717665503356473E-2</v>
      </c>
      <c r="K25" s="528">
        <f>'Indoor Inputs'!$K$28*'Indoor Inputs'!$K$17*'Indoor Inputs'!$K$29*prop_soap_density/m3_to_liters*LCI!L37/indoor_annual_bud_yield</f>
        <v>0.30688102458030808</v>
      </c>
      <c r="L25" s="528">
        <f>'Indoor Inputs'!$K$28*'Indoor Inputs'!$K$17*'Indoor Inputs'!$K$29*prop_soap_density/m3_to_liters*LCI!M37/indoor_annual_bud_yield</f>
        <v>6.7471071166662149E-4</v>
      </c>
      <c r="M25" s="592">
        <f t="shared" si="0"/>
        <v>2.6440017976642405E-4</v>
      </c>
      <c r="N25" s="287" t="s">
        <v>1282</v>
      </c>
      <c r="O25" s="288" t="s">
        <v>598</v>
      </c>
      <c r="P25" s="348">
        <f>'Outdoor Inputs'!$J$61/kW_to_W*LCI!D3/outdoor_annual_yield</f>
        <v>0</v>
      </c>
      <c r="Q25" s="348">
        <f>'Outdoor Inputs'!$J$61/kW_to_W*LCI!E3/outdoor_annual_yield</f>
        <v>0</v>
      </c>
      <c r="R25" s="348">
        <f>'Outdoor Inputs'!$J$61/kW_to_W*LCI!F3/outdoor_annual_yield</f>
        <v>0</v>
      </c>
      <c r="S25" s="348">
        <f>'Outdoor Inputs'!$J$61/kW_to_W*LCI!G3/outdoor_annual_yield</f>
        <v>0</v>
      </c>
      <c r="T25" s="348">
        <f>'Outdoor Inputs'!$J$61/kW_to_W*LCI!H3/outdoor_annual_yield</f>
        <v>0</v>
      </c>
      <c r="U25" s="348">
        <f>'Outdoor Inputs'!$J$61/kW_to_W*LCI!I3/outdoor_annual_yield</f>
        <v>0</v>
      </c>
      <c r="V25" s="348">
        <f>'Outdoor Inputs'!$J$61/kW_to_W*LCI!J3/outdoor_annual_yield</f>
        <v>0</v>
      </c>
      <c r="W25" s="348">
        <f>'Outdoor Inputs'!$J$61/kW_to_W*LCI!K3/outdoor_annual_yield</f>
        <v>0</v>
      </c>
      <c r="X25" s="348">
        <f>'Outdoor Inputs'!$J$61/kW_to_W*LCI!L3/outdoor_annual_yield</f>
        <v>0</v>
      </c>
      <c r="Y25" s="348">
        <f>'Outdoor Inputs'!$J$61/kW_to_W*LCI!M3/outdoor_annual_yield</f>
        <v>0</v>
      </c>
    </row>
    <row r="26" spans="1:31" x14ac:dyDescent="0.25">
      <c r="A26" s="287" t="s">
        <v>999</v>
      </c>
      <c r="B26" s="289" t="s">
        <v>598</v>
      </c>
      <c r="C26" s="348">
        <f>'Indoor Inputs'!$K$21*'Indoor Inputs'!$K$29*LCI!D18/indoor_annual_bud_yield</f>
        <v>3.4815960999028873E-2</v>
      </c>
      <c r="D26" s="348">
        <f>'Indoor Inputs'!$K$21*'Indoor Inputs'!$K$29*LCI!E18/indoor_annual_bud_yield</f>
        <v>32.452669146335467</v>
      </c>
      <c r="E26" s="348">
        <f>'Indoor Inputs'!$K$21*'Indoor Inputs'!$K$29*LCI!F18/indoor_annual_bud_yield</f>
        <v>2.1045280468746083E-2</v>
      </c>
      <c r="F26" s="348">
        <f>'Indoor Inputs'!$K$21*'Indoor Inputs'!$K$29*LCI!G18/indoor_annual_bud_yield</f>
        <v>7.3918207234744413</v>
      </c>
      <c r="G26" s="348">
        <f>'Indoor Inputs'!$K$21*'Indoor Inputs'!$K$29*LCI!H18/indoor_annual_bud_yield</f>
        <v>3.5119775907570086E-7</v>
      </c>
      <c r="H26" s="348">
        <f>'Indoor Inputs'!$K$21*'Indoor Inputs'!$K$29*LCI!I18/indoor_annual_bud_yield</f>
        <v>1.521220534638989E-6</v>
      </c>
      <c r="I26" s="348">
        <f>'Indoor Inputs'!$K$21*'Indoor Inputs'!$K$29*LCI!J18/indoor_annual_bud_yield</f>
        <v>1.301002687614367E-6</v>
      </c>
      <c r="J26" s="348">
        <f>'Indoor Inputs'!$K$21*'Indoor Inputs'!$K$29*LCI!K18/indoor_annual_bud_yield</f>
        <v>0.38457013883235175</v>
      </c>
      <c r="K26" s="348">
        <f>'Indoor Inputs'!$K$21*'Indoor Inputs'!$K$29*LCI!L18/indoor_annual_bud_yield</f>
        <v>15.390974567453952</v>
      </c>
      <c r="L26" s="348">
        <f>'Indoor Inputs'!$K$21*'Indoor Inputs'!$K$29*LCI!M18/indoor_annual_bud_yield</f>
        <v>6.8594043547646616E-3</v>
      </c>
      <c r="M26" s="592">
        <f t="shared" si="0"/>
        <v>1.6094376778396657E-3</v>
      </c>
      <c r="N26" s="287" t="s">
        <v>721</v>
      </c>
      <c r="O26" s="287" t="s">
        <v>598</v>
      </c>
      <c r="P26" s="348">
        <f>'Outdoor Inputs'!$J$58*LCI!D15/indoor_annual_bud_yield</f>
        <v>5.1087818265086807E-3</v>
      </c>
      <c r="Q26" s="348">
        <f>'Outdoor Inputs'!$J$58*LCI!E15/indoor_annual_bud_yield</f>
        <v>7.6094402965657988</v>
      </c>
      <c r="R26" s="348">
        <f>'Outdoor Inputs'!$J$58*LCI!F15/indoor_annual_bud_yield</f>
        <v>4.361095859813922E-3</v>
      </c>
      <c r="S26" s="348">
        <f>'Outdoor Inputs'!$J$58*LCI!G15/indoor_annual_bud_yield</f>
        <v>1.6099529890908506</v>
      </c>
      <c r="T26" s="348">
        <f>'Outdoor Inputs'!$J$58*LCI!H15/indoor_annual_bud_yield</f>
        <v>6.9597449894545684E-8</v>
      </c>
      <c r="U26" s="348">
        <f>'Outdoor Inputs'!$J$58*LCI!I15/indoor_annual_bud_yield</f>
        <v>3.58412749449236E-7</v>
      </c>
      <c r="V26" s="348">
        <f>'Outdoor Inputs'!$J$58*LCI!J15/indoor_annual_bud_yield</f>
        <v>7.2025153186247283E-8</v>
      </c>
      <c r="W26" s="348">
        <f>'Outdoor Inputs'!$J$58*LCI!K15/indoor_annual_bud_yield</f>
        <v>0.21421592892041208</v>
      </c>
      <c r="X26" s="348">
        <f>'Outdoor Inputs'!$J$58*LCI!L15/indoor_annual_bud_yield</f>
        <v>1.1524583978901373</v>
      </c>
      <c r="Y26" s="348">
        <f>'Outdoor Inputs'!$J$58*LCI!M15/indoor_annual_bud_yield</f>
        <v>1.2536736973209573E-3</v>
      </c>
    </row>
    <row r="27" spans="1:31" x14ac:dyDescent="0.25">
      <c r="A27" s="564" t="s">
        <v>1077</v>
      </c>
      <c r="B27" s="149" t="s">
        <v>598</v>
      </c>
      <c r="C27" s="347">
        <f>LCI!D3*'Indoor Inputs'!$K$105/kW_to_W/(indoor_annual_bud_yield)</f>
        <v>0.12833715631188239</v>
      </c>
      <c r="D27" s="347">
        <f>LCI!E3*'Indoor Inputs'!$K$105/kW_to_W/(indoor_annual_bud_yield)</f>
        <v>315.52266769447533</v>
      </c>
      <c r="E27" s="347">
        <f>LCI!F3*'Indoor Inputs'!$K$105/kW_to_W/(indoor_annual_bud_yield)</f>
        <v>0.41999507977138112</v>
      </c>
      <c r="F27" s="347">
        <f>LCI!G3*'Indoor Inputs'!$K$105/kW_to_W/(indoor_annual_bud_yield)</f>
        <v>68.595069206954761</v>
      </c>
      <c r="G27" s="347">
        <f>LCI!H3*'Indoor Inputs'!$K$105/kW_to_W/(indoor_annual_bud_yield)</f>
        <v>4.3979228602916718E-6</v>
      </c>
      <c r="H27" s="347">
        <f>LCI!I3*'Indoor Inputs'!$K$105/kW_to_W/(indoor_annual_bud_yield)</f>
        <v>1.2503870693527245E-5</v>
      </c>
      <c r="I27" s="347">
        <f>LCI!J3*'Indoor Inputs'!$K$105/kW_to_W/(indoor_annual_bud_yield)</f>
        <v>4.1920315061513144E-6</v>
      </c>
      <c r="J27" s="347">
        <f>LCI!K3*'Indoor Inputs'!$K$105/kW_to_W/(indoor_annual_bud_yield)</f>
        <v>1.7964660789507758</v>
      </c>
      <c r="K27" s="347">
        <f>LCI!L3*'Indoor Inputs'!$K$105/kW_to_W/(indoor_annual_bud_yield)</f>
        <v>45.112918936743839</v>
      </c>
      <c r="L27" s="347">
        <f>LCI!M3*'Indoor Inputs'!$K$105/kW_to_W/(indoor_annual_bud_yield)</f>
        <v>0.15224377013031812</v>
      </c>
      <c r="M27" s="592">
        <f t="shared" si="0"/>
        <v>1.4935358016069471E-2</v>
      </c>
      <c r="N27" s="287" t="s">
        <v>344</v>
      </c>
      <c r="O27" s="288" t="s">
        <v>598</v>
      </c>
      <c r="P27" s="348">
        <f>'Outdoor Inputs'!$F$22*LCI!D19/outdoor_annual_yield</f>
        <v>2.3170894523391559E-4</v>
      </c>
      <c r="Q27" s="348">
        <f>'Outdoor Inputs'!$F$22*LCI!E19/outdoor_annual_yield</f>
        <v>0.15450446723798453</v>
      </c>
      <c r="R27" s="348">
        <f>'Outdoor Inputs'!$F$22*LCI!F19/outdoor_annual_yield</f>
        <v>7.5275296744055299E-5</v>
      </c>
      <c r="S27" s="348">
        <f>'Outdoor Inputs'!$F$22*LCI!G19/outdoor_annual_yield</f>
        <v>4.2848555353366083E-2</v>
      </c>
      <c r="T27" s="348">
        <f>'Outdoor Inputs'!$F$22*LCI!H19/outdoor_annual_yield</f>
        <v>1.1880648981681567E-9</v>
      </c>
      <c r="U27" s="348">
        <f>'Outdoor Inputs'!$F$22*LCI!I19/outdoor_annual_yield</f>
        <v>7.2103242158556003E-9</v>
      </c>
      <c r="V27" s="348">
        <f>'Outdoor Inputs'!$F$22*LCI!J19/outdoor_annual_yield</f>
        <v>7.4812051525103949E-9</v>
      </c>
      <c r="W27" s="348">
        <f>'Outdoor Inputs'!$F$22*LCI!K19/outdoor_annual_yield</f>
        <v>1.3747138282109669E-3</v>
      </c>
      <c r="X27" s="348">
        <f>'Outdoor Inputs'!$F$22*LCI!L19/outdoor_annual_yield</f>
        <v>9.6406015254676514E-2</v>
      </c>
      <c r="Y27" s="348">
        <f>'Outdoor Inputs'!$F$22*LCI!M19/outdoor_annual_yield</f>
        <v>3.8851469076565206E-5</v>
      </c>
    </row>
    <row r="28" spans="1:31" x14ac:dyDescent="0.25">
      <c r="A28" s="564" t="s">
        <v>2095</v>
      </c>
      <c r="B28" s="149" t="s">
        <v>598</v>
      </c>
      <c r="C28" s="347">
        <f>LCI!D3*'Indoor Inputs'!$K$106/kW_to_W/(indoor_annual_bud_yield)</f>
        <v>0.12833715631188239</v>
      </c>
      <c r="D28" s="347">
        <f>LCI!E3*'Indoor Inputs'!$K$106/kW_to_W/(indoor_annual_bud_yield)</f>
        <v>315.52266769447533</v>
      </c>
      <c r="E28" s="347">
        <f>LCI!F3*'Indoor Inputs'!$K$106/kW_to_W/(indoor_annual_bud_yield)</f>
        <v>0.41999507977138112</v>
      </c>
      <c r="F28" s="347">
        <f>LCI!G3*'Indoor Inputs'!$K$106/kW_to_W/(indoor_annual_bud_yield)</f>
        <v>68.595069206954761</v>
      </c>
      <c r="G28" s="347">
        <f>LCI!H3*'Indoor Inputs'!$K$106/kW_to_W/(indoor_annual_bud_yield)</f>
        <v>4.3979228602916718E-6</v>
      </c>
      <c r="H28" s="347">
        <f>LCI!I3*'Indoor Inputs'!$K$106/kW_to_W/(indoor_annual_bud_yield)</f>
        <v>1.2503870693527245E-5</v>
      </c>
      <c r="I28" s="347">
        <f>LCI!J3*'Indoor Inputs'!$K$106/kW_to_W/(indoor_annual_bud_yield)</f>
        <v>4.1920315061513144E-6</v>
      </c>
      <c r="J28" s="347">
        <f>LCI!K3*'Indoor Inputs'!$K$106/kW_to_W/(indoor_annual_bud_yield)</f>
        <v>1.7964660789507758</v>
      </c>
      <c r="K28" s="347">
        <f>LCI!L3*'Indoor Inputs'!$K$106/kW_to_W/(indoor_annual_bud_yield)</f>
        <v>45.112918936743839</v>
      </c>
      <c r="L28" s="347">
        <f>LCI!M3*'Indoor Inputs'!$K$106/kW_to_W/(indoor_annual_bud_yield)</f>
        <v>0.15224377013031812</v>
      </c>
      <c r="M28" s="592">
        <f t="shared" si="0"/>
        <v>1.4935358016069471E-2</v>
      </c>
      <c r="N28" s="287" t="s">
        <v>616</v>
      </c>
      <c r="O28" s="289" t="s">
        <v>598</v>
      </c>
      <c r="P28" s="348">
        <f>'Outdoor Inputs'!$F$66*LCI!D16/outdoor_annual_yield</f>
        <v>3.7006952933800671E-7</v>
      </c>
      <c r="Q28" s="348">
        <f>'Outdoor Inputs'!$F$66*LCI!E16/outdoor_annual_yield</f>
        <v>2.3729283824915277E-4</v>
      </c>
      <c r="R28" s="348">
        <f>'Outdoor Inputs'!$F$66*LCI!F16/outdoor_annual_yield</f>
        <v>2.4344963588517349E-7</v>
      </c>
      <c r="S28" s="348">
        <f>'Outdoor Inputs'!$F$66*LCI!G16/outdoor_annual_yield</f>
        <v>1.3976807297382467E-3</v>
      </c>
      <c r="T28" s="348">
        <f>'Outdoor Inputs'!$F$66*LCI!H16/outdoor_annual_yield</f>
        <v>3.6201056356618333E-12</v>
      </c>
      <c r="U28" s="348">
        <f>'Outdoor Inputs'!$F$66*LCI!I16/outdoor_annual_yield</f>
        <v>1.0735707659593425E-11</v>
      </c>
      <c r="V28" s="348">
        <f>'Outdoor Inputs'!$F$66*LCI!J16/outdoor_annual_yield</f>
        <v>6.9045969649995828E-12</v>
      </c>
      <c r="W28" s="348">
        <f>'Outdoor Inputs'!$F$66*LCI!K16/outdoor_annual_yield</f>
        <v>6.043534702553761E-6</v>
      </c>
      <c r="X28" s="348">
        <f>'Outdoor Inputs'!$F$66*LCI!L16/outdoor_annual_yield</f>
        <v>6.5965684650638886E-5</v>
      </c>
      <c r="Y28" s="348">
        <f>'Outdoor Inputs'!$F$66*LCI!M16/outdoor_annual_yield</f>
        <v>8.8424376045912229E-8</v>
      </c>
    </row>
    <row r="29" spans="1:31" x14ac:dyDescent="0.25">
      <c r="A29" s="564" t="s">
        <v>1078</v>
      </c>
      <c r="B29" s="149" t="s">
        <v>598</v>
      </c>
      <c r="C29" s="347">
        <f>LCI!D3*'Indoor Inputs'!$K$93/kW_to_W/indoor_annual_bud_yield</f>
        <v>0.15991379136626774</v>
      </c>
      <c r="D29" s="347">
        <f>LCI!E3*'Indoor Inputs'!$K$93/kW_to_W/indoor_annual_bud_yield</f>
        <v>393.15524438148168</v>
      </c>
      <c r="E29" s="347">
        <f>LCI!F3*'Indoor Inputs'!$K$93/kW_to_W/indoor_annual_bud_yield</f>
        <v>0.52333250549982124</v>
      </c>
      <c r="F29" s="347">
        <f>LCI!G3*'Indoor Inputs'!$K$93/kW_to_W/indoor_annual_bud_yield</f>
        <v>85.472499945832467</v>
      </c>
      <c r="G29" s="347">
        <f>LCI!H3*'Indoor Inputs'!$K$93/kW_to_W/indoor_annual_bud_yield</f>
        <v>5.4800070294257103E-6</v>
      </c>
      <c r="H29" s="347">
        <f>LCI!I3*'Indoor Inputs'!$K$93/kW_to_W/indoor_annual_bud_yield</f>
        <v>1.5580377708356416E-5</v>
      </c>
      <c r="I29" s="347">
        <f>LCI!J3*'Indoor Inputs'!$K$93/kW_to_W/indoor_annual_bud_yield</f>
        <v>5.2234572663149716E-6</v>
      </c>
      <c r="J29" s="347">
        <f>LCI!K3*'Indoor Inputs'!$K$93/kW_to_W/indoor_annual_bud_yield</f>
        <v>2.2384764475205454</v>
      </c>
      <c r="K29" s="347">
        <f>LCI!L3*'Indoor Inputs'!$K$93/kW_to_W/indoor_annual_bud_yield</f>
        <v>56.212698754537243</v>
      </c>
      <c r="L29" s="347">
        <f>LCI!M3*'Indoor Inputs'!$K$93/kW_to_W/indoor_annual_bud_yield</f>
        <v>0.18970249297303154</v>
      </c>
      <c r="M29" s="592">
        <f t="shared" si="0"/>
        <v>1.8610118802680025E-2</v>
      </c>
      <c r="N29" s="287" t="s">
        <v>1210</v>
      </c>
      <c r="O29" s="289" t="s">
        <v>598</v>
      </c>
      <c r="P29" s="348">
        <f>'Outdoor Inputs'!$F$21*LCI!D20/outdoor_annual_yield</f>
        <v>4.0101819480270992E-8</v>
      </c>
      <c r="Q29" s="348">
        <f>'Outdoor Inputs'!$F$21*LCI!E20/outdoor_annual_yield</f>
        <v>1.3647388937732198E-5</v>
      </c>
      <c r="R29" s="348">
        <f>'Outdoor Inputs'!$F$21*LCI!F20/outdoor_annual_yield</f>
        <v>1.3925850189866014E-8</v>
      </c>
      <c r="S29" s="348">
        <f>'Outdoor Inputs'!$F$21*LCI!G20/outdoor_annual_yield</f>
        <v>6.51685643548408E-6</v>
      </c>
      <c r="T29" s="348">
        <f>'Outdoor Inputs'!$F$21*LCI!H20/outdoor_annual_yield</f>
        <v>2.3129945003393422E-13</v>
      </c>
      <c r="U29" s="348">
        <f>'Outdoor Inputs'!$F$21*LCI!I20/outdoor_annual_yield</f>
        <v>6.1781910431676024E-13</v>
      </c>
      <c r="V29" s="348">
        <f>'Outdoor Inputs'!$F$21*LCI!J20/outdoor_annual_yield</f>
        <v>6.1798984347787695E-13</v>
      </c>
      <c r="W29" s="348">
        <f>'Outdoor Inputs'!$F$21*LCI!K20/outdoor_annual_yield</f>
        <v>3.5607176123668442E-7</v>
      </c>
      <c r="X29" s="348">
        <f>'Outdoor Inputs'!$F$21*LCI!L20/outdoor_annual_yield</f>
        <v>3.6005207351746383E-6</v>
      </c>
      <c r="Y29" s="348">
        <f>'Outdoor Inputs'!$F$21*LCI!M20/outdoor_annual_yield</f>
        <v>4.6108801937350413E-9</v>
      </c>
    </row>
    <row r="30" spans="1:31" x14ac:dyDescent="0.25">
      <c r="A30" s="149" t="s">
        <v>2643</v>
      </c>
      <c r="B30" s="149" t="s">
        <v>598</v>
      </c>
      <c r="C30" s="347">
        <f>SUM('Indoor Inputs'!$K$112:$K$115)*LCI!D31/indoor_annual_bud_yield</f>
        <v>1.1007461179546693E-2</v>
      </c>
      <c r="D30" s="347">
        <f>SUM('Indoor Inputs'!$K$112:$K$115)*LCI!E31/indoor_annual_bud_yield</f>
        <v>1.7390183393856442</v>
      </c>
      <c r="E30" s="347">
        <f>SUM('Indoor Inputs'!$K$112:$K$115)*LCI!F31/indoor_annual_bud_yield</f>
        <v>2.2454586458520425E-3</v>
      </c>
      <c r="F30" s="347">
        <f>SUM('Indoor Inputs'!$K$112:$K$115)*LCI!G31/indoor_annual_bud_yield</f>
        <v>1.3033532362270852</v>
      </c>
      <c r="G30" s="347">
        <f>SUM('Indoor Inputs'!$K$112:$K$115)*LCI!H31/indoor_annual_bud_yield</f>
        <v>4.0894489773141567E-8</v>
      </c>
      <c r="H30" s="347">
        <f>SUM('Indoor Inputs'!$K$112:$K$115)*LCI!I31/indoor_annual_bud_yield</f>
        <v>6.9504078149815991E-8</v>
      </c>
      <c r="I30" s="347">
        <f>SUM('Indoor Inputs'!$K$112:$K$115)*LCI!J31/indoor_annual_bud_yield</f>
        <v>2.5516567320214034E-7</v>
      </c>
      <c r="J30" s="347">
        <f>SUM('Indoor Inputs'!$K$112:$K$115)*LCI!K31/indoor_annual_bud_yield</f>
        <v>0.30491595735713195</v>
      </c>
      <c r="K30" s="347">
        <f>SUM('Indoor Inputs'!$K$112:$K$115)*LCI!L31/indoor_annual_bud_yield</f>
        <v>2.1842700548763716</v>
      </c>
      <c r="L30" s="347">
        <f>SUM('Indoor Inputs'!$K$112:$K$115)*LCI!M31/indoor_annual_bud_yield</f>
        <v>1.6861944247787348E-3</v>
      </c>
      <c r="M30" s="592">
        <f t="shared" si="0"/>
        <v>2.8378201858393414E-4</v>
      </c>
      <c r="N30" s="287" t="s">
        <v>999</v>
      </c>
      <c r="O30" s="289" t="s">
        <v>598</v>
      </c>
      <c r="P30" s="348">
        <f>'Outdoor Inputs'!$F$20*LCI!D18/outdoor_annual_yield</f>
        <v>3.1242451199558026E-3</v>
      </c>
      <c r="Q30" s="348">
        <f>'Outdoor Inputs'!$F$20*LCI!E18/outdoor_annual_yield</f>
        <v>2.9121727592929836</v>
      </c>
      <c r="R30" s="348">
        <f>'Outdoor Inputs'!$F$20*LCI!F18/outdoor_annual_yield</f>
        <v>1.8885193145872121E-3</v>
      </c>
      <c r="S30" s="348">
        <f>'Outdoor Inputs'!$F$20*LCI!G18/outdoor_annual_yield</f>
        <v>0.66331243372967219</v>
      </c>
      <c r="T30" s="348">
        <f>'Outdoor Inputs'!$F$20*LCI!H18/outdoor_annual_yield</f>
        <v>3.1515082549704062E-8</v>
      </c>
      <c r="U30" s="348">
        <f>'Outdoor Inputs'!$F$20*LCI!I18/outdoor_annual_yield</f>
        <v>1.3650824780780816E-7</v>
      </c>
      <c r="V30" s="348">
        <f>'Outdoor Inputs'!$F$20*LCI!J18/outdoor_annual_yield</f>
        <v>1.1674677881049859E-7</v>
      </c>
      <c r="W30" s="348">
        <f>'Outdoor Inputs'!$F$20*LCI!K18/outdoor_annual_yield</f>
        <v>3.4509786461479938E-2</v>
      </c>
      <c r="X30" s="348">
        <f>'Outdoor Inputs'!$F$20*LCI!L18/outdoor_annual_yield</f>
        <v>1.3811245131241134</v>
      </c>
      <c r="Y30" s="348">
        <f>'Outdoor Inputs'!$F$20*LCI!M18/outdoor_annual_yield</f>
        <v>6.1553551779813961E-4</v>
      </c>
    </row>
    <row r="31" spans="1:31" x14ac:dyDescent="0.25">
      <c r="A31" s="149" t="s">
        <v>2644</v>
      </c>
      <c r="B31" s="149" t="s">
        <v>598</v>
      </c>
      <c r="C31" s="347"/>
      <c r="D31" s="347"/>
      <c r="E31" s="347"/>
      <c r="F31" s="347">
        <f>('Indoor Raw Data'!E415*25+'Indoor Raw Data'!E416)*tonnes_to_kgs/indoor_annual_bud_yield</f>
        <v>441.68081719485895</v>
      </c>
      <c r="G31" s="347"/>
      <c r="H31" s="347"/>
      <c r="I31" s="347"/>
      <c r="J31" s="347"/>
      <c r="K31" s="347"/>
      <c r="L31" s="347"/>
      <c r="M31" s="592"/>
      <c r="N31" s="287"/>
      <c r="O31" s="289"/>
      <c r="P31" s="348"/>
      <c r="Q31" s="348"/>
      <c r="R31" s="348"/>
      <c r="S31" s="348"/>
      <c r="T31" s="348"/>
      <c r="U31" s="348"/>
      <c r="V31" s="348"/>
      <c r="W31" s="348"/>
      <c r="X31" s="348"/>
      <c r="Y31" s="348"/>
    </row>
    <row r="32" spans="1:31" x14ac:dyDescent="0.25">
      <c r="A32" s="149" t="s">
        <v>2645</v>
      </c>
      <c r="B32" s="149" t="s">
        <v>598</v>
      </c>
      <c r="C32" s="347">
        <f>(SUM(Transportation!$E$35:$E$38)*Transportation!$D$41*LCI!D39)/indoor_annual_bud_yield</f>
        <v>8.8556215108166247E-2</v>
      </c>
      <c r="D32" s="347">
        <f>(SUM(Transportation!$E$35:$E$38)*Transportation!$D$41*LCI!E39)/indoor_annual_bud_yield</f>
        <v>158.01599365150221</v>
      </c>
      <c r="E32" s="347">
        <f>(SUM(Transportation!$E$35:$E$38)*Transportation!$D$41*LCI!F39)/indoor_annual_bud_yield</f>
        <v>3.5919004341409752E-2</v>
      </c>
      <c r="F32" s="347">
        <f>(SUM(Transportation!$E$35:$E$38)*Transportation!$D$41*LCI!G39)/indoor_annual_bud_yield</f>
        <v>18.18129784880912</v>
      </c>
      <c r="G32" s="347">
        <f>(SUM(Transportation!$E$35:$E$38)*Transportation!$D$41*LCI!H39)/indoor_annual_bud_yield</f>
        <v>1.038178976849299E-6</v>
      </c>
      <c r="H32" s="347">
        <f>(SUM(Transportation!$E$35:$E$38)*Transportation!$D$41*LCI!I39)/indoor_annual_bud_yield</f>
        <v>6.1465466131770493E-6</v>
      </c>
      <c r="I32" s="347">
        <f>(SUM(Transportation!$E$35:$E$38)*Transportation!$D$41*LCI!J39)/indoor_annual_bud_yield</f>
        <v>3.9148650143878207E-6</v>
      </c>
      <c r="J32" s="347">
        <f>(SUM(Transportation!$E$35:$E$38)*Transportation!$D$41*LCI!K39)/indoor_annual_bud_yield</f>
        <v>1.8844015673941779</v>
      </c>
      <c r="K32" s="347">
        <f>(SUM(Transportation!$E$35:$E$38)*Transportation!$D$41*LCI!L39)/indoor_annual_bud_yield</f>
        <v>33.745973335536746</v>
      </c>
      <c r="L32" s="347">
        <f>(SUM(Transportation!$E$35:$E$38)*Transportation!$D$41*LCI!M39)/indoor_annual_bud_yield</f>
        <v>1.3432767937713802E-2</v>
      </c>
      <c r="M32" s="592"/>
      <c r="N32" s="287"/>
      <c r="O32" s="289"/>
      <c r="P32" s="348"/>
      <c r="Q32" s="348"/>
      <c r="R32" s="348"/>
      <c r="S32" s="348"/>
      <c r="T32" s="348"/>
      <c r="U32" s="348"/>
      <c r="V32" s="348"/>
      <c r="W32" s="348"/>
      <c r="X32" s="348"/>
      <c r="Y32" s="348"/>
    </row>
    <row r="33" spans="1:25" x14ac:dyDescent="0.25">
      <c r="A33" s="564" t="s">
        <v>2030</v>
      </c>
      <c r="B33" s="149" t="s">
        <v>598</v>
      </c>
      <c r="C33" s="347">
        <f>LCI!D3*'Indoor Inputs'!$K$41/indoor_annual_bud_yield/kW_to_W</f>
        <v>8.7421112840536067E-2</v>
      </c>
      <c r="D33" s="347">
        <f>LCI!E3*'Indoor Inputs'!$K$41/indoor_annual_bud_yield/kW_to_W</f>
        <v>214.92873559729807</v>
      </c>
      <c r="E33" s="347">
        <f>LCI!F3*'Indoor Inputs'!$K$41/indoor_annual_bud_yield/kW_to_W</f>
        <v>0.28609358595990936</v>
      </c>
      <c r="F33" s="347">
        <f>LCI!G3*'Indoor Inputs'!$K$41/indoor_annual_bud_yield/kW_to_W</f>
        <v>46.725807691052594</v>
      </c>
      <c r="G33" s="347">
        <f>LCI!H3*'Indoor Inputs'!$K$41/indoor_annual_bud_yield/kW_to_W</f>
        <v>2.9957910996500247E-6</v>
      </c>
      <c r="H33" s="347">
        <f>LCI!I3*'Indoor Inputs'!$K$41/indoor_annual_bud_yield/kW_to_W</f>
        <v>8.5174264589896445E-6</v>
      </c>
      <c r="I33" s="347">
        <f>LCI!J3*'Indoor Inputs'!$K$41/indoor_annual_bud_yield/kW_to_W</f>
        <v>2.8555413713526836E-6</v>
      </c>
      <c r="J33" s="347">
        <f>LCI!K3*'Indoor Inputs'!$K$41/indoor_annual_bud_yield/kW_to_W</f>
        <v>1.2237224847065618</v>
      </c>
      <c r="K33" s="347">
        <f>LCI!L3*'Indoor Inputs'!$K$41/indoor_annual_bud_yield/kW_to_W</f>
        <v>30.730161788460101</v>
      </c>
      <c r="L33" s="347">
        <f>LCI!M3*'Indoor Inputs'!$K$41/indoor_annual_bud_yield/kW_to_W</f>
        <v>0.10370589617465993</v>
      </c>
      <c r="M33" s="592">
        <f t="shared" si="0"/>
        <v>1.0173714736701908E-2</v>
      </c>
      <c r="N33" s="287" t="s">
        <v>1164</v>
      </c>
      <c r="O33" s="289" t="s">
        <v>598</v>
      </c>
      <c r="P33" s="348">
        <f>'Outdoor Inputs'!$F$65*LCI!D30/outdoor_annual_yield</f>
        <v>7.116659438891445E-6</v>
      </c>
      <c r="Q33" s="348">
        <f>'Outdoor Inputs'!$F$65*LCI!E30/outdoor_annual_yield</f>
        <v>6.4132967234814368E-3</v>
      </c>
      <c r="R33" s="348">
        <f>'Outdoor Inputs'!$F$65*LCI!F30/outdoor_annual_yield</f>
        <v>4.5479763029192198E-6</v>
      </c>
      <c r="S33" s="348">
        <f>'Outdoor Inputs'!$F$65*LCI!G30/outdoor_annual_yield</f>
        <v>1.6148017304505047E-3</v>
      </c>
      <c r="T33" s="348">
        <f>'Outdoor Inputs'!$F$65*LCI!H30/outdoor_annual_yield</f>
        <v>7.1367342350003678E-11</v>
      </c>
      <c r="U33" s="348">
        <f>'Outdoor Inputs'!$F$65*LCI!I30/outdoor_annual_yield</f>
        <v>2.7839599309108153E-10</v>
      </c>
      <c r="V33" s="348">
        <f>'Outdoor Inputs'!$F$65*LCI!J30/outdoor_annual_yield</f>
        <v>2.0868407398396591E-10</v>
      </c>
      <c r="W33" s="348">
        <f>'Outdoor Inputs'!$F$65*LCI!K30/outdoor_annual_yield</f>
        <v>7.3591068027791266E-5</v>
      </c>
      <c r="X33" s="348">
        <f>'Outdoor Inputs'!$F$65*LCI!L30/outdoor_annual_yield</f>
        <v>2.4091370633253233E-3</v>
      </c>
      <c r="Y33" s="348">
        <f>'Outdoor Inputs'!$F$65*LCI!M30/outdoor_annual_yield</f>
        <v>1.2580075005958868E-6</v>
      </c>
    </row>
    <row r="34" spans="1:25" x14ac:dyDescent="0.25">
      <c r="A34" s="564" t="s">
        <v>2031</v>
      </c>
      <c r="B34" s="149" t="s">
        <v>598</v>
      </c>
      <c r="C34" s="347">
        <f>'Indoor Inputs'!$K$42/kW_to_W*LCI!D3/indoor_annual_bud_yield</f>
        <v>0</v>
      </c>
      <c r="D34" s="347">
        <f>'Indoor Inputs'!$K$42/kW_to_W*LCI!E3/indoor_annual_bud_yield</f>
        <v>0</v>
      </c>
      <c r="E34" s="347">
        <f>'Indoor Inputs'!$K$42/kW_to_W*LCI!F3/indoor_annual_bud_yield</f>
        <v>0</v>
      </c>
      <c r="F34" s="347">
        <f>'Indoor Inputs'!$K$42/kW_to_W*LCI!G3/indoor_annual_bud_yield</f>
        <v>0</v>
      </c>
      <c r="G34" s="347">
        <f>'Indoor Inputs'!$K$42/kW_to_W*LCI!H3/indoor_annual_bud_yield</f>
        <v>0</v>
      </c>
      <c r="H34" s="347">
        <f>'Indoor Inputs'!$K$42/kW_to_W*LCI!I3/indoor_annual_bud_yield</f>
        <v>0</v>
      </c>
      <c r="I34" s="347">
        <f>'Indoor Inputs'!$K$42/kW_to_W*LCI!J3/indoor_annual_bud_yield</f>
        <v>0</v>
      </c>
      <c r="J34" s="347">
        <f>'Indoor Inputs'!$K$42/kW_to_W*LCI!K3/indoor_annual_bud_yield</f>
        <v>0</v>
      </c>
      <c r="K34" s="347">
        <f>'Indoor Inputs'!$K$42/kW_to_W*LCI!L3/indoor_annual_bud_yield</f>
        <v>0</v>
      </c>
      <c r="L34" s="347">
        <f>'Indoor Inputs'!$K$42/kW_to_W*LCI!M3/indoor_annual_bud_yield</f>
        <v>0</v>
      </c>
      <c r="M34" s="592">
        <f t="shared" si="0"/>
        <v>0</v>
      </c>
      <c r="P34" s="347"/>
      <c r="Q34" s="347"/>
      <c r="R34" s="347"/>
      <c r="S34" s="347"/>
      <c r="T34" s="347"/>
      <c r="U34" s="347"/>
      <c r="V34" s="347"/>
      <c r="W34" s="347"/>
      <c r="X34" s="347"/>
      <c r="Y34" s="347"/>
    </row>
    <row r="35" spans="1:25" x14ac:dyDescent="0.25">
      <c r="A35" s="564" t="s">
        <v>2098</v>
      </c>
      <c r="B35" s="149" t="s">
        <v>598</v>
      </c>
      <c r="C35" s="347">
        <f>'Indoor Inputs'!$K$43/indoor_annual_bud_yield/kW_to_W*LCI!D3</f>
        <v>2.4731213257401592E-2</v>
      </c>
      <c r="D35" s="347">
        <f>'Indoor Inputs'!$K$43/indoor_annual_bud_yield/kW_to_W*LCI!E3</f>
        <v>60.802799489595998</v>
      </c>
      <c r="E35" s="347">
        <f>'Indoor Inputs'!$K$43/indoor_annual_bud_yield/kW_to_W*LCI!F3</f>
        <v>8.0935156920908927E-2</v>
      </c>
      <c r="F35" s="347">
        <f>'Indoor Inputs'!$K$43/indoor_annual_bud_yield/kW_to_W*LCI!G3</f>
        <v>13.218613640158635</v>
      </c>
      <c r="G35" s="347">
        <f>'Indoor Inputs'!$K$43/indoor_annual_bud_yield/kW_to_W*LCI!H3</f>
        <v>8.4750177791966986E-7</v>
      </c>
      <c r="H35" s="347">
        <f>'Indoor Inputs'!$K$43/indoor_annual_bud_yield/kW_to_W*LCI!I3</f>
        <v>2.4095585530436511E-6</v>
      </c>
      <c r="I35" s="347">
        <f>'Indoor Inputs'!$K$43/indoor_annual_bud_yield/kW_to_W*LCI!J3</f>
        <v>8.0782548203287284E-7</v>
      </c>
      <c r="J35" s="347">
        <f>'Indoor Inputs'!$K$43/indoor_annual_bud_yield/kW_to_W*LCI!K3</f>
        <v>0.34618801744562372</v>
      </c>
      <c r="K35" s="347">
        <f>'Indoor Inputs'!$K$43/indoor_annual_bud_yield/kW_to_W*LCI!L3</f>
        <v>8.6934855886718996</v>
      </c>
      <c r="L35" s="347">
        <f>'Indoor Inputs'!$K$43/indoor_annual_bud_yield/kW_to_W*LCI!M3</f>
        <v>2.9338137562076535E-2</v>
      </c>
      <c r="M35" s="592">
        <f t="shared" si="0"/>
        <v>2.878118346906659E-3</v>
      </c>
      <c r="O35" s="149" t="s">
        <v>1223</v>
      </c>
      <c r="P35" s="347">
        <f t="shared" ref="P35:Y35" si="1">SUM(P4:P33)</f>
        <v>0.12534098605207622</v>
      </c>
      <c r="Q35" s="347">
        <f t="shared" si="1"/>
        <v>121.14266912522369</v>
      </c>
      <c r="R35" s="347">
        <f t="shared" si="1"/>
        <v>0.13720602954679526</v>
      </c>
      <c r="S35" s="347">
        <f t="shared" si="1"/>
        <v>70.299530387765643</v>
      </c>
      <c r="T35" s="440">
        <f t="shared" si="1"/>
        <v>1.7055079676980077E-6</v>
      </c>
      <c r="U35" s="440">
        <f t="shared" si="1"/>
        <v>4.8247020264704591E-6</v>
      </c>
      <c r="V35" s="440">
        <f t="shared" si="1"/>
        <v>7.1444298709682712E-6</v>
      </c>
      <c r="W35" s="347">
        <f t="shared" si="1"/>
        <v>2.1071930194114796</v>
      </c>
      <c r="X35" s="347">
        <f t="shared" si="1"/>
        <v>129.09216930525074</v>
      </c>
      <c r="Y35" s="347">
        <f t="shared" si="1"/>
        <v>5.0691851426979066E-2</v>
      </c>
    </row>
    <row r="36" spans="1:25" x14ac:dyDescent="0.25">
      <c r="A36" s="149" t="s">
        <v>2604</v>
      </c>
      <c r="B36" s="149" t="s">
        <v>598</v>
      </c>
      <c r="C36" s="347">
        <f>('Indoor Inputs'!$K$126*Transportation!$D$15*LCI!D38)/indoor_annual_bud_yield</f>
        <v>0.40116781951520947</v>
      </c>
      <c r="D36" s="347">
        <f>('Indoor Inputs'!$K$126*Transportation!$D$15*LCI!E38)/indoor_annual_bud_yield</f>
        <v>288.30763985270988</v>
      </c>
      <c r="E36" s="347">
        <f>('Indoor Inputs'!$K$126*Transportation!$D$15*LCI!F38)/indoor_annual_bud_yield</f>
        <v>0.11639682931839775</v>
      </c>
      <c r="F36" s="347">
        <f>('Indoor Inputs'!$K$126*Transportation!$D$15*LCI!G38)/indoor_annual_bud_yield</f>
        <v>111.10614717450022</v>
      </c>
      <c r="G36" s="347">
        <f>('Indoor Inputs'!$K$126*Transportation!$D$15*LCI!H38)/indoor_annual_bud_yield</f>
        <v>3.2378820772620513E-6</v>
      </c>
      <c r="H36" s="347">
        <f>('Indoor Inputs'!$K$126*Transportation!$D$15*LCI!I38)/indoor_annual_bud_yield</f>
        <v>1.0883739738623512E-5</v>
      </c>
      <c r="I36" s="347">
        <f>('Indoor Inputs'!$K$126*Transportation!$D$15*LCI!J38)/indoor_annual_bud_yield</f>
        <v>2.6488626737821042E-5</v>
      </c>
      <c r="J36" s="347">
        <f>('Indoor Inputs'!$K$126*Transportation!$D$15*LCI!K38)/indoor_annual_bud_yield</f>
        <v>8.3147370988686138</v>
      </c>
      <c r="K36" s="347">
        <f>('Indoor Inputs'!$K$126*Transportation!$D$15*LCI!L38)/indoor_annual_bud_yield</f>
        <v>224.45002552822578</v>
      </c>
      <c r="L36" s="347">
        <f>('Indoor Inputs'!$K$126*Transportation!$D$15*LCI!M38)/indoor_annual_bud_yield</f>
        <v>5.4858968494886765E-2</v>
      </c>
      <c r="O36" s="149" t="s">
        <v>1614</v>
      </c>
      <c r="P36" s="290">
        <f>(output_LCA_acid-P35)/output_LCA_acid</f>
        <v>0.98409020155625349</v>
      </c>
      <c r="Q36" s="290">
        <f>(output_LCA_ecotox-Q35)/output_LCA_ecotox</f>
        <v>0.98761531475530817</v>
      </c>
      <c r="R36" s="290">
        <f>(output_LCA_eutro-R35)/output_LCA_eutro</f>
        <v>0.98649118584902684</v>
      </c>
      <c r="S36" s="290">
        <f>(output_LCA_GWP-S35)/output_LCA_GWP</f>
        <v>0.98469352583441394</v>
      </c>
      <c r="T36" s="290">
        <f>(output_LCA_carcin-T35)/output_LCA_carcin</f>
        <v>0.9861476645336601</v>
      </c>
      <c r="U36" s="290">
        <f>(output_LCA_non_carcin-U35)/output_LCA_non_carcin</f>
        <v>0.98806997661679241</v>
      </c>
      <c r="V36" s="290">
        <f>(output_LCA_ozone_dep-V35)/output_LCA_ozone_dep</f>
        <v>0.97964785448577851</v>
      </c>
      <c r="W36" s="290">
        <f>(output_LCA_ozone_form-W35)/output_LCA_ozone_form</f>
        <v>0.98753709591173888</v>
      </c>
      <c r="X36" s="290">
        <f>(output_LCA_resource_dep-X35)/output_LCA_resource_dep</f>
        <v>0.97817926048047232</v>
      </c>
      <c r="Y36" s="290">
        <f>(output_LCA_resp-Y35)/output_LCA_resp</f>
        <v>0.98581884363117622</v>
      </c>
    </row>
    <row r="37" spans="1:25" x14ac:dyDescent="0.25">
      <c r="A37" s="149" t="s">
        <v>2605</v>
      </c>
      <c r="B37" s="149" t="s">
        <v>598</v>
      </c>
      <c r="C37" s="347">
        <f>('Indoor Inputs'!$K$126*Transportation!$D$16*LCI!D39)/indoor_annual_bud_yield</f>
        <v>0.62106812734594341</v>
      </c>
      <c r="D37" s="347">
        <f>('Indoor Inputs'!$K$126*Transportation!$D$16*LCI!E39)/indoor_annual_bud_yield</f>
        <v>1108.2079010262157</v>
      </c>
      <c r="E37" s="347">
        <f>('Indoor Inputs'!$K$126*Transportation!$D$16*LCI!F39)/indoor_annual_bud_yield</f>
        <v>0.25190946491109706</v>
      </c>
      <c r="F37" s="347">
        <f>('Indoor Inputs'!$K$126*Transportation!$D$16*LCI!G39)/indoor_annual_bud_yield</f>
        <v>127.51024413008625</v>
      </c>
      <c r="G37" s="347">
        <f>('Indoor Inputs'!$K$126*Transportation!$D$16*LCI!H39)/indoor_annual_bud_yield</f>
        <v>7.2810233840071044E-6</v>
      </c>
      <c r="H37" s="347">
        <f>('Indoor Inputs'!$K$126*Transportation!$D$16*LCI!I39)/indoor_annual_bud_yield</f>
        <v>4.3107354916057107E-5</v>
      </c>
      <c r="I37" s="347">
        <f>('Indoor Inputs'!$K$126*Transportation!$D$16*LCI!J39)/indoor_annual_bud_yield</f>
        <v>2.7455982398617456E-5</v>
      </c>
      <c r="J37" s="347">
        <f>('Indoor Inputs'!$K$126*Transportation!$D$16*LCI!K39)/indoor_annual_bud_yield</f>
        <v>13.215805928468811</v>
      </c>
      <c r="K37" s="347">
        <f>('Indoor Inputs'!$K$126*Transportation!$D$16*LCI!L39)/indoor_annual_bud_yield</f>
        <v>236.66942449345089</v>
      </c>
      <c r="L37" s="347">
        <f>('Indoor Inputs'!$K$126*Transportation!$D$16*LCI!M39)/indoor_annual_bud_yield</f>
        <v>9.4207549610814609E-2</v>
      </c>
      <c r="M37" s="290"/>
      <c r="P37" s="290"/>
      <c r="Q37" s="290"/>
      <c r="R37" s="290"/>
      <c r="S37" s="290"/>
      <c r="T37" s="290"/>
      <c r="U37" s="290"/>
      <c r="V37" s="290"/>
      <c r="W37" s="290"/>
      <c r="X37" s="290"/>
      <c r="Y37" s="290"/>
    </row>
    <row r="38" spans="1:25" ht="30" x14ac:dyDescent="0.25">
      <c r="A38" s="149" t="s">
        <v>2606</v>
      </c>
      <c r="B38" s="149" t="s">
        <v>598</v>
      </c>
      <c r="C38" s="347">
        <f>('Indoor Inputs'!$K$126*Transportation!$D$17*LCI!D40)/indoor_annual_bud_yield</f>
        <v>2.0742772466251062E-2</v>
      </c>
      <c r="D38" s="347">
        <f>('Indoor Inputs'!$K$126*Transportation!$D$17*LCI!E40)/indoor_annual_bud_yield</f>
        <v>35.981586218841464</v>
      </c>
      <c r="E38" s="347">
        <f>('Indoor Inputs'!$K$126*Transportation!$D$17*LCI!F40)/indoor_annual_bud_yield</f>
        <v>1.3732888585864078E-2</v>
      </c>
      <c r="F38" s="347">
        <f>('Indoor Inputs'!$K$126*Transportation!$D$17*LCI!G40)/indoor_annual_bud_yield</f>
        <v>7.382968742140104</v>
      </c>
      <c r="G38" s="347">
        <f>('Indoor Inputs'!$K$126*Transportation!$D$17*LCI!H40)/indoor_annual_bud_yield</f>
        <v>4.7750512676143026E-7</v>
      </c>
      <c r="H38" s="347">
        <f>('Indoor Inputs'!$K$126*Transportation!$D$17*LCI!I40)/indoor_annual_bud_yield</f>
        <v>1.5244131049453886E-6</v>
      </c>
      <c r="I38" s="347">
        <f>('Indoor Inputs'!$K$126*Transportation!$D$17*LCI!J40)/indoor_annual_bud_yield</f>
        <v>1.4583452048435495E-6</v>
      </c>
      <c r="J38" s="347">
        <f>('Indoor Inputs'!$K$126*Transportation!$D$17*LCI!K40)/indoor_annual_bud_yield</f>
        <v>0.22267172538407412</v>
      </c>
      <c r="K38" s="347">
        <f>('Indoor Inputs'!$K$126*Transportation!$D$17*LCI!L40)/indoor_annual_bud_yield</f>
        <v>13.012349173223845</v>
      </c>
      <c r="L38" s="347">
        <f>('Indoor Inputs'!$K$126*Transportation!$D$17*LCI!M40)/indoor_annual_bud_yield</f>
        <v>3.5441660575789074E-3</v>
      </c>
      <c r="M38" s="290"/>
      <c r="P38" s="290"/>
      <c r="Q38" s="290"/>
      <c r="R38" s="290"/>
      <c r="S38" s="290"/>
      <c r="T38" s="290"/>
      <c r="U38" s="290"/>
      <c r="V38" s="290"/>
      <c r="W38" s="290"/>
      <c r="X38" s="290"/>
      <c r="Y38" s="290"/>
    </row>
    <row r="39" spans="1:25" x14ac:dyDescent="0.25">
      <c r="A39" s="149" t="s">
        <v>2692</v>
      </c>
      <c r="B39" s="149" t="s">
        <v>598</v>
      </c>
      <c r="F39" s="500">
        <f>-'Indoor Inputs'!K127*indoor_annual_bud_yield</f>
        <v>-1.8333333333333333</v>
      </c>
      <c r="M39" s="290"/>
      <c r="P39" s="290"/>
      <c r="Q39" s="290"/>
      <c r="R39" s="290"/>
      <c r="S39" s="290"/>
      <c r="T39" s="290"/>
      <c r="U39" s="290"/>
      <c r="V39" s="290"/>
      <c r="W39" s="290"/>
      <c r="X39" s="290"/>
      <c r="Y39" s="290"/>
    </row>
    <row r="40" spans="1:25" x14ac:dyDescent="0.25">
      <c r="A40" s="149" t="s">
        <v>2706</v>
      </c>
      <c r="B40" s="149" t="s">
        <v>598</v>
      </c>
      <c r="F40" s="347">
        <f>-'Indoor Raw Data'!B436</f>
        <v>-203.27066434564904</v>
      </c>
      <c r="M40" s="290"/>
      <c r="P40" s="290"/>
      <c r="Q40" s="290"/>
      <c r="R40" s="290"/>
      <c r="S40" s="290"/>
      <c r="T40" s="290"/>
      <c r="U40" s="290"/>
      <c r="V40" s="290"/>
      <c r="W40" s="290"/>
      <c r="X40" s="290"/>
      <c r="Y40" s="290"/>
    </row>
    <row r="41" spans="1:25" x14ac:dyDescent="0.25">
      <c r="F41" s="500"/>
      <c r="M41" s="290"/>
      <c r="P41" s="290"/>
      <c r="Q41" s="290"/>
      <c r="R41" s="290"/>
      <c r="S41" s="290"/>
      <c r="T41" s="290"/>
      <c r="U41" s="290"/>
      <c r="V41" s="290"/>
      <c r="W41" s="290"/>
      <c r="X41" s="290"/>
      <c r="Y41" s="290"/>
    </row>
    <row r="42" spans="1:25" x14ac:dyDescent="0.25">
      <c r="B42" s="149" t="s">
        <v>1223</v>
      </c>
      <c r="C42" s="347">
        <f>SUM(C4:C35)</f>
        <v>7.8782258930088664</v>
      </c>
      <c r="D42" s="347">
        <f>SUM(D4:D35)</f>
        <v>9781.6510255798985</v>
      </c>
      <c r="E42" s="347">
        <f>SUM(E4:E35)</f>
        <v>10.156778234817311</v>
      </c>
      <c r="F42" s="347">
        <f>SUM(F4:F38)</f>
        <v>4592.797114950371</v>
      </c>
      <c r="G42" s="347">
        <f t="shared" ref="G42:L42" si="2">SUM(G4:G35)</f>
        <v>1.2312060820662807E-4</v>
      </c>
      <c r="H42" s="347">
        <f t="shared" si="2"/>
        <v>4.0441681223035844E-4</v>
      </c>
      <c r="I42" s="347">
        <f t="shared" si="2"/>
        <v>3.5104062448727667E-4</v>
      </c>
      <c r="J42" s="347">
        <f t="shared" si="2"/>
        <v>169.07720740595741</v>
      </c>
      <c r="K42" s="347">
        <f t="shared" si="2"/>
        <v>5916.030902148128</v>
      </c>
      <c r="L42" s="347">
        <f t="shared" si="2"/>
        <v>3.5745922341298906</v>
      </c>
      <c r="P42" s="290"/>
      <c r="Q42" s="290"/>
      <c r="R42" s="290"/>
      <c r="S42" s="290"/>
      <c r="T42" s="290"/>
      <c r="U42" s="290"/>
      <c r="V42" s="290"/>
      <c r="W42" s="290"/>
      <c r="X42" s="290"/>
      <c r="Y42" s="290"/>
    </row>
    <row r="43" spans="1:25" x14ac:dyDescent="0.25">
      <c r="F43" s="500"/>
      <c r="O43" s="149" t="s">
        <v>1042</v>
      </c>
      <c r="P43" s="290" t="s">
        <v>2062</v>
      </c>
      <c r="Q43" s="290" t="s">
        <v>1044</v>
      </c>
      <c r="R43" s="290" t="s">
        <v>1043</v>
      </c>
      <c r="S43" s="290" t="s">
        <v>1044</v>
      </c>
      <c r="T43" s="290"/>
      <c r="U43" s="290"/>
      <c r="V43" s="290"/>
      <c r="W43" s="290"/>
      <c r="X43" s="290"/>
      <c r="Y43" s="290"/>
    </row>
    <row r="44" spans="1:25" x14ac:dyDescent="0.25">
      <c r="F44" s="571" t="str">
        <f>IF(F43=output_LCA_GWP,"YAY","NO")</f>
        <v>NO</v>
      </c>
      <c r="H44" s="149" t="s">
        <v>2693</v>
      </c>
      <c r="I44" s="347">
        <f>F31-334.81</f>
        <v>106.87081719485894</v>
      </c>
      <c r="J44" s="149" t="s">
        <v>2694</v>
      </c>
      <c r="O44" s="149" t="s">
        <v>2176</v>
      </c>
      <c r="P44" s="290" t="s">
        <v>1212</v>
      </c>
      <c r="Q44" s="290" t="s">
        <v>1043</v>
      </c>
      <c r="R44" s="290" t="s">
        <v>1042</v>
      </c>
      <c r="S44" s="290" t="s">
        <v>1002</v>
      </c>
      <c r="T44" s="290"/>
      <c r="U44" s="290"/>
      <c r="V44" s="290"/>
      <c r="W44" s="290"/>
      <c r="X44" s="290"/>
      <c r="Y44" s="290"/>
    </row>
    <row r="45" spans="1:25" ht="21.75" customHeight="1" x14ac:dyDescent="0.25">
      <c r="F45" s="347"/>
      <c r="I45" s="500">
        <f>SUM(F39:F40)</f>
        <v>-205.10399767898238</v>
      </c>
      <c r="J45" s="149" t="s">
        <v>2695</v>
      </c>
      <c r="V45" s="290"/>
      <c r="W45" s="290"/>
      <c r="X45" s="290"/>
      <c r="Y45" s="290"/>
    </row>
    <row r="46" spans="1:25" ht="15.75" thickBot="1" x14ac:dyDescent="0.3">
      <c r="I46" s="347">
        <f>I45+I44</f>
        <v>-98.233180484123437</v>
      </c>
      <c r="V46" s="290"/>
      <c r="W46" s="290"/>
      <c r="X46" s="290"/>
      <c r="Y46" s="290"/>
    </row>
    <row r="47" spans="1:25" ht="21.75" customHeight="1" thickBot="1" x14ac:dyDescent="0.3">
      <c r="C47" s="778" t="s">
        <v>1616</v>
      </c>
      <c r="D47" s="779"/>
      <c r="E47" s="779"/>
      <c r="F47" s="779"/>
      <c r="G47" s="779"/>
      <c r="H47" s="779"/>
      <c r="I47" s="779"/>
      <c r="J47" s="779"/>
      <c r="K47" s="779"/>
      <c r="L47" s="780"/>
      <c r="P47" s="778" t="s">
        <v>1594</v>
      </c>
      <c r="Q47" s="779"/>
      <c r="R47" s="779"/>
      <c r="S47" s="779"/>
      <c r="T47" s="779"/>
      <c r="U47" s="779"/>
      <c r="V47" s="779"/>
      <c r="W47" s="779"/>
      <c r="X47" s="779"/>
      <c r="Y47" s="780"/>
    </row>
    <row r="48" spans="1:25" ht="30" x14ac:dyDescent="0.25">
      <c r="C48" s="182" t="s">
        <v>449</v>
      </c>
      <c r="D48" s="182" t="s">
        <v>450</v>
      </c>
      <c r="E48" s="182" t="s">
        <v>451</v>
      </c>
      <c r="F48" s="182" t="s">
        <v>452</v>
      </c>
      <c r="G48" s="182" t="s">
        <v>453</v>
      </c>
      <c r="H48" s="182" t="s">
        <v>454</v>
      </c>
      <c r="I48" s="182" t="s">
        <v>455</v>
      </c>
      <c r="J48" s="182" t="s">
        <v>456</v>
      </c>
      <c r="K48" s="182" t="s">
        <v>457</v>
      </c>
      <c r="L48" s="182" t="s">
        <v>458</v>
      </c>
      <c r="P48" s="182" t="s">
        <v>449</v>
      </c>
      <c r="Q48" s="182" t="s">
        <v>450</v>
      </c>
      <c r="R48" s="182" t="s">
        <v>451</v>
      </c>
      <c r="S48" s="182" t="s">
        <v>452</v>
      </c>
      <c r="T48" s="182" t="s">
        <v>453</v>
      </c>
      <c r="U48" s="182" t="s">
        <v>454</v>
      </c>
      <c r="V48" s="182" t="s">
        <v>455</v>
      </c>
      <c r="W48" s="182" t="s">
        <v>456</v>
      </c>
      <c r="X48" s="182" t="s">
        <v>457</v>
      </c>
      <c r="Y48" s="182" t="s">
        <v>458</v>
      </c>
    </row>
    <row r="49" spans="1:25" x14ac:dyDescent="0.25">
      <c r="C49" s="69" t="s">
        <v>459</v>
      </c>
      <c r="D49" s="69" t="s">
        <v>460</v>
      </c>
      <c r="E49" s="69" t="s">
        <v>461</v>
      </c>
      <c r="F49" s="69" t="s">
        <v>462</v>
      </c>
      <c r="G49" s="69" t="s">
        <v>463</v>
      </c>
      <c r="H49" s="69" t="s">
        <v>463</v>
      </c>
      <c r="I49" s="69" t="s">
        <v>464</v>
      </c>
      <c r="J49" s="69" t="s">
        <v>465</v>
      </c>
      <c r="K49" s="179" t="s">
        <v>466</v>
      </c>
      <c r="L49" s="69" t="s">
        <v>467</v>
      </c>
      <c r="P49" s="69" t="s">
        <v>459</v>
      </c>
      <c r="Q49" s="69" t="s">
        <v>460</v>
      </c>
      <c r="R49" s="69" t="s">
        <v>461</v>
      </c>
      <c r="S49" s="69" t="s">
        <v>462</v>
      </c>
      <c r="T49" s="69" t="s">
        <v>463</v>
      </c>
      <c r="U49" s="69" t="s">
        <v>463</v>
      </c>
      <c r="V49" s="69" t="s">
        <v>464</v>
      </c>
      <c r="W49" s="69" t="s">
        <v>465</v>
      </c>
      <c r="X49" s="179" t="s">
        <v>466</v>
      </c>
      <c r="Y49" s="69" t="s">
        <v>467</v>
      </c>
    </row>
    <row r="50" spans="1:25" x14ac:dyDescent="0.25">
      <c r="A50" s="31" t="s">
        <v>1617</v>
      </c>
      <c r="B50" s="149" t="s">
        <v>598</v>
      </c>
      <c r="C50" s="347">
        <f t="shared" ref="C50:L50" si="3">SUM(C4:C12)+SUM(C27:C29)+SUM(C33:C35)</f>
        <v>3.464708371103113</v>
      </c>
      <c r="D50" s="347">
        <f t="shared" si="3"/>
        <v>2683.2843663621134</v>
      </c>
      <c r="E50" s="347">
        <f t="shared" si="3"/>
        <v>3.0469768403809545</v>
      </c>
      <c r="F50" s="347">
        <f t="shared" si="3"/>
        <v>2312.6496975845048</v>
      </c>
      <c r="G50" s="347">
        <f t="shared" si="3"/>
        <v>3.780633584377307E-5</v>
      </c>
      <c r="H50" s="347">
        <f t="shared" si="3"/>
        <v>1.0110651606386455E-4</v>
      </c>
      <c r="I50" s="347">
        <f t="shared" si="3"/>
        <v>2.5437992940685741E-4</v>
      </c>
      <c r="J50" s="347">
        <f t="shared" si="3"/>
        <v>59.901224911559822</v>
      </c>
      <c r="K50" s="347">
        <f t="shared" si="3"/>
        <v>4813.3509291181954</v>
      </c>
      <c r="L50" s="347">
        <f t="shared" si="3"/>
        <v>1.1344243723341696</v>
      </c>
      <c r="N50" s="31" t="s">
        <v>1617</v>
      </c>
      <c r="O50" s="149" t="s">
        <v>598</v>
      </c>
      <c r="P50" s="347">
        <f t="shared" ref="P50:Y50" si="4">SUM(P4:P9)</f>
        <v>8.9512606502401143E-2</v>
      </c>
      <c r="Q50" s="347">
        <f t="shared" si="4"/>
        <v>71.626485748224823</v>
      </c>
      <c r="R50" s="347">
        <f t="shared" si="4"/>
        <v>8.2319331432244958E-2</v>
      </c>
      <c r="S50" s="347">
        <f t="shared" si="4"/>
        <v>58.488336811744091</v>
      </c>
      <c r="T50" s="347">
        <f t="shared" si="4"/>
        <v>1.0084263085253496E-6</v>
      </c>
      <c r="U50" s="347">
        <f t="shared" si="4"/>
        <v>2.7087075179247546E-6</v>
      </c>
      <c r="V50" s="347">
        <f t="shared" si="4"/>
        <v>6.3799234227431674E-6</v>
      </c>
      <c r="W50" s="347">
        <f t="shared" si="4"/>
        <v>1.5152539971102312</v>
      </c>
      <c r="X50" s="347">
        <f t="shared" si="4"/>
        <v>120.17442901284048</v>
      </c>
      <c r="Y50" s="347">
        <f t="shared" si="4"/>
        <v>3.0582607972155711E-2</v>
      </c>
    </row>
    <row r="51" spans="1:25" x14ac:dyDescent="0.25">
      <c r="A51" s="31" t="str">
        <f>A13</f>
        <v>Electricity from Lights</v>
      </c>
      <c r="B51" s="149" t="s">
        <v>598</v>
      </c>
      <c r="C51" s="347">
        <f t="shared" ref="C51:L51" si="5">C13</f>
        <v>1.565751811762258</v>
      </c>
      <c r="D51" s="347">
        <f t="shared" si="5"/>
        <v>3849.4712115492362</v>
      </c>
      <c r="E51" s="347">
        <f t="shared" si="5"/>
        <v>5.1240659835501425</v>
      </c>
      <c r="F51" s="347">
        <f t="shared" si="5"/>
        <v>836.88042477533656</v>
      </c>
      <c r="G51" s="347">
        <f t="shared" si="5"/>
        <v>5.3655978396139477E-5</v>
      </c>
      <c r="H51" s="347">
        <f t="shared" si="5"/>
        <v>1.5255097397400114E-4</v>
      </c>
      <c r="I51" s="347">
        <f t="shared" si="5"/>
        <v>5.1144042102428711E-5</v>
      </c>
      <c r="J51" s="347">
        <f t="shared" si="5"/>
        <v>21.917425153561592</v>
      </c>
      <c r="K51" s="347">
        <f t="shared" si="5"/>
        <v>550.39114617307894</v>
      </c>
      <c r="L51" s="347">
        <f t="shared" si="5"/>
        <v>1.8574196730038641</v>
      </c>
      <c r="N51" s="31" t="str">
        <f>N12</f>
        <v>Electricity from Lights</v>
      </c>
      <c r="O51" s="149" t="s">
        <v>598</v>
      </c>
      <c r="P51" s="347">
        <f t="shared" ref="P51:Y51" si="6">P12</f>
        <v>7.0524048278940788E-3</v>
      </c>
      <c r="Q51" s="347">
        <f t="shared" si="6"/>
        <v>17.338654283027086</v>
      </c>
      <c r="R51" s="347">
        <f t="shared" si="6"/>
        <v>2.3079639703667065E-2</v>
      </c>
      <c r="S51" s="347">
        <f t="shared" si="6"/>
        <v>3.7694476887833783</v>
      </c>
      <c r="T51" s="347">
        <f t="shared" si="6"/>
        <v>2.4167539085292198E-7</v>
      </c>
      <c r="U51" s="347">
        <f t="shared" si="6"/>
        <v>6.8711478873737714E-7</v>
      </c>
      <c r="V51" s="347">
        <f t="shared" si="6"/>
        <v>2.3036121480532114E-7</v>
      </c>
      <c r="W51" s="347">
        <f t="shared" si="6"/>
        <v>9.8719703727511765E-2</v>
      </c>
      <c r="X51" s="347">
        <f t="shared" si="6"/>
        <v>2.4790526489204234</v>
      </c>
      <c r="Y51" s="347">
        <f t="shared" si="6"/>
        <v>8.3661250594847594E-3</v>
      </c>
    </row>
    <row r="52" spans="1:25" x14ac:dyDescent="0.25">
      <c r="A52" s="149" t="s">
        <v>205</v>
      </c>
      <c r="B52" s="149" t="s">
        <v>598</v>
      </c>
      <c r="C52" s="347">
        <f t="shared" ref="C52:L52" si="7">SUM(C14:C16)</f>
        <v>1.5030544881428572E-2</v>
      </c>
      <c r="D52" s="347">
        <f t="shared" si="7"/>
        <v>22.192372241914395</v>
      </c>
      <c r="E52" s="347">
        <f t="shared" si="7"/>
        <v>2.8299852544646033E-2</v>
      </c>
      <c r="F52" s="347">
        <f t="shared" si="7"/>
        <v>5.4118966197773828</v>
      </c>
      <c r="G52" s="347">
        <f t="shared" si="7"/>
        <v>3.2994134351118513E-7</v>
      </c>
      <c r="H52" s="347">
        <f t="shared" si="7"/>
        <v>9.2313091929162363E-7</v>
      </c>
      <c r="I52" s="347">
        <f t="shared" si="7"/>
        <v>3.244466187549028E-7</v>
      </c>
      <c r="J52" s="347">
        <f t="shared" si="7"/>
        <v>0.18762478021627343</v>
      </c>
      <c r="K52" s="347">
        <f t="shared" si="7"/>
        <v>3.4928460532287433</v>
      </c>
      <c r="L52" s="347">
        <f t="shared" si="7"/>
        <v>1.0593741440282155E-2</v>
      </c>
      <c r="N52" s="149" t="s">
        <v>205</v>
      </c>
      <c r="O52" s="149" t="s">
        <v>598</v>
      </c>
      <c r="P52" s="347">
        <f t="shared" ref="P52:Y52" si="8">SUM(P13:P25)</f>
        <v>2.0303711999294878E-2</v>
      </c>
      <c r="Q52" s="347">
        <f t="shared" si="8"/>
        <v>21.494747333924369</v>
      </c>
      <c r="R52" s="347">
        <f t="shared" si="8"/>
        <v>2.5477362587949009E-2</v>
      </c>
      <c r="S52" s="347">
        <f t="shared" si="8"/>
        <v>5.7226129097476672</v>
      </c>
      <c r="T52" s="347">
        <f t="shared" si="8"/>
        <v>3.5303045222988271E-7</v>
      </c>
      <c r="U52" s="347">
        <f t="shared" si="8"/>
        <v>9.2645864881557411E-7</v>
      </c>
      <c r="V52" s="347">
        <f t="shared" si="8"/>
        <v>3.3767588960973355E-7</v>
      </c>
      <c r="W52" s="347">
        <f t="shared" si="8"/>
        <v>0.24303889868914202</v>
      </c>
      <c r="X52" s="347">
        <f t="shared" si="8"/>
        <v>3.806220013952136</v>
      </c>
      <c r="Y52" s="347">
        <f t="shared" si="8"/>
        <v>9.8337066683861184E-3</v>
      </c>
    </row>
    <row r="53" spans="1:25" x14ac:dyDescent="0.25">
      <c r="A53" s="149" t="s">
        <v>721</v>
      </c>
      <c r="B53" s="149" t="s">
        <v>598</v>
      </c>
      <c r="C53" s="347">
        <f t="shared" ref="C53:L53" si="9">C17</f>
        <v>1.821375128929601</v>
      </c>
      <c r="D53" s="347">
        <f t="shared" si="9"/>
        <v>2712.9060844454293</v>
      </c>
      <c r="E53" s="347">
        <f t="shared" si="9"/>
        <v>1.55481126493344</v>
      </c>
      <c r="F53" s="347">
        <f t="shared" si="9"/>
        <v>573.97799175148657</v>
      </c>
      <c r="G53" s="347">
        <f t="shared" si="9"/>
        <v>2.4812777014100626E-5</v>
      </c>
      <c r="H53" s="347">
        <f t="shared" si="9"/>
        <v>1.2778076847024772E-4</v>
      </c>
      <c r="I53" s="347">
        <f t="shared" si="9"/>
        <v>2.5678298100356842E-5</v>
      </c>
      <c r="J53" s="347">
        <f t="shared" si="9"/>
        <v>76.371937265292971</v>
      </c>
      <c r="K53" s="347">
        <f t="shared" si="9"/>
        <v>410.8727157130603</v>
      </c>
      <c r="L53" s="347">
        <f t="shared" si="9"/>
        <v>0.44695784036917491</v>
      </c>
      <c r="N53" s="149" t="s">
        <v>721</v>
      </c>
      <c r="O53" s="149" t="s">
        <v>598</v>
      </c>
      <c r="P53" s="347">
        <f t="shared" ref="P53:Y53" si="10">SUM(P26)</f>
        <v>5.1087818265086807E-3</v>
      </c>
      <c r="Q53" s="347">
        <f t="shared" si="10"/>
        <v>7.6094402965657988</v>
      </c>
      <c r="R53" s="347">
        <f t="shared" si="10"/>
        <v>4.361095859813922E-3</v>
      </c>
      <c r="S53" s="347">
        <f t="shared" si="10"/>
        <v>1.6099529890908506</v>
      </c>
      <c r="T53" s="347">
        <f t="shared" si="10"/>
        <v>6.9597449894545684E-8</v>
      </c>
      <c r="U53" s="347">
        <f t="shared" si="10"/>
        <v>3.58412749449236E-7</v>
      </c>
      <c r="V53" s="347">
        <f t="shared" si="10"/>
        <v>7.2025153186247283E-8</v>
      </c>
      <c r="W53" s="347">
        <f t="shared" si="10"/>
        <v>0.21421592892041208</v>
      </c>
      <c r="X53" s="347">
        <f t="shared" si="10"/>
        <v>1.1524583978901373</v>
      </c>
      <c r="Y53" s="347">
        <f t="shared" si="10"/>
        <v>1.2536736973209573E-3</v>
      </c>
    </row>
    <row r="54" spans="1:25" x14ac:dyDescent="0.25">
      <c r="A54" s="149" t="s">
        <v>365</v>
      </c>
      <c r="B54" s="149" t="s">
        <v>598</v>
      </c>
      <c r="C54" s="347">
        <f t="shared" ref="C54:L54" si="11">SUM(C18:C20,C22)</f>
        <v>0.84103443716246729</v>
      </c>
      <c r="D54" s="347">
        <f t="shared" si="11"/>
        <v>298.94559920782729</v>
      </c>
      <c r="E54" s="347">
        <f t="shared" si="11"/>
        <v>0.30409430606039389</v>
      </c>
      <c r="F54" s="347">
        <f t="shared" si="11"/>
        <v>136.64710563041712</v>
      </c>
      <c r="G54" s="347">
        <f t="shared" si="11"/>
        <v>4.8555716503889355E-6</v>
      </c>
      <c r="H54" s="347">
        <f t="shared" si="11"/>
        <v>1.3650767754002597E-5</v>
      </c>
      <c r="I54" s="347">
        <f t="shared" si="11"/>
        <v>1.293576844240458E-5</v>
      </c>
      <c r="J54" s="347">
        <f t="shared" si="11"/>
        <v>7.4652847779771241</v>
      </c>
      <c r="K54" s="347">
        <f t="shared" si="11"/>
        <v>77.382190112330221</v>
      </c>
      <c r="L54" s="347">
        <f t="shared" si="11"/>
        <v>9.7167586287244687E-2</v>
      </c>
      <c r="N54" s="149" t="s">
        <v>365</v>
      </c>
      <c r="O54" s="149" t="s">
        <v>598</v>
      </c>
      <c r="P54" s="347">
        <f t="shared" ref="P54:Y54" si="12">P27+P29</f>
        <v>2.3174904705339585E-4</v>
      </c>
      <c r="Q54" s="347">
        <f t="shared" si="12"/>
        <v>0.15451811462692225</v>
      </c>
      <c r="R54" s="347">
        <f t="shared" si="12"/>
        <v>7.5289222594245164E-5</v>
      </c>
      <c r="S54" s="347">
        <f t="shared" si="12"/>
        <v>4.2855072209801566E-2</v>
      </c>
      <c r="T54" s="347">
        <f t="shared" si="12"/>
        <v>1.1882961976181907E-9</v>
      </c>
      <c r="U54" s="347">
        <f t="shared" si="12"/>
        <v>7.2109420349599173E-9</v>
      </c>
      <c r="V54" s="347">
        <f t="shared" si="12"/>
        <v>7.4818231423538728E-9</v>
      </c>
      <c r="W54" s="347">
        <f t="shared" si="12"/>
        <v>1.3750698999722036E-3</v>
      </c>
      <c r="X54" s="347">
        <f t="shared" si="12"/>
        <v>9.6409615775411683E-2</v>
      </c>
      <c r="Y54" s="347">
        <f t="shared" si="12"/>
        <v>3.8856079956758942E-5</v>
      </c>
    </row>
    <row r="55" spans="1:25" x14ac:dyDescent="0.25">
      <c r="A55" s="149" t="s">
        <v>616</v>
      </c>
      <c r="B55" s="149" t="s">
        <v>598</v>
      </c>
      <c r="C55" s="347">
        <f t="shared" ref="C55:L55" si="13">C21</f>
        <v>1.9855630527532982E-2</v>
      </c>
      <c r="D55" s="347">
        <f t="shared" si="13"/>
        <v>10.106603661393853</v>
      </c>
      <c r="E55" s="347">
        <f t="shared" si="13"/>
        <v>4.4942850804375089E-3</v>
      </c>
      <c r="F55" s="347">
        <f t="shared" si="13"/>
        <v>3.8982274507707513</v>
      </c>
      <c r="G55" s="347">
        <f t="shared" si="13"/>
        <v>1.1577871158800355E-7</v>
      </c>
      <c r="H55" s="347">
        <f t="shared" si="13"/>
        <v>3.839078621063087E-7</v>
      </c>
      <c r="I55" s="347">
        <f t="shared" si="13"/>
        <v>9.5239088319010696E-7</v>
      </c>
      <c r="J55" s="347">
        <f t="shared" si="13"/>
        <v>0.49598590210429699</v>
      </c>
      <c r="K55" s="347">
        <f t="shared" si="13"/>
        <v>8.0452989349310471</v>
      </c>
      <c r="L55" s="347">
        <f t="shared" si="13"/>
        <v>2.2567755543984724E-3</v>
      </c>
      <c r="N55" s="149" t="s">
        <v>616</v>
      </c>
      <c r="O55" s="149" t="s">
        <v>598</v>
      </c>
      <c r="P55" s="347">
        <f t="shared" ref="P55:Y55" si="14">P28</f>
        <v>3.7006952933800671E-7</v>
      </c>
      <c r="Q55" s="347">
        <f t="shared" si="14"/>
        <v>2.3729283824915277E-4</v>
      </c>
      <c r="R55" s="347">
        <f t="shared" si="14"/>
        <v>2.4344963588517349E-7</v>
      </c>
      <c r="S55" s="347">
        <f t="shared" si="14"/>
        <v>1.3976807297382467E-3</v>
      </c>
      <c r="T55" s="347">
        <f t="shared" si="14"/>
        <v>3.6201056356618333E-12</v>
      </c>
      <c r="U55" s="347">
        <f t="shared" si="14"/>
        <v>1.0735707659593425E-11</v>
      </c>
      <c r="V55" s="347">
        <f t="shared" si="14"/>
        <v>6.9045969649995828E-12</v>
      </c>
      <c r="W55" s="347">
        <f t="shared" si="14"/>
        <v>6.043534702553761E-6</v>
      </c>
      <c r="X55" s="347">
        <f t="shared" si="14"/>
        <v>6.5965684650638886E-5</v>
      </c>
      <c r="Y55" s="347">
        <f t="shared" si="14"/>
        <v>8.8424376045912229E-8</v>
      </c>
    </row>
    <row r="56" spans="1:25" x14ac:dyDescent="0.25">
      <c r="A56" s="149" t="s">
        <v>1618</v>
      </c>
      <c r="B56" s="149" t="s">
        <v>598</v>
      </c>
      <c r="C56" s="347">
        <f t="shared" ref="C56:L56" si="15">SUM(C26:C26)+SUM(C23:C25)</f>
        <v>5.0906292354750728E-2</v>
      </c>
      <c r="D56" s="347">
        <f t="shared" si="15"/>
        <v>44.989776121095488</v>
      </c>
      <c r="E56" s="347">
        <f t="shared" si="15"/>
        <v>5.5871239280035276E-2</v>
      </c>
      <c r="F56" s="347">
        <f t="shared" si="15"/>
        <v>16.166942811456092</v>
      </c>
      <c r="G56" s="347">
        <f t="shared" si="15"/>
        <v>4.6515178050434026E-7</v>
      </c>
      <c r="H56" s="347">
        <f t="shared" si="15"/>
        <v>1.8046964955177425E-6</v>
      </c>
      <c r="I56" s="347">
        <f t="shared" si="15"/>
        <v>1.4557182456941497E-6</v>
      </c>
      <c r="J56" s="347">
        <f t="shared" si="15"/>
        <v>0.54840709049399672</v>
      </c>
      <c r="K56" s="347">
        <f t="shared" si="15"/>
        <v>16.565532652888987</v>
      </c>
      <c r="L56" s="347">
        <f t="shared" si="15"/>
        <v>1.0653282778264564E-2</v>
      </c>
      <c r="N56" s="149" t="s">
        <v>1618</v>
      </c>
      <c r="O56" s="149" t="s">
        <v>598</v>
      </c>
      <c r="P56" s="347">
        <f t="shared" ref="P56:Y56" si="16">SUM(P30:P33)</f>
        <v>3.1313617793946938E-3</v>
      </c>
      <c r="Q56" s="347">
        <f t="shared" si="16"/>
        <v>2.9185860560164651</v>
      </c>
      <c r="R56" s="347">
        <f t="shared" si="16"/>
        <v>1.8930672908901314E-3</v>
      </c>
      <c r="S56" s="347">
        <f t="shared" si="16"/>
        <v>0.66492723546012267</v>
      </c>
      <c r="T56" s="347">
        <f t="shared" si="16"/>
        <v>3.1586449892054069E-8</v>
      </c>
      <c r="U56" s="347">
        <f t="shared" si="16"/>
        <v>1.3678664380089924E-7</v>
      </c>
      <c r="V56" s="347">
        <f t="shared" si="16"/>
        <v>1.1695546288448255E-7</v>
      </c>
      <c r="W56" s="347">
        <f t="shared" si="16"/>
        <v>3.4583377529507728E-2</v>
      </c>
      <c r="X56" s="347">
        <f t="shared" si="16"/>
        <v>1.3835336501874387</v>
      </c>
      <c r="Y56" s="347">
        <f t="shared" si="16"/>
        <v>6.1679352529873553E-4</v>
      </c>
    </row>
    <row r="57" spans="1:25" x14ac:dyDescent="0.25">
      <c r="A57" s="287" t="s">
        <v>1386</v>
      </c>
      <c r="B57" s="149" t="s">
        <v>598</v>
      </c>
      <c r="C57" s="347">
        <f t="shared" ref="C57:L57" si="17">C30</f>
        <v>1.1007461179546693E-2</v>
      </c>
      <c r="D57" s="347">
        <f t="shared" si="17"/>
        <v>1.7390183393856442</v>
      </c>
      <c r="E57" s="347">
        <f t="shared" si="17"/>
        <v>2.2454586458520425E-3</v>
      </c>
      <c r="F57" s="347">
        <f t="shared" si="17"/>
        <v>1.3033532362270852</v>
      </c>
      <c r="G57" s="347">
        <f t="shared" si="17"/>
        <v>4.0894489773141567E-8</v>
      </c>
      <c r="H57" s="347">
        <f t="shared" si="17"/>
        <v>6.9504078149815991E-8</v>
      </c>
      <c r="I57" s="347">
        <f t="shared" si="17"/>
        <v>2.5516567320214034E-7</v>
      </c>
      <c r="J57" s="347">
        <f t="shared" si="17"/>
        <v>0.30491595735713195</v>
      </c>
      <c r="K57" s="347">
        <f t="shared" si="17"/>
        <v>2.1842700548763716</v>
      </c>
      <c r="L57" s="347">
        <f t="shared" si="17"/>
        <v>1.6861944247787348E-3</v>
      </c>
    </row>
    <row r="58" spans="1:25" x14ac:dyDescent="0.25">
      <c r="A58" s="287"/>
      <c r="O58" s="149" t="s">
        <v>1619</v>
      </c>
      <c r="P58" s="347">
        <f>SUM(P50:P56)</f>
        <v>0.12534098605207622</v>
      </c>
      <c r="Q58" s="347">
        <f t="shared" ref="Q58:Y58" si="18">SUM(Q50:Q56)</f>
        <v>121.1426691252237</v>
      </c>
      <c r="R58" s="347">
        <f t="shared" si="18"/>
        <v>0.13720602954679526</v>
      </c>
      <c r="S58" s="347">
        <f t="shared" si="18"/>
        <v>70.299530387765671</v>
      </c>
      <c r="T58" s="347">
        <f t="shared" si="18"/>
        <v>1.7055079676980079E-6</v>
      </c>
      <c r="U58" s="347">
        <f t="shared" si="18"/>
        <v>4.8247020264704608E-6</v>
      </c>
      <c r="V58" s="347">
        <f t="shared" si="18"/>
        <v>7.1444298709682703E-6</v>
      </c>
      <c r="W58" s="347">
        <f t="shared" si="18"/>
        <v>2.1071930194114796</v>
      </c>
      <c r="X58" s="347">
        <f t="shared" si="18"/>
        <v>129.09216930525071</v>
      </c>
      <c r="Y58" s="347">
        <f t="shared" si="18"/>
        <v>5.069185142697908E-2</v>
      </c>
    </row>
    <row r="59" spans="1:25" x14ac:dyDescent="0.25">
      <c r="A59" s="287"/>
      <c r="B59" s="149" t="s">
        <v>1619</v>
      </c>
      <c r="C59" s="347">
        <f t="shared" ref="C59:L59" si="19">SUM(C50:C57)</f>
        <v>7.7896696779006973</v>
      </c>
      <c r="D59" s="347">
        <f t="shared" si="19"/>
        <v>9623.6350319283956</v>
      </c>
      <c r="E59" s="347">
        <f t="shared" si="19"/>
        <v>10.120859230475901</v>
      </c>
      <c r="F59" s="347">
        <f t="shared" si="19"/>
        <v>3886.9356398599762</v>
      </c>
      <c r="G59" s="347">
        <f t="shared" si="19"/>
        <v>1.2208242922977878E-4</v>
      </c>
      <c r="H59" s="347">
        <f t="shared" si="19"/>
        <v>3.9827026561718151E-4</v>
      </c>
      <c r="I59" s="347">
        <f t="shared" si="19"/>
        <v>3.4712575947288887E-4</v>
      </c>
      <c r="J59" s="347">
        <f t="shared" si="19"/>
        <v>167.19280583856326</v>
      </c>
      <c r="K59" s="347">
        <f t="shared" si="19"/>
        <v>5882.2849288125899</v>
      </c>
      <c r="L59" s="347">
        <f t="shared" si="19"/>
        <v>3.5611594661921773</v>
      </c>
      <c r="O59" s="149" t="s">
        <v>1620</v>
      </c>
      <c r="P59" s="301">
        <f t="shared" ref="P59:Y59" si="20">(P58-P35)/P58</f>
        <v>0</v>
      </c>
      <c r="Q59" s="301">
        <f t="shared" si="20"/>
        <v>1.1730676579787437E-16</v>
      </c>
      <c r="R59" s="301">
        <f t="shared" si="20"/>
        <v>0</v>
      </c>
      <c r="S59" s="301">
        <f t="shared" si="20"/>
        <v>4.0429444227624996E-16</v>
      </c>
      <c r="T59" s="301">
        <f t="shared" si="20"/>
        <v>1.241613881753913E-16</v>
      </c>
      <c r="U59" s="301">
        <f t="shared" si="20"/>
        <v>3.5112342383305783E-16</v>
      </c>
      <c r="V59" s="301">
        <f t="shared" si="20"/>
        <v>-1.1855850817379548E-16</v>
      </c>
      <c r="W59" s="301">
        <f t="shared" si="20"/>
        <v>0</v>
      </c>
      <c r="X59" s="301">
        <f t="shared" si="20"/>
        <v>-2.2016602233399745E-16</v>
      </c>
      <c r="Y59" s="301">
        <f t="shared" si="20"/>
        <v>2.7376762570617925E-16</v>
      </c>
    </row>
    <row r="60" spans="1:25" x14ac:dyDescent="0.25">
      <c r="A60" s="287"/>
      <c r="B60" s="149" t="s">
        <v>1621</v>
      </c>
      <c r="C60" s="301">
        <f>(C59-output_LCA_acid)/C59</f>
        <v>-1.1368417246164267E-2</v>
      </c>
      <c r="D60" s="301">
        <f>(D59-output_LCA_ecotox)/D59</f>
        <v>-1.6419574633415771E-2</v>
      </c>
      <c r="E60" s="301">
        <f>(E59-output_LCA_eutro)/E59</f>
        <v>-3.5490074037638425E-3</v>
      </c>
      <c r="F60" s="301">
        <f>(F59-output_LCA_GWP)/F59</f>
        <v>-0.18159844682064841</v>
      </c>
      <c r="G60" s="301">
        <f>(G59-output_LCA_carcin)/G59</f>
        <v>-8.5039180773120986E-3</v>
      </c>
      <c r="H60" s="301">
        <f>(H59-output_LCA_non_carcin)/H59</f>
        <v>-1.5433104461494008E-2</v>
      </c>
      <c r="I60" s="301">
        <f>(I59-output_LCA_ozone_dep)/I59</f>
        <v>-1.1277944397824377E-2</v>
      </c>
      <c r="J60" s="301">
        <f>(J59-output_LCA_ozone_form)/J59</f>
        <v>-1.1270829255737689E-2</v>
      </c>
      <c r="K60" s="301">
        <f>(K59-output_LCA_resource_dep)/K59</f>
        <v>-5.7368817974531782E-3</v>
      </c>
      <c r="L60" s="301">
        <f>(L59-output_LCA_resp)/L59</f>
        <v>-3.7720209008434251E-3</v>
      </c>
    </row>
    <row r="61" spans="1:25" x14ac:dyDescent="0.25">
      <c r="A61" s="287"/>
    </row>
    <row r="62" spans="1:25" x14ac:dyDescent="0.25">
      <c r="F62" s="513"/>
      <c r="P62" s="290"/>
      <c r="Q62" s="290"/>
      <c r="R62" s="290"/>
      <c r="S62" s="290"/>
      <c r="T62" s="290"/>
      <c r="U62" s="290"/>
      <c r="V62" s="290"/>
      <c r="W62" s="290"/>
      <c r="X62" s="290"/>
      <c r="Y62" s="290"/>
    </row>
    <row r="63" spans="1:25" x14ac:dyDescent="0.25">
      <c r="F63" s="279"/>
      <c r="P63" s="290"/>
      <c r="Q63" s="290"/>
      <c r="R63" s="290"/>
      <c r="S63" s="290"/>
      <c r="T63" s="290"/>
      <c r="U63" s="290"/>
      <c r="V63" s="290"/>
      <c r="W63" s="290"/>
      <c r="X63" s="290"/>
      <c r="Y63" s="290"/>
    </row>
    <row r="64" spans="1:25" x14ac:dyDescent="0.25">
      <c r="F64" s="279"/>
      <c r="P64" s="290"/>
      <c r="Q64" s="290"/>
      <c r="R64" s="290"/>
      <c r="S64" s="290"/>
      <c r="T64" s="290"/>
      <c r="U64" s="290"/>
      <c r="V64" s="290"/>
      <c r="W64" s="290"/>
      <c r="X64" s="290"/>
      <c r="Y64" s="290"/>
    </row>
    <row r="65" spans="1:25" ht="15.75" thickBot="1" x14ac:dyDescent="0.3"/>
    <row r="66" spans="1:25" ht="21.75" thickBot="1" x14ac:dyDescent="0.4">
      <c r="C66" s="775" t="s">
        <v>1065</v>
      </c>
      <c r="D66" s="776"/>
      <c r="E66" s="776"/>
      <c r="F66" s="776"/>
      <c r="G66" s="776"/>
      <c r="H66" s="776"/>
      <c r="I66" s="776"/>
      <c r="J66" s="776"/>
      <c r="K66" s="776"/>
      <c r="L66" s="777"/>
      <c r="P66" s="775" t="s">
        <v>1065</v>
      </c>
      <c r="Q66" s="776"/>
      <c r="R66" s="776"/>
      <c r="S66" s="776"/>
      <c r="T66" s="776"/>
      <c r="U66" s="776"/>
      <c r="V66" s="776"/>
      <c r="W66" s="776"/>
      <c r="X66" s="776"/>
      <c r="Y66" s="777"/>
    </row>
    <row r="67" spans="1:25" ht="30" x14ac:dyDescent="0.25">
      <c r="C67" s="182" t="s">
        <v>449</v>
      </c>
      <c r="D67" s="182" t="s">
        <v>450</v>
      </c>
      <c r="E67" s="182" t="s">
        <v>451</v>
      </c>
      <c r="F67" s="182" t="s">
        <v>452</v>
      </c>
      <c r="G67" s="182" t="s">
        <v>453</v>
      </c>
      <c r="H67" s="182" t="s">
        <v>454</v>
      </c>
      <c r="I67" s="182" t="s">
        <v>455</v>
      </c>
      <c r="J67" s="182" t="s">
        <v>456</v>
      </c>
      <c r="K67" s="182" t="s">
        <v>457</v>
      </c>
      <c r="L67" s="182" t="s">
        <v>458</v>
      </c>
      <c r="P67" s="182" t="s">
        <v>449</v>
      </c>
      <c r="Q67" s="182" t="s">
        <v>450</v>
      </c>
      <c r="R67" s="182" t="s">
        <v>451</v>
      </c>
      <c r="S67" s="182" t="s">
        <v>452</v>
      </c>
      <c r="T67" s="182" t="s">
        <v>453</v>
      </c>
      <c r="U67" s="182" t="s">
        <v>454</v>
      </c>
      <c r="V67" s="182" t="s">
        <v>455</v>
      </c>
      <c r="W67" s="182" t="s">
        <v>456</v>
      </c>
      <c r="X67" s="182" t="s">
        <v>457</v>
      </c>
      <c r="Y67" s="182" t="s">
        <v>458</v>
      </c>
    </row>
    <row r="68" spans="1:25" x14ac:dyDescent="0.25">
      <c r="A68" s="31" t="str">
        <f>A4</f>
        <v>Simple Heating Load</v>
      </c>
      <c r="B68" s="31"/>
      <c r="C68" s="290">
        <f>C4/SUM($C$4:$C$35)</f>
        <v>2.4566095203129763E-2</v>
      </c>
      <c r="D68" s="290">
        <f>D4/SUM($D$4:$D$35)</f>
        <v>6.3507425999416531E-3</v>
      </c>
      <c r="E68" s="290">
        <f>E4/SUM($E$4:$E$35)</f>
        <v>4.4780713766363047E-3</v>
      </c>
      <c r="F68" s="290">
        <f>F4/SUM($F$4:$F$35)</f>
        <v>3.1313821560552277E-2</v>
      </c>
      <c r="G68" s="290">
        <f>G4/SUM($G$4:$G$35)</f>
        <v>7.2661083406424659E-3</v>
      </c>
      <c r="H68" s="290">
        <f>H4/SUM($H$4:$H$35)</f>
        <v>5.1704207842869299E-3</v>
      </c>
      <c r="I68" s="290">
        <f>I4/SUM($I$4:$I$35)</f>
        <v>4.6529024973095301E-2</v>
      </c>
      <c r="J68" s="290">
        <f>J4/SUM($J$4:$J$35)</f>
        <v>2.0804503986571164E-2</v>
      </c>
      <c r="K68" s="290">
        <f>K4/SUM($K$4:$K$35)</f>
        <v>5.4589575487174108E-2</v>
      </c>
      <c r="L68" s="290">
        <f>L4/SUM($L$4:$L$35)</f>
        <v>5.2058882178430705E-3</v>
      </c>
      <c r="N68" s="31" t="str">
        <f t="shared" ref="N68:N73" si="21">N4</f>
        <v>Simple Heating Load</v>
      </c>
      <c r="O68" s="31"/>
      <c r="P68" s="290">
        <f t="shared" ref="P68:P73" si="22">P4/SUM($P$4:$P$33)</f>
        <v>1.1311820323494576E-3</v>
      </c>
      <c r="Q68" s="290">
        <f t="shared" ref="Q68:Q73" si="23">Q4/SUM($Q$4:$Q$33)</f>
        <v>3.7566486862701775E-4</v>
      </c>
      <c r="R68" s="290">
        <f t="shared" ref="R68:R73" si="24">R4/SUM($R$4:$R$33)</f>
        <v>2.4284816715196739E-4</v>
      </c>
      <c r="S68" s="290">
        <f t="shared" ref="S68:S73" si="25">S4/SUM($S$4:$S$33)</f>
        <v>1.4184503147969887E-3</v>
      </c>
      <c r="T68" s="290">
        <f t="shared" ref="T68:T73" si="26">T4/SUM($T$4:$T$33)</f>
        <v>3.8427303812783972E-4</v>
      </c>
      <c r="U68" s="290">
        <f t="shared" ref="U68:U73" si="27">U4/SUM($U$4:$U$33)</f>
        <v>3.175013960137032E-4</v>
      </c>
      <c r="V68" s="290">
        <f t="shared" ref="V68:V73" si="28">V4/SUM($V$4:$V$33)</f>
        <v>1.6748456828445638E-3</v>
      </c>
      <c r="W68" s="290">
        <f t="shared" ref="W68:W73" si="29">W4/SUM($W$4:$W$33)</f>
        <v>1.2229231281076054E-3</v>
      </c>
      <c r="X68" s="290">
        <f t="shared" ref="X68:X73" si="30">X4/SUM($X$4:$X$33)</f>
        <v>1.8327418519116195E-3</v>
      </c>
      <c r="Y68" s="290">
        <f t="shared" ref="Y68:Y73" si="31">Y4/SUM($Y$4:$Y$33)</f>
        <v>2.6893308769370148E-4</v>
      </c>
    </row>
    <row r="69" spans="1:25" x14ac:dyDescent="0.25">
      <c r="A69" s="31" t="str">
        <f>A5</f>
        <v>Simple Cooling Load</v>
      </c>
      <c r="B69" s="31"/>
      <c r="C69" s="290">
        <f>C5/SUM($C$4:$C$35)</f>
        <v>2.9385861229745424E-3</v>
      </c>
      <c r="D69" s="290">
        <f>D5/SUM($D$4:$D$35)</f>
        <v>5.8187921073838264E-3</v>
      </c>
      <c r="E69" s="290">
        <f>E5/SUM($E$4:$E$35)</f>
        <v>7.459378993661679E-3</v>
      </c>
      <c r="F69" s="290">
        <f>F5/SUM($F$4:$F$35)</f>
        <v>2.8466751167212328E-3</v>
      </c>
      <c r="G69" s="290">
        <f>G5/SUM($G$4:$G$35)</f>
        <v>6.443640402601215E-3</v>
      </c>
      <c r="H69" s="290">
        <f>H5/SUM($H$4:$H$35)</f>
        <v>5.5773732946233735E-3</v>
      </c>
      <c r="I69" s="290">
        <f>I5/SUM($I$4:$I$35)</f>
        <v>2.1541780688790952E-3</v>
      </c>
      <c r="J69" s="290">
        <f>J5/SUM($J$4:$J$35)</f>
        <v>1.9166746359561039E-3</v>
      </c>
      <c r="K69" s="290">
        <f>K5/SUM($K$4:$K$35)</f>
        <v>1.3755770924091535E-3</v>
      </c>
      <c r="L69" s="290">
        <f>L5/SUM($L$4:$L$35)</f>
        <v>7.6829403837652011E-3</v>
      </c>
      <c r="N69" s="31" t="str">
        <f t="shared" si="21"/>
        <v>Simple Cooling</v>
      </c>
      <c r="O69" s="31"/>
      <c r="P69" s="290">
        <f t="shared" si="22"/>
        <v>1.1807653296959607E-2</v>
      </c>
      <c r="Q69" s="290">
        <f t="shared" si="23"/>
        <v>0</v>
      </c>
      <c r="R69" s="290">
        <f t="shared" si="24"/>
        <v>0</v>
      </c>
      <c r="S69" s="290">
        <f t="shared" si="25"/>
        <v>0</v>
      </c>
      <c r="T69" s="290">
        <f t="shared" si="26"/>
        <v>0</v>
      </c>
      <c r="U69" s="290">
        <f t="shared" si="27"/>
        <v>0</v>
      </c>
      <c r="V69" s="290">
        <f t="shared" si="28"/>
        <v>0</v>
      </c>
      <c r="W69" s="290">
        <f t="shared" si="29"/>
        <v>0</v>
      </c>
      <c r="X69" s="290">
        <f t="shared" si="30"/>
        <v>0</v>
      </c>
      <c r="Y69" s="290">
        <f t="shared" si="31"/>
        <v>0</v>
      </c>
    </row>
    <row r="70" spans="1:25" x14ac:dyDescent="0.25">
      <c r="A70" s="31" t="str">
        <f>A6</f>
        <v>Heating (Heat+Hum)</v>
      </c>
      <c r="B70" s="31"/>
      <c r="C70" s="290">
        <f>C6/SUM($C$4:$C$35)</f>
        <v>0.20032007869065027</v>
      </c>
      <c r="D70" s="290">
        <f>D6/SUM($D$4:$D$35)</f>
        <v>5.1786059072273675E-2</v>
      </c>
      <c r="E70" s="290">
        <f>E6/SUM($E$4:$E$35)</f>
        <v>3.6515677527613241E-2</v>
      </c>
      <c r="F70" s="290">
        <f>F6/SUM($F$4:$F$35)</f>
        <v>0.25534327483659874</v>
      </c>
      <c r="G70" s="290">
        <f>G6/SUM($G$4:$G$35)</f>
        <v>5.9250254569836958E-2</v>
      </c>
      <c r="H70" s="290">
        <f>H6/SUM($H$4:$H$35)</f>
        <v>4.2161323963288096E-2</v>
      </c>
      <c r="I70" s="290">
        <f>I6/SUM($I$4:$I$35)</f>
        <v>0.37941308404691887</v>
      </c>
      <c r="J70" s="290">
        <f>J6/SUM($J$4:$J$35)</f>
        <v>0.1696468177481836</v>
      </c>
      <c r="K70" s="290">
        <f>K6/SUM($K$4:$K$35)</f>
        <v>0.44514148328655517</v>
      </c>
      <c r="L70" s="290">
        <f>L6/SUM($L$4:$L$35)</f>
        <v>4.2450537166370379E-2</v>
      </c>
      <c r="N70" s="31" t="str">
        <f t="shared" si="21"/>
        <v>Heating and Humidification Load</v>
      </c>
      <c r="O70" s="31"/>
      <c r="P70" s="290">
        <f t="shared" si="22"/>
        <v>0.53933967438859332</v>
      </c>
      <c r="Q70" s="290">
        <f t="shared" si="23"/>
        <v>0.17911437958726045</v>
      </c>
      <c r="R70" s="290">
        <f t="shared" si="24"/>
        <v>0.11578830608330039</v>
      </c>
      <c r="S70" s="290">
        <f t="shared" si="25"/>
        <v>0.67630718048981953</v>
      </c>
      <c r="T70" s="290">
        <f t="shared" si="26"/>
        <v>0.18321869454531559</v>
      </c>
      <c r="U70" s="290">
        <f t="shared" si="27"/>
        <v>0.15138244300812301</v>
      </c>
      <c r="V70" s="290">
        <f t="shared" si="28"/>
        <v>0.79855469712541138</v>
      </c>
      <c r="W70" s="290">
        <f t="shared" si="29"/>
        <v>0.58308118662909747</v>
      </c>
      <c r="X70" s="290">
        <f t="shared" si="30"/>
        <v>0.87383848521295371</v>
      </c>
      <c r="Y70" s="290">
        <f t="shared" si="31"/>
        <v>0.12822541359482151</v>
      </c>
    </row>
    <row r="71" spans="1:25" x14ac:dyDescent="0.25">
      <c r="A71" s="31" t="str">
        <f t="shared" ref="A71:A76" si="32">A8</f>
        <v>Humidification</v>
      </c>
      <c r="B71" s="31"/>
      <c r="C71" s="290">
        <f t="shared" ref="C71:C76" si="33">C8/SUM($C$4:$C$35)</f>
        <v>1.495386422872111E-3</v>
      </c>
      <c r="D71" s="290">
        <f t="shared" ref="D71:D76" si="34">D8/SUM($D$4:$D$35)</f>
        <v>3.8658216458830496E-4</v>
      </c>
      <c r="E71" s="290">
        <f t="shared" ref="E71:E76" si="35">E8/SUM($E$4:$E$35)</f>
        <v>2.7258899234506814E-4</v>
      </c>
      <c r="F71" s="290">
        <f t="shared" ref="F71:F76" si="36">F8/SUM($F$4:$F$35)</f>
        <v>1.9061337678087363E-3</v>
      </c>
      <c r="G71" s="290">
        <f t="shared" ref="G71:G76" si="37">G8/SUM($G$4:$G$35)</f>
        <v>4.423022735143616E-4</v>
      </c>
      <c r="H71" s="290">
        <f t="shared" ref="H71:H76" si="38">H8/SUM($H$4:$H$35)</f>
        <v>3.147336594369872E-4</v>
      </c>
      <c r="I71" s="290">
        <f t="shared" ref="I71:I76" si="39">I8/SUM($I$4:$I$35)</f>
        <v>2.8323130574442958E-3</v>
      </c>
      <c r="J71" s="290">
        <f t="shared" ref="J71:J76" si="40">J8/SUM($J$4:$J$35)</f>
        <v>1.2664109838727508E-3</v>
      </c>
      <c r="K71" s="290">
        <f t="shared" ref="K71:K76" si="41">K8/SUM($K$4:$K$35)</f>
        <v>3.3229745850481053E-3</v>
      </c>
      <c r="L71" s="290">
        <f t="shared" ref="L71:L76" si="42">L8/SUM($L$4:$L$35)</f>
        <v>3.1689263171790605E-4</v>
      </c>
      <c r="N71" s="31" t="str">
        <f t="shared" si="21"/>
        <v>Cooling and Dehumidification Load</v>
      </c>
      <c r="O71" s="31"/>
      <c r="P71" s="290">
        <f t="shared" si="22"/>
        <v>5.6994709109875101E-3</v>
      </c>
      <c r="Q71" s="290">
        <f t="shared" si="23"/>
        <v>1.4498018960119477E-2</v>
      </c>
      <c r="R71" s="290">
        <f t="shared" si="24"/>
        <v>1.7039083930036558E-2</v>
      </c>
      <c r="S71" s="290">
        <f t="shared" si="25"/>
        <v>5.4314490646811047E-3</v>
      </c>
      <c r="T71" s="290">
        <f t="shared" si="26"/>
        <v>1.4353872733366914E-2</v>
      </c>
      <c r="U71" s="290">
        <f t="shared" si="27"/>
        <v>1.4426109149356573E-2</v>
      </c>
      <c r="V71" s="290">
        <f t="shared" si="28"/>
        <v>3.2661204497333798E-3</v>
      </c>
      <c r="W71" s="290">
        <f t="shared" si="29"/>
        <v>4.7455869898767947E-3</v>
      </c>
      <c r="X71" s="290">
        <f t="shared" si="30"/>
        <v>1.9452537698790048E-3</v>
      </c>
      <c r="Y71" s="290">
        <f t="shared" si="31"/>
        <v>1.6717703300529466E-2</v>
      </c>
    </row>
    <row r="72" spans="1:25" x14ac:dyDescent="0.25">
      <c r="A72" s="31" t="str">
        <f t="shared" si="32"/>
        <v>Humidification (Hum+Cool)</v>
      </c>
      <c r="B72" s="31"/>
      <c r="C72" s="290">
        <f t="shared" si="33"/>
        <v>2.8127634791239049E-3</v>
      </c>
      <c r="D72" s="290">
        <f t="shared" si="34"/>
        <v>7.2714595879920247E-4</v>
      </c>
      <c r="E72" s="290">
        <f t="shared" si="35"/>
        <v>5.1272925228702966E-4</v>
      </c>
      <c r="F72" s="290">
        <f t="shared" si="36"/>
        <v>3.5853631987106701E-3</v>
      </c>
      <c r="G72" s="290">
        <f t="shared" si="37"/>
        <v>8.319533082861662E-4</v>
      </c>
      <c r="H72" s="290">
        <f t="shared" si="38"/>
        <v>5.9200172569113195E-4</v>
      </c>
      <c r="I72" s="290">
        <f t="shared" si="39"/>
        <v>5.3274702829814351E-3</v>
      </c>
      <c r="J72" s="290">
        <f t="shared" si="40"/>
        <v>2.3820696179366651E-3</v>
      </c>
      <c r="K72" s="290">
        <f t="shared" si="41"/>
        <v>6.2503854601865527E-3</v>
      </c>
      <c r="L72" s="290">
        <f t="shared" si="42"/>
        <v>5.960626682617791E-4</v>
      </c>
      <c r="N72" s="31" t="str">
        <f t="shared" si="21"/>
        <v>Auxilary Dehumidification Load</v>
      </c>
      <c r="O72" s="31"/>
      <c r="P72" s="290">
        <f t="shared" si="22"/>
        <v>7.8087371224671881E-2</v>
      </c>
      <c r="Q72" s="290">
        <f t="shared" si="23"/>
        <v>0.19863461121955744</v>
      </c>
      <c r="R72" s="290">
        <f t="shared" si="24"/>
        <v>0.23344926098457311</v>
      </c>
      <c r="S72" s="290">
        <f t="shared" si="25"/>
        <v>7.4415254683379839E-2</v>
      </c>
      <c r="T72" s="290">
        <f t="shared" si="26"/>
        <v>0.19665969107436229</v>
      </c>
      <c r="U72" s="290">
        <f t="shared" si="27"/>
        <v>0.1976493885251292</v>
      </c>
      <c r="V72" s="290">
        <f t="shared" si="28"/>
        <v>4.4748497537051755E-2</v>
      </c>
      <c r="W72" s="290">
        <f t="shared" si="29"/>
        <v>6.5018388328483667E-2</v>
      </c>
      <c r="X72" s="290">
        <f t="shared" si="30"/>
        <v>2.6651553385753771E-2</v>
      </c>
      <c r="Y72" s="290">
        <f t="shared" si="31"/>
        <v>0.2290460858631142</v>
      </c>
    </row>
    <row r="73" spans="1:25" x14ac:dyDescent="0.25">
      <c r="A73" s="31" t="str">
        <f t="shared" si="32"/>
        <v>Cooling (Hum+Cool)</v>
      </c>
      <c r="B73" s="288"/>
      <c r="C73" s="290">
        <f t="shared" si="33"/>
        <v>1.4633780555888947E-2</v>
      </c>
      <c r="D73" s="290">
        <f t="shared" si="34"/>
        <v>2.8976835538037832E-2</v>
      </c>
      <c r="E73" s="290">
        <f t="shared" si="35"/>
        <v>3.7146747009734804E-2</v>
      </c>
      <c r="F73" s="290">
        <f t="shared" si="36"/>
        <v>1.4176075578088128E-2</v>
      </c>
      <c r="G73" s="290">
        <f t="shared" si="37"/>
        <v>3.2088499600371592E-2</v>
      </c>
      <c r="H73" s="290">
        <f t="shared" si="38"/>
        <v>2.7774600932633918E-2</v>
      </c>
      <c r="I73" s="290">
        <f t="shared" si="39"/>
        <v>1.0727529437311787E-2</v>
      </c>
      <c r="J73" s="290">
        <f t="shared" si="40"/>
        <v>9.5447929194018549E-3</v>
      </c>
      <c r="K73" s="290">
        <f t="shared" si="41"/>
        <v>6.8501968176611153E-3</v>
      </c>
      <c r="L73" s="290">
        <f t="shared" si="42"/>
        <v>3.8260053949411232E-2</v>
      </c>
      <c r="N73" s="31" t="str">
        <f t="shared" si="21"/>
        <v>Auxilary Air Conditioning Load</v>
      </c>
      <c r="O73" s="288"/>
      <c r="P73" s="290">
        <f t="shared" si="22"/>
        <v>7.8087371224671881E-2</v>
      </c>
      <c r="Q73" s="290">
        <f t="shared" si="23"/>
        <v>0.19863461121955744</v>
      </c>
      <c r="R73" s="290">
        <f t="shared" si="24"/>
        <v>0.23344926098457311</v>
      </c>
      <c r="S73" s="290">
        <f t="shared" si="25"/>
        <v>7.4415254683379839E-2</v>
      </c>
      <c r="T73" s="290">
        <f t="shared" si="26"/>
        <v>0.19665969107436229</v>
      </c>
      <c r="U73" s="290">
        <f t="shared" si="27"/>
        <v>0.1976493885251292</v>
      </c>
      <c r="V73" s="290">
        <f t="shared" si="28"/>
        <v>4.4748497537051755E-2</v>
      </c>
      <c r="W73" s="290">
        <f t="shared" si="29"/>
        <v>6.5018388328483667E-2</v>
      </c>
      <c r="X73" s="290">
        <f t="shared" si="30"/>
        <v>2.6651553385753771E-2</v>
      </c>
      <c r="Y73" s="290">
        <f t="shared" si="31"/>
        <v>0.2290460858631142</v>
      </c>
    </row>
    <row r="74" spans="1:25" x14ac:dyDescent="0.25">
      <c r="A74" s="31" t="str">
        <f t="shared" si="32"/>
        <v>Dehumidification (Electric)</v>
      </c>
      <c r="B74" s="288"/>
      <c r="C74" s="290">
        <f t="shared" si="33"/>
        <v>8.6135792173536087E-3</v>
      </c>
      <c r="D74" s="290">
        <f t="shared" si="34"/>
        <v>1.7056034660481088E-2</v>
      </c>
      <c r="E74" s="290">
        <f t="shared" si="35"/>
        <v>2.186492047036899E-2</v>
      </c>
      <c r="F74" s="290">
        <f t="shared" si="36"/>
        <v>8.3441698142668642E-3</v>
      </c>
      <c r="G74" s="290">
        <f t="shared" si="37"/>
        <v>1.8887589042230941E-2</v>
      </c>
      <c r="H74" s="290">
        <f t="shared" si="38"/>
        <v>1.6348388200159995E-2</v>
      </c>
      <c r="I74" s="290">
        <f t="shared" si="39"/>
        <v>6.3143235107207566E-3</v>
      </c>
      <c r="J74" s="290">
        <f t="shared" si="40"/>
        <v>5.6181538058816026E-3</v>
      </c>
      <c r="K74" s="290">
        <f t="shared" si="41"/>
        <v>4.0320895012767467E-3</v>
      </c>
      <c r="L74" s="290">
        <f t="shared" si="42"/>
        <v>2.2520223280296219E-2</v>
      </c>
      <c r="N74" s="31"/>
      <c r="O74" s="288"/>
      <c r="P74" s="290"/>
      <c r="Q74" s="290"/>
      <c r="R74" s="290"/>
      <c r="S74" s="290"/>
      <c r="T74" s="290"/>
      <c r="U74" s="290"/>
      <c r="V74" s="290"/>
      <c r="W74" s="290"/>
      <c r="X74" s="290"/>
      <c r="Y74" s="290"/>
    </row>
    <row r="75" spans="1:25" x14ac:dyDescent="0.25">
      <c r="A75" s="31" t="str">
        <f t="shared" si="32"/>
        <v>Dehumidification Reheat (NG)</v>
      </c>
      <c r="B75" s="288"/>
      <c r="C75" s="290">
        <f t="shared" si="33"/>
        <v>4.3654760222615564E-3</v>
      </c>
      <c r="D75" s="290">
        <f t="shared" si="34"/>
        <v>1.1285478752059961E-3</v>
      </c>
      <c r="E75" s="290">
        <f t="shared" si="35"/>
        <v>7.9576803146928375E-4</v>
      </c>
      <c r="F75" s="290">
        <f t="shared" si="36"/>
        <v>5.5645692185769986E-3</v>
      </c>
      <c r="G75" s="290">
        <f t="shared" si="37"/>
        <v>1.2912113819451537E-3</v>
      </c>
      <c r="H75" s="290">
        <f t="shared" si="38"/>
        <v>9.1880080135534753E-4</v>
      </c>
      <c r="I75" s="290">
        <f t="shared" si="39"/>
        <v>8.2683609739238797E-3</v>
      </c>
      <c r="J75" s="290">
        <f t="shared" si="40"/>
        <v>3.6970288748555593E-3</v>
      </c>
      <c r="K75" s="290">
        <f t="shared" si="41"/>
        <v>9.7007473464620769E-3</v>
      </c>
      <c r="L75" s="290">
        <f t="shared" si="42"/>
        <v>9.2510348110482431E-4</v>
      </c>
      <c r="N75" s="31"/>
      <c r="O75" s="288"/>
      <c r="P75" s="290"/>
      <c r="Q75" s="290"/>
      <c r="R75" s="290"/>
      <c r="S75" s="290"/>
      <c r="T75" s="290"/>
      <c r="U75" s="290"/>
      <c r="V75" s="290"/>
      <c r="W75" s="290"/>
      <c r="X75" s="290"/>
      <c r="Y75" s="290"/>
    </row>
    <row r="76" spans="1:25" x14ac:dyDescent="0.25">
      <c r="A76" s="31" t="str">
        <f t="shared" si="32"/>
        <v>Electricity from Lights</v>
      </c>
      <c r="B76" s="288"/>
      <c r="C76" s="290">
        <f t="shared" si="33"/>
        <v>0.19874421386567567</v>
      </c>
      <c r="D76" s="290">
        <f t="shared" si="34"/>
        <v>0.39354002729012949</v>
      </c>
      <c r="E76" s="290">
        <f t="shared" si="35"/>
        <v>0.50449718061037374</v>
      </c>
      <c r="F76" s="290">
        <f t="shared" si="36"/>
        <v>0.19252803373040478</v>
      </c>
      <c r="G76" s="290">
        <f t="shared" si="37"/>
        <v>0.43580014083500085</v>
      </c>
      <c r="H76" s="290">
        <f t="shared" si="38"/>
        <v>0.37721224578345947</v>
      </c>
      <c r="I76" s="290">
        <f t="shared" si="39"/>
        <v>0.14569265929585426</v>
      </c>
      <c r="J76" s="290">
        <f t="shared" si="40"/>
        <v>0.12962968509964481</v>
      </c>
      <c r="K76" s="290">
        <f t="shared" si="41"/>
        <v>9.3033852472479528E-2</v>
      </c>
      <c r="L76" s="290">
        <f t="shared" si="42"/>
        <v>0.51961721822964457</v>
      </c>
      <c r="N76" s="31" t="str">
        <f>N12</f>
        <v>Electricity from Lights</v>
      </c>
      <c r="O76" s="288"/>
      <c r="P76" s="290">
        <f>P12/SUM($P$4:$P$33)</f>
        <v>5.626575193021037E-2</v>
      </c>
      <c r="Q76" s="290">
        <f>Q12/SUM($Q$4:$Q$33)</f>
        <v>0.14312590607611866</v>
      </c>
      <c r="R76" s="290">
        <f>R12/SUM($R$4:$R$33)</f>
        <v>0.16821155586165812</v>
      </c>
      <c r="S76" s="290">
        <f>S12/SUM($S$4:$S$33)</f>
        <v>5.3619813219113369E-2</v>
      </c>
      <c r="T76" s="290">
        <f>T12/SUM($T$4:$T$33)</f>
        <v>0.14170287998074904</v>
      </c>
      <c r="U76" s="290">
        <f>U12/SUM($U$4:$U$33)</f>
        <v>0.14241600516831093</v>
      </c>
      <c r="V76" s="290">
        <f>V12/SUM($V$4:$V$33)</f>
        <v>3.2243470642969688E-2</v>
      </c>
      <c r="W76" s="290">
        <f>W12/SUM($W$4:$W$33)</f>
        <v>4.6848913610715789E-2</v>
      </c>
      <c r="X76" s="290">
        <f>X12/SUM($X$4:$X$33)</f>
        <v>1.920374149928852E-2</v>
      </c>
      <c r="Y76" s="290">
        <f>Y12/SUM($Y$4:$Y$33)</f>
        <v>0.16503885385871239</v>
      </c>
    </row>
    <row r="77" spans="1:25" x14ac:dyDescent="0.25">
      <c r="A77" s="31" t="s">
        <v>205</v>
      </c>
      <c r="B77" s="287"/>
      <c r="C77" s="457">
        <f t="shared" ref="C77:L77" si="43">SUM(C14:C16)/SUM(C4:C35)</f>
        <v>1.9078590897941463E-3</v>
      </c>
      <c r="D77" s="457">
        <f t="shared" si="43"/>
        <v>2.268775709118976E-3</v>
      </c>
      <c r="E77" s="457">
        <f t="shared" si="43"/>
        <v>2.7863021019435556E-3</v>
      </c>
      <c r="F77" s="457">
        <f t="shared" si="43"/>
        <v>1.2450306926914635E-3</v>
      </c>
      <c r="G77" s="457">
        <f t="shared" si="43"/>
        <v>2.6798222354251096E-3</v>
      </c>
      <c r="H77" s="457">
        <f t="shared" si="43"/>
        <v>2.2826225106729794E-3</v>
      </c>
      <c r="I77" s="457">
        <f t="shared" si="43"/>
        <v>9.242423700356146E-4</v>
      </c>
      <c r="J77" s="457">
        <f t="shared" si="43"/>
        <v>1.1096988357856123E-3</v>
      </c>
      <c r="K77" s="457">
        <f t="shared" si="43"/>
        <v>5.9040361874385756E-4</v>
      </c>
      <c r="L77" s="457">
        <f t="shared" si="43"/>
        <v>2.9636223508611829E-3</v>
      </c>
      <c r="N77" s="31" t="s">
        <v>1613</v>
      </c>
      <c r="O77" s="287"/>
      <c r="P77" s="290">
        <f>SUM(P13:P25)/SUM($P$4:$P$33)</f>
        <v>0.1619878113202266</v>
      </c>
      <c r="Q77" s="290">
        <f>SUM(Q13:Q25)/SUM($Q$4:$Q$33)</f>
        <v>0.17743333120475918</v>
      </c>
      <c r="R77" s="290">
        <f>SUM(R13:R25)/SUM($R$4:$R$33)</f>
        <v>0.18568690218719391</v>
      </c>
      <c r="S77" s="290">
        <f>SUM(S13:S25)/SUM($S$4:$S$33)</f>
        <v>8.1403287876636851E-2</v>
      </c>
      <c r="T77" s="290">
        <f>SUM(T13:T25)/SUM($T$4:$T$33)</f>
        <v>0.20699431425487974</v>
      </c>
      <c r="U77" s="290">
        <f>SUM(U13:U25)/SUM($U$4:$U$33)</f>
        <v>0.19202401386295159</v>
      </c>
      <c r="V77" s="290">
        <f>SUM(V13:V25)/SUM($V$4:$V$33)</f>
        <v>4.726421781840081E-2</v>
      </c>
      <c r="W77" s="290">
        <f>SUM(W13:W25)/SUM($W$4:$W$33)</f>
        <v>0.11533774858319369</v>
      </c>
      <c r="X77" s="290">
        <f>SUM(X13:X25)/SUM($X$4:$X$33)</f>
        <v>2.9484515090547173E-2</v>
      </c>
      <c r="Y77" s="290">
        <f>SUM(Y13:Y25)/SUM($Y$4:$Y$33)</f>
        <v>0.19398988972717718</v>
      </c>
    </row>
    <row r="78" spans="1:25" x14ac:dyDescent="0.25">
      <c r="A78" s="31" t="str">
        <f t="shared" ref="A78:A83" si="44">A17</f>
        <v>CO2</v>
      </c>
      <c r="B78" s="288"/>
      <c r="C78" s="290">
        <f t="shared" ref="C78:C83" si="45">C17/SUM($C$4:$C$35)</f>
        <v>0.23119102621135659</v>
      </c>
      <c r="D78" s="290">
        <f t="shared" ref="D78:D83" si="46">D17/SUM($D$4:$D$35)</f>
        <v>0.27734643950708687</v>
      </c>
      <c r="E78" s="290">
        <f t="shared" ref="E78:E83" si="47">E17/SUM($E$4:$E$35)</f>
        <v>0.15308114728778521</v>
      </c>
      <c r="F78" s="290">
        <f t="shared" ref="F78:F83" si="48">F17/SUM($F$4:$F$35)</f>
        <v>0.13204616918373513</v>
      </c>
      <c r="G78" s="290">
        <f t="shared" ref="G78:G83" si="49">G17/SUM($G$4:$G$35)</f>
        <v>0.20153228103339449</v>
      </c>
      <c r="H78" s="290">
        <f t="shared" ref="H78:H83" si="50">H17/SUM($H$4:$H$35)</f>
        <v>0.31596304754378751</v>
      </c>
      <c r="I78" s="290">
        <f t="shared" ref="I78:I83" si="51">I17/SUM($I$4:$I$35)</f>
        <v>7.31490782238155E-2</v>
      </c>
      <c r="J78" s="290">
        <f t="shared" ref="J78:J83" si="52">J17/SUM($J$4:$J$35)</f>
        <v>0.4516985963810165</v>
      </c>
      <c r="K78" s="290">
        <f t="shared" ref="K78:K83" si="53">K17/SUM($K$4:$K$35)</f>
        <v>6.9450738596357101E-2</v>
      </c>
      <c r="L78" s="290">
        <f t="shared" ref="L78:L83" si="54">L17/SUM($L$4:$L$35)</f>
        <v>0.1250374339488742</v>
      </c>
      <c r="N78" s="31" t="str">
        <f>N26</f>
        <v>CO2</v>
      </c>
      <c r="O78" s="288"/>
      <c r="P78" s="290">
        <f>P26/SUM($P$4:$P$33)</f>
        <v>4.0759068421450766E-2</v>
      </c>
      <c r="Q78" s="290">
        <f>Q26/SUM($Q$4:$Q$33)</f>
        <v>6.2813873522136229E-2</v>
      </c>
      <c r="R78" s="290">
        <f>R26/SUM($R$4:$R$33)</f>
        <v>3.1785016112039988E-2</v>
      </c>
      <c r="S78" s="290">
        <f>S26/SUM($S$4:$S$33)</f>
        <v>2.290133348274875E-2</v>
      </c>
      <c r="T78" s="290">
        <f>T26/SUM($T$4:$T$33)</f>
        <v>4.0807461010272585E-2</v>
      </c>
      <c r="U78" s="290">
        <f>U26/SUM($U$4:$U$33)</f>
        <v>7.4287022801164587E-2</v>
      </c>
      <c r="V78" s="290">
        <f>V26/SUM($V$4:$V$33)</f>
        <v>1.0081301725547744E-2</v>
      </c>
      <c r="W78" s="290">
        <f>W26/SUM($W$4:$W$33)</f>
        <v>0.10165937669072228</v>
      </c>
      <c r="X78" s="290">
        <f>X26/SUM($X$4:$X$33)</f>
        <v>8.9274074801937806E-3</v>
      </c>
      <c r="Y78" s="290">
        <f>Y26/SUM($Y$4:$Y$33)</f>
        <v>2.4731266703226604E-2</v>
      </c>
    </row>
    <row r="79" spans="1:25" x14ac:dyDescent="0.25">
      <c r="A79" s="31" t="str">
        <f t="shared" si="44"/>
        <v>Ammonium Nitrate (N)</v>
      </c>
      <c r="C79" s="290">
        <f t="shared" si="45"/>
        <v>1.105658949598223E-3</v>
      </c>
      <c r="D79" s="290">
        <f t="shared" si="46"/>
        <v>6.2262249833002457E-4</v>
      </c>
      <c r="E79" s="290">
        <f t="shared" si="47"/>
        <v>3.9124171591002664E-4</v>
      </c>
      <c r="F79" s="290">
        <f t="shared" si="48"/>
        <v>4.8234852225711219E-4</v>
      </c>
      <c r="G79" s="290">
        <f t="shared" si="49"/>
        <v>2.856362131523543E-4</v>
      </c>
      <c r="H79" s="290">
        <f t="shared" si="50"/>
        <v>7.2479353542552591E-4</v>
      </c>
      <c r="I79" s="290">
        <f t="shared" si="51"/>
        <v>3.9329762745549622E-4</v>
      </c>
      <c r="J79" s="290">
        <f t="shared" si="52"/>
        <v>5.4931690323031942E-4</v>
      </c>
      <c r="K79" s="290">
        <f t="shared" si="53"/>
        <v>2.849122978277294E-4</v>
      </c>
      <c r="L79" s="290">
        <f t="shared" si="54"/>
        <v>2.2536559601401152E-4</v>
      </c>
      <c r="N79" s="31" t="str">
        <f>N27</f>
        <v>Fertilizer</v>
      </c>
      <c r="P79" s="290">
        <f>P27/SUM($P$4:$P$33)</f>
        <v>1.8486287090293512E-3</v>
      </c>
      <c r="Q79" s="290">
        <f>Q27/SUM($Q$4:$Q$33)</f>
        <v>1.2753926288207762E-3</v>
      </c>
      <c r="R79" s="290">
        <f>R27/SUM($R$4:$R$33)</f>
        <v>5.4862965565505295E-4</v>
      </c>
      <c r="S79" s="290">
        <f>S27/SUM($S$4:$S$33)</f>
        <v>6.095141051016622E-4</v>
      </c>
      <c r="T79" s="290">
        <f>T27/SUM($T$4:$T$33)</f>
        <v>6.9660471875234646E-4</v>
      </c>
      <c r="U79" s="290">
        <f>U27/SUM($U$4:$U$33)</f>
        <v>1.4944600052597152E-3</v>
      </c>
      <c r="V79" s="290">
        <f>V27/SUM($V$4:$V$33)</f>
        <v>1.0471381604444921E-3</v>
      </c>
      <c r="W79" s="290">
        <f>W27/SUM($W$4:$W$33)</f>
        <v>6.5239103183576048E-4</v>
      </c>
      <c r="X79" s="290">
        <f>X27/SUM($X$4:$X$33)</f>
        <v>7.4679986999610568E-4</v>
      </c>
      <c r="Y79" s="290">
        <f>Y27/SUM($Y$4:$Y$33)</f>
        <v>7.6642434598251416E-4</v>
      </c>
    </row>
    <row r="80" spans="1:25" x14ac:dyDescent="0.25">
      <c r="A80" s="31" t="str">
        <f t="shared" si="44"/>
        <v>Triple Superphosphate (P)</v>
      </c>
      <c r="C80" s="290">
        <f t="shared" si="45"/>
        <v>1.4095908229443857E-3</v>
      </c>
      <c r="D80" s="290">
        <f t="shared" si="46"/>
        <v>1.2006258996149479E-3</v>
      </c>
      <c r="E80" s="290">
        <f t="shared" si="47"/>
        <v>1.4347881030290293E-3</v>
      </c>
      <c r="F80" s="290">
        <f t="shared" si="48"/>
        <v>2.3617334823597408E-4</v>
      </c>
      <c r="G80" s="290">
        <f t="shared" si="49"/>
        <v>6.067104146719347E-4</v>
      </c>
      <c r="H80" s="290">
        <f t="shared" si="50"/>
        <v>1.551261572071344E-3</v>
      </c>
      <c r="I80" s="290">
        <f t="shared" si="51"/>
        <v>3.479677779871901E-4</v>
      </c>
      <c r="J80" s="290">
        <f t="shared" si="52"/>
        <v>4.5826141716312431E-4</v>
      </c>
      <c r="K80" s="290">
        <f t="shared" si="53"/>
        <v>2.8450861862104848E-4</v>
      </c>
      <c r="L80" s="290">
        <f t="shared" si="54"/>
        <v>5.3212380894331079E-4</v>
      </c>
      <c r="N80" s="31" t="str">
        <f>N28</f>
        <v>Soil</v>
      </c>
      <c r="P80" s="290">
        <f>P28/SUM($P$4:$P$33)</f>
        <v>2.9525021383209124E-6</v>
      </c>
      <c r="Q80" s="290">
        <f>Q28/SUM($Q$4:$Q$33)</f>
        <v>1.9587882614990598E-6</v>
      </c>
      <c r="R80" s="290">
        <f>R28/SUM($R$4:$R$33)</f>
        <v>1.7743362787285013E-6</v>
      </c>
      <c r="S80" s="290">
        <f>S28/SUM($S$4:$S$33)</f>
        <v>1.9881793264176451E-5</v>
      </c>
      <c r="T80" s="290">
        <f>T28/SUM($T$4:$T$33)</f>
        <v>2.1225967302562855E-6</v>
      </c>
      <c r="U80" s="290">
        <f>U28/SUM($U$4:$U$33)</f>
        <v>2.2251545485488144E-6</v>
      </c>
      <c r="V80" s="290">
        <f>V28/SUM($V$4:$V$33)</f>
        <v>9.6643078449922771E-7</v>
      </c>
      <c r="W80" s="290">
        <f>W28/SUM($W$4:$W$33)</f>
        <v>2.8680498876375678E-6</v>
      </c>
      <c r="X80" s="290">
        <f>X28/SUM($X$4:$X$33)</f>
        <v>5.109967940398983E-7</v>
      </c>
      <c r="Y80" s="290">
        <f>Y28/SUM($Y$4:$Y$33)</f>
        <v>1.7443508878993375E-6</v>
      </c>
    </row>
    <row r="81" spans="1:25" x14ac:dyDescent="0.25">
      <c r="A81" s="31" t="str">
        <f t="shared" si="44"/>
        <v>Potassium Chloride (K)</v>
      </c>
      <c r="C81" s="290">
        <f t="shared" si="45"/>
        <v>9.3359180186234055E-5</v>
      </c>
      <c r="D81" s="290">
        <f t="shared" si="46"/>
        <v>1.9277338511158713E-4</v>
      </c>
      <c r="E81" s="290">
        <f t="shared" si="47"/>
        <v>6.151864697270237E-5</v>
      </c>
      <c r="F81" s="290">
        <f t="shared" si="48"/>
        <v>4.3469633868105492E-5</v>
      </c>
      <c r="G81" s="290">
        <f t="shared" si="49"/>
        <v>1.0817557953768272E-4</v>
      </c>
      <c r="H81" s="290">
        <f t="shared" si="50"/>
        <v>2.2183530934929578E-4</v>
      </c>
      <c r="I81" s="290">
        <f t="shared" si="51"/>
        <v>8.9681853932964593E-5</v>
      </c>
      <c r="J81" s="290">
        <f t="shared" si="52"/>
        <v>5.7358496561685822E-5</v>
      </c>
      <c r="K81" s="290">
        <f t="shared" si="53"/>
        <v>5.862446264280603E-5</v>
      </c>
      <c r="L81" s="290">
        <f t="shared" si="54"/>
        <v>3.3923248048229438E-5</v>
      </c>
      <c r="N81" s="31" t="str">
        <f>N29</f>
        <v>Soil Amendments</v>
      </c>
      <c r="P81" s="290">
        <f>P29/SUM($P$4:$P$33)</f>
        <v>3.1994179033831467E-7</v>
      </c>
      <c r="Q81" s="290">
        <f>Q29/SUM($Q$4:$Q$33)</f>
        <v>1.1265550805740511E-7</v>
      </c>
      <c r="R81" s="290">
        <f>R29/SUM($R$4:$R$33)</f>
        <v>1.0149590536118886E-7</v>
      </c>
      <c r="S81" s="290">
        <f>S29/SUM($S$4:$S$33)</f>
        <v>9.2701279788608953E-8</v>
      </c>
      <c r="T81" s="290">
        <f>T29/SUM($T$4:$T$33)</f>
        <v>1.3561909672349893E-7</v>
      </c>
      <c r="U81" s="290">
        <f>U29/SUM($U$4:$U$33)</f>
        <v>1.2805331830383101E-7</v>
      </c>
      <c r="V81" s="290">
        <f>V29/SUM($V$4:$V$33)</f>
        <v>8.6499532452422542E-8</v>
      </c>
      <c r="W81" s="290">
        <f>W29/SUM($W$4:$W$33)</f>
        <v>1.6897918603400277E-7</v>
      </c>
      <c r="X81" s="290">
        <f>X29/SUM($X$4:$X$33)</f>
        <v>2.7891085528672648E-8</v>
      </c>
      <c r="Y81" s="290">
        <f>Y29/SUM($Y$4:$Y$33)</f>
        <v>9.0959001573989711E-8</v>
      </c>
    </row>
    <row r="82" spans="1:25" x14ac:dyDescent="0.25">
      <c r="A82" s="31" t="str">
        <f t="shared" si="44"/>
        <v>Soil</v>
      </c>
      <c r="C82" s="290">
        <f t="shared" si="45"/>
        <v>2.5203174924386031E-3</v>
      </c>
      <c r="D82" s="290">
        <f t="shared" si="46"/>
        <v>1.0332206326891212E-3</v>
      </c>
      <c r="E82" s="290">
        <f t="shared" si="47"/>
        <v>4.4249120897718873E-4</v>
      </c>
      <c r="F82" s="290">
        <f t="shared" si="48"/>
        <v>8.9680442260584622E-4</v>
      </c>
      <c r="G82" s="290">
        <f t="shared" si="49"/>
        <v>9.4036825576508741E-4</v>
      </c>
      <c r="H82" s="290">
        <f t="shared" si="50"/>
        <v>9.4928759264249448E-4</v>
      </c>
      <c r="I82" s="290">
        <f t="shared" si="51"/>
        <v>2.7130503330808253E-3</v>
      </c>
      <c r="J82" s="290">
        <f t="shared" si="52"/>
        <v>2.9334876634993499E-3</v>
      </c>
      <c r="K82" s="290">
        <f t="shared" si="53"/>
        <v>1.3599149612301342E-3</v>
      </c>
      <c r="L82" s="290">
        <f t="shared" si="54"/>
        <v>6.3133789998506091E-4</v>
      </c>
      <c r="N82" s="31" t="str">
        <f>N30</f>
        <v>Fungicides</v>
      </c>
      <c r="P82" s="290">
        <f>P30/SUM($P$4:$P$33)</f>
        <v>2.4925965706522786E-2</v>
      </c>
      <c r="Q82" s="290">
        <f>Q30/SUM($Q$4:$Q$33)</f>
        <v>2.4039199237740966E-2</v>
      </c>
      <c r="R82" s="290">
        <f>R30/SUM($R$4:$R$33)</f>
        <v>1.3764113143024207E-2</v>
      </c>
      <c r="S82" s="290">
        <f>S30/SUM($S$4:$S$33)</f>
        <v>9.4355172797158503E-3</v>
      </c>
      <c r="T82" s="290">
        <f>T30/SUM($T$4:$T$33)</f>
        <v>1.847841414205835E-2</v>
      </c>
      <c r="U82" s="290">
        <f>U30/SUM($U$4:$U$33)</f>
        <v>2.8293612135809269E-2</v>
      </c>
      <c r="V82" s="290">
        <f>V30/SUM($V$4:$V$33)</f>
        <v>1.6340951051238482E-2</v>
      </c>
      <c r="W82" s="290">
        <f>W30/SUM($W$4:$W$33)</f>
        <v>1.6377135907140683E-2</v>
      </c>
      <c r="X82" s="290">
        <f>X30/SUM($X$4:$X$33)</f>
        <v>1.0698747418662653E-2</v>
      </c>
      <c r="Y82" s="290">
        <f>Y30/SUM($Y$4:$Y$33)</f>
        <v>1.2142691585940795E-2</v>
      </c>
    </row>
    <row r="83" spans="1:25" x14ac:dyDescent="0.25">
      <c r="A83" s="31" t="str">
        <f t="shared" si="44"/>
        <v>Soil Amendments</v>
      </c>
      <c r="C83" s="290">
        <f t="shared" si="45"/>
        <v>0.10414568428336646</v>
      </c>
      <c r="D83" s="290">
        <f t="shared" si="46"/>
        <v>2.8545853551287061E-2</v>
      </c>
      <c r="E83" s="290">
        <f t="shared" si="47"/>
        <v>2.8052487540581161E-2</v>
      </c>
      <c r="F83" s="290">
        <f t="shared" si="48"/>
        <v>3.0674277983048212E-2</v>
      </c>
      <c r="G83" s="290">
        <f t="shared" si="49"/>
        <v>3.8436999431907683E-2</v>
      </c>
      <c r="H83" s="290">
        <f t="shared" si="50"/>
        <v>3.1256314010805149E-2</v>
      </c>
      <c r="I83" s="290">
        <f t="shared" si="51"/>
        <v>3.6018828920513273E-2</v>
      </c>
      <c r="J83" s="290">
        <f t="shared" si="52"/>
        <v>4.308817460777311E-2</v>
      </c>
      <c r="K83" s="290">
        <f t="shared" si="53"/>
        <v>1.2452040136390176E-2</v>
      </c>
      <c r="L83" s="290">
        <f t="shared" si="54"/>
        <v>2.6391432248714191E-2</v>
      </c>
      <c r="N83" s="31" t="str">
        <f t="shared" ref="N83" si="55">N33</f>
        <v>Pesticides</v>
      </c>
      <c r="P83" s="290">
        <f>P33/SUM($P$4:$P$33)</f>
        <v>5.6778390397652056E-5</v>
      </c>
      <c r="Q83" s="290">
        <f>Q33/SUM($Q$4:$Q$33)</f>
        <v>5.2940031533002553E-5</v>
      </c>
      <c r="R83" s="290">
        <f>R33/SUM($R$4:$R$33)</f>
        <v>3.314705860917063E-5</v>
      </c>
      <c r="S83" s="290">
        <f>S33/SUM($S$4:$S$33)</f>
        <v>2.2970306082322443E-5</v>
      </c>
      <c r="T83" s="290">
        <f>T33/SUM($T$4:$T$33)</f>
        <v>4.1845211926116674E-5</v>
      </c>
      <c r="U83" s="290">
        <f>U33/SUM($U$4:$U$33)</f>
        <v>5.7702214885743698E-5</v>
      </c>
      <c r="V83" s="290">
        <f>V33/SUM($V$4:$V$33)</f>
        <v>2.9209338988960269E-5</v>
      </c>
      <c r="W83" s="290">
        <f>W33/SUM($W$4:$W$33)</f>
        <v>3.4923743268827173E-5</v>
      </c>
      <c r="X83" s="290">
        <f>X33/SUM($X$4:$X$33)</f>
        <v>1.8662147179730858E-5</v>
      </c>
      <c r="Y83" s="290">
        <f>Y33/SUM($Y$4:$Y$33)</f>
        <v>2.4816759798328333E-5</v>
      </c>
    </row>
    <row r="84" spans="1:25" x14ac:dyDescent="0.25">
      <c r="A84" s="31" t="s">
        <v>1164</v>
      </c>
      <c r="C84" s="290">
        <f t="shared" ref="C84:L84" si="56">SUM(C23:C25)/SUM(C4:C35)</f>
        <v>2.0423800452333317E-3</v>
      </c>
      <c r="D84" s="290">
        <f t="shared" si="56"/>
        <v>1.2816964070763066E-3</v>
      </c>
      <c r="E84" s="290">
        <f t="shared" si="56"/>
        <v>3.4288391462468119E-3</v>
      </c>
      <c r="F84" s="290">
        <f t="shared" si="56"/>
        <v>2.0187555489745049E-3</v>
      </c>
      <c r="G84" s="290">
        <f t="shared" si="56"/>
        <v>9.2554790857916501E-4</v>
      </c>
      <c r="H84" s="290">
        <f t="shared" si="56"/>
        <v>7.0094999096447972E-4</v>
      </c>
      <c r="I84" s="290">
        <f t="shared" si="56"/>
        <v>4.4073405551211468E-4</v>
      </c>
      <c r="J84" s="290">
        <f t="shared" si="56"/>
        <v>9.6900672879147737E-4</v>
      </c>
      <c r="K84" s="290">
        <f t="shared" si="56"/>
        <v>1.9853819306598762E-4</v>
      </c>
      <c r="L84" s="290">
        <f t="shared" si="56"/>
        <v>1.0613457913538464E-3</v>
      </c>
      <c r="N84" s="31"/>
      <c r="P84" s="290"/>
      <c r="Q84" s="290"/>
      <c r="R84" s="290"/>
      <c r="S84" s="290"/>
      <c r="T84" s="290"/>
      <c r="U84" s="290"/>
      <c r="V84" s="290"/>
      <c r="W84" s="290"/>
      <c r="X84" s="290"/>
      <c r="Y84" s="290"/>
    </row>
    <row r="85" spans="1:25" x14ac:dyDescent="0.25">
      <c r="A85" s="31" t="s">
        <v>999</v>
      </c>
      <c r="C85" s="290">
        <f t="shared" ref="C85:L85" si="57">C26/SUM(C4:C35)</f>
        <v>4.4192641175628813E-3</v>
      </c>
      <c r="D85" s="290">
        <f t="shared" si="57"/>
        <v>3.3177087448191325E-3</v>
      </c>
      <c r="E85" s="290">
        <f t="shared" si="57"/>
        <v>2.0720429236707285E-3</v>
      </c>
      <c r="F85" s="290">
        <f t="shared" si="57"/>
        <v>1.7005209674491278E-3</v>
      </c>
      <c r="G85" s="290">
        <f t="shared" si="57"/>
        <v>2.8524693322364084E-3</v>
      </c>
      <c r="H85" s="290">
        <f t="shared" si="57"/>
        <v>3.7615165557768455E-3</v>
      </c>
      <c r="I85" s="290">
        <f t="shared" si="57"/>
        <v>3.7061314185917573E-3</v>
      </c>
      <c r="J85" s="290">
        <f t="shared" si="57"/>
        <v>2.2745238387394933E-3</v>
      </c>
      <c r="K85" s="290">
        <f t="shared" si="57"/>
        <v>2.6015710232117693E-3</v>
      </c>
      <c r="L85" s="290">
        <f t="shared" si="57"/>
        <v>1.9189333791059229E-3</v>
      </c>
      <c r="N85" s="31"/>
      <c r="P85" s="290"/>
      <c r="Q85" s="290"/>
      <c r="R85" s="290"/>
      <c r="S85" s="290"/>
      <c r="T85" s="290"/>
      <c r="U85" s="290"/>
      <c r="V85" s="290"/>
      <c r="W85" s="290"/>
      <c r="X85" s="290"/>
      <c r="Y85" s="290"/>
    </row>
    <row r="86" spans="1:25" x14ac:dyDescent="0.25">
      <c r="A86" s="31" t="str">
        <f>A27</f>
        <v>Extractor Fan Electricity</v>
      </c>
      <c r="C86" s="290">
        <f>C27/SUM($C$4:$C$35)</f>
        <v>1.6290108719244609E-2</v>
      </c>
      <c r="D86" s="290">
        <f>D27/SUM($D$4:$D$35)</f>
        <v>3.2256586016957169E-2</v>
      </c>
      <c r="E86" s="290">
        <f>E27/SUM($E$4:$E$35)</f>
        <v>4.1351210990473647E-2</v>
      </c>
      <c r="F86" s="290">
        <f>F27/SUM($F$4:$F$35)</f>
        <v>1.5780598287457089E-2</v>
      </c>
      <c r="G86" s="290">
        <f>G27/SUM($G$4:$G$35)</f>
        <v>3.5720444565306445E-2</v>
      </c>
      <c r="H86" s="290">
        <f>H27/SUM($H$4:$H$35)</f>
        <v>3.091827618285305E-2</v>
      </c>
      <c r="I86" s="290">
        <f>I27/SUM($I$4:$I$35)</f>
        <v>1.1941727577183172E-2</v>
      </c>
      <c r="J86" s="290">
        <f>J27/SUM($J$4:$J$35)</f>
        <v>1.0625122726550768E-2</v>
      </c>
      <c r="K86" s="290">
        <f>K27/SUM($K$4:$K$35)</f>
        <v>7.6255380816829758E-3</v>
      </c>
      <c r="L86" s="290">
        <f>L27/SUM($L$4:$L$35)</f>
        <v>4.2590527858452791E-2</v>
      </c>
    </row>
    <row r="87" spans="1:25" x14ac:dyDescent="0.25">
      <c r="A87" s="31" t="str">
        <f>A28</f>
        <v>Intake Fan Electricity</v>
      </c>
      <c r="C87" s="290">
        <f>C28/SUM($C$4:$C$35)</f>
        <v>1.6290108719244609E-2</v>
      </c>
      <c r="D87" s="290">
        <f>D28/SUM($D$4:$D$35)</f>
        <v>3.2256586016957169E-2</v>
      </c>
      <c r="E87" s="290">
        <f>E28/SUM($E$4:$E$35)</f>
        <v>4.1351210990473647E-2</v>
      </c>
      <c r="F87" s="290">
        <f>F28/SUM($F$4:$F$35)</f>
        <v>1.5780598287457089E-2</v>
      </c>
      <c r="G87" s="290">
        <f>G28/SUM($G$4:$G$35)</f>
        <v>3.5720444565306445E-2</v>
      </c>
      <c r="H87" s="290">
        <f>H28/SUM($H$4:$H$35)</f>
        <v>3.091827618285305E-2</v>
      </c>
      <c r="I87" s="290">
        <f>I28/SUM($I$4:$I$35)</f>
        <v>1.1941727577183172E-2</v>
      </c>
      <c r="J87" s="290">
        <f>J28/SUM($J$4:$J$35)</f>
        <v>1.0625122726550768E-2</v>
      </c>
      <c r="K87" s="290">
        <f>K28/SUM($K$4:$K$35)</f>
        <v>7.6255380816829758E-3</v>
      </c>
      <c r="L87" s="290">
        <f>L28/SUM($L$4:$L$35)</f>
        <v>4.2590527858452791E-2</v>
      </c>
      <c r="P87" s="301">
        <f t="shared" ref="P87:Y87" si="58">SUM(P68:P85)</f>
        <v>0.99999999999999978</v>
      </c>
      <c r="Q87" s="301">
        <f t="shared" si="58"/>
        <v>1.0000000000000004</v>
      </c>
      <c r="R87" s="301">
        <f t="shared" si="58"/>
        <v>0.99999999999999944</v>
      </c>
      <c r="S87" s="301">
        <f t="shared" si="58"/>
        <v>1</v>
      </c>
      <c r="T87" s="301">
        <f t="shared" si="58"/>
        <v>1</v>
      </c>
      <c r="U87" s="301">
        <f t="shared" si="58"/>
        <v>1.0000000000000004</v>
      </c>
      <c r="V87" s="301">
        <f t="shared" si="58"/>
        <v>1</v>
      </c>
      <c r="W87" s="301">
        <f t="shared" si="58"/>
        <v>1</v>
      </c>
      <c r="X87" s="301">
        <f t="shared" si="58"/>
        <v>0.99999999999999933</v>
      </c>
      <c r="Y87" s="301">
        <f t="shared" si="58"/>
        <v>1.0000000000000002</v>
      </c>
    </row>
    <row r="88" spans="1:25" x14ac:dyDescent="0.25">
      <c r="A88" s="31" t="str">
        <f>A29</f>
        <v>Circulation Fan Electricity</v>
      </c>
      <c r="C88" s="290">
        <f>C29/SUM($C$4:$C$35)</f>
        <v>2.0298198292102179E-2</v>
      </c>
      <c r="D88" s="290">
        <f>D29/SUM($D$4:$D$35)</f>
        <v>4.0193137472738019E-2</v>
      </c>
      <c r="E88" s="290">
        <f>E29/SUM($E$4:$E$35)</f>
        <v>5.1525443738236185E-2</v>
      </c>
      <c r="F88" s="290">
        <f>F29/SUM($F$4:$F$35)</f>
        <v>1.9663325685997355E-2</v>
      </c>
      <c r="G88" s="290">
        <f>G29/SUM($G$4:$G$35)</f>
        <v>4.4509258922997258E-2</v>
      </c>
      <c r="H88" s="290">
        <f>H29/SUM($H$4:$H$35)</f>
        <v>3.8525544035695858E-2</v>
      </c>
      <c r="I88" s="290">
        <f>I29/SUM($I$4:$I$35)</f>
        <v>1.487992244186625E-2</v>
      </c>
      <c r="J88" s="290">
        <f>J29/SUM($J$4:$J$35)</f>
        <v>1.323937437732765E-2</v>
      </c>
      <c r="K88" s="290">
        <f>K29/SUM($K$4:$K$35)</f>
        <v>9.5017588116597315E-3</v>
      </c>
      <c r="L88" s="290">
        <f>L29/SUM($L$4:$L$35)</f>
        <v>5.3069687546951204E-2</v>
      </c>
    </row>
    <row r="89" spans="1:25" x14ac:dyDescent="0.25">
      <c r="A89" s="31" t="str">
        <f>A30</f>
        <v>Landfill Operations</v>
      </c>
      <c r="C89" s="290">
        <f>C30/SUM($C$4:$C$35)</f>
        <v>1.3972005028841212E-3</v>
      </c>
      <c r="D89" s="290">
        <f>D30/SUM($D$4:$D$35)</f>
        <v>1.7778372330376076E-4</v>
      </c>
      <c r="E89" s="290">
        <f>E30/SUM($E$4:$E$35)</f>
        <v>2.2107981428152462E-4</v>
      </c>
      <c r="F89" s="290">
        <f>F30/SUM($F$4:$F$35)</f>
        <v>2.9984216191258635E-4</v>
      </c>
      <c r="G89" s="290">
        <f>G30/SUM($G$4:$G$35)</f>
        <v>3.3214983558650137E-4</v>
      </c>
      <c r="H89" s="290">
        <f>H30/SUM($H$4:$H$35)</f>
        <v>1.7186248456512243E-4</v>
      </c>
      <c r="I89" s="290">
        <f>I30/SUM($I$4:$I$35)</f>
        <v>7.268836009360185E-4</v>
      </c>
      <c r="J89" s="290">
        <f>J30/SUM($J$4:$J$35)</f>
        <v>1.8034125476476747E-3</v>
      </c>
      <c r="K89" s="290">
        <f>K30/SUM($K$4:$K$35)</f>
        <v>3.6921207664470729E-4</v>
      </c>
      <c r="L89" s="290">
        <f>L30/SUM($L$4:$L$35)</f>
        <v>4.7171658033582113E-4</v>
      </c>
    </row>
    <row r="90" spans="1:25" x14ac:dyDescent="0.25">
      <c r="A90" s="31" t="str">
        <f>A33</f>
        <v>Secondary Air Conditioning</v>
      </c>
      <c r="C90" s="290">
        <f>C33/SUM($C$4:$C$35)</f>
        <v>1.1096548135045672E-2</v>
      </c>
      <c r="D90" s="290">
        <f>D33/SUM($D$4:$D$35)</f>
        <v>2.197264398773173E-2</v>
      </c>
      <c r="E90" s="290">
        <f>E33/SUM($E$4:$E$35)</f>
        <v>2.8167749590040675E-2</v>
      </c>
      <c r="F90" s="290">
        <f>F33/SUM($F$4:$F$35)</f>
        <v>1.0749478196527773E-2</v>
      </c>
      <c r="G90" s="290">
        <f>G33/SUM($G$4:$G$35)</f>
        <v>2.4332166184740708E-2</v>
      </c>
      <c r="H90" s="290">
        <f>H33/SUM($H$4:$H$35)</f>
        <v>2.1061009832939546E-2</v>
      </c>
      <c r="I90" s="290">
        <f>I33/SUM($I$4:$I$35)</f>
        <v>8.1345040207908524E-3</v>
      </c>
      <c r="J90" s="290">
        <f>J33/SUM($J$4:$J$35)</f>
        <v>7.2376549357618739E-3</v>
      </c>
      <c r="K90" s="290">
        <f>K33/SUM($K$4:$K$35)</f>
        <v>5.1943883148585128E-3</v>
      </c>
      <c r="L90" s="290">
        <f>L33/SUM($L$4:$L$35)</f>
        <v>2.9011951400913706E-2</v>
      </c>
    </row>
    <row r="91" spans="1:25" x14ac:dyDescent="0.25">
      <c r="A91" s="31" t="str">
        <f>A34</f>
        <v>Secondary Dehumidification</v>
      </c>
      <c r="C91" s="290">
        <f>C34/SUM($C$4:$C$35)</f>
        <v>0</v>
      </c>
      <c r="D91" s="290">
        <f>D34/SUM($D$4:$D$35)</f>
        <v>0</v>
      </c>
      <c r="E91" s="290">
        <f>E34/SUM($E$4:$E$35)</f>
        <v>0</v>
      </c>
      <c r="F91" s="290">
        <f>F34/SUM($F$4:$F$35)</f>
        <v>0</v>
      </c>
      <c r="G91" s="290">
        <f>G34/SUM($G$4:$G$35)</f>
        <v>0</v>
      </c>
      <c r="H91" s="290">
        <f>H34/SUM($H$4:$H$35)</f>
        <v>0</v>
      </c>
      <c r="I91" s="290">
        <f>I34/SUM($I$4:$I$35)</f>
        <v>0</v>
      </c>
      <c r="J91" s="290">
        <f>J34/SUM($J$4:$J$35)</f>
        <v>0</v>
      </c>
      <c r="K91" s="290">
        <f>K34/SUM($K$4:$K$35)</f>
        <v>0</v>
      </c>
      <c r="L91" s="290">
        <f>L34/SUM($L$4:$L$35)</f>
        <v>0</v>
      </c>
    </row>
    <row r="92" spans="1:25" x14ac:dyDescent="0.25">
      <c r="A92" s="31" t="str">
        <f>A35</f>
        <v>Secondary Heating</v>
      </c>
      <c r="C92" s="290">
        <f>C35/SUM($C$4:$C$35)</f>
        <v>3.1391855975274911E-3</v>
      </c>
      <c r="D92" s="290">
        <f>D35/SUM($D$4:$D$35)</f>
        <v>6.2160057980591623E-3</v>
      </c>
      <c r="E92" s="290">
        <f>E35/SUM($E$4:$E$35)</f>
        <v>7.9685856134442522E-3</v>
      </c>
      <c r="F92" s="290">
        <f>F35/SUM($F$4:$F$35)</f>
        <v>3.0410003836149613E-3</v>
      </c>
      <c r="G92" s="290">
        <f>G35/SUM($G$4:$G$35)</f>
        <v>6.8835087014624203E-3</v>
      </c>
      <c r="H92" s="290">
        <f>H35/SUM($H$4:$H$35)</f>
        <v>5.9581067853112669E-3</v>
      </c>
      <c r="I92" s="290">
        <f>I35/SUM($I$4:$I$35)</f>
        <v>2.3012307570178451E-3</v>
      </c>
      <c r="J92" s="290">
        <f>J35/SUM($J$4:$J$35)</f>
        <v>2.0475144033720648E-3</v>
      </c>
      <c r="K92" s="290">
        <f>K35/SUM($K$4:$K$35)</f>
        <v>1.4694794081476603E-3</v>
      </c>
      <c r="L92" s="290">
        <f>L35/SUM($L$4:$L$35)</f>
        <v>8.2074081854591942E-3</v>
      </c>
    </row>
    <row r="93" spans="1:25" x14ac:dyDescent="0.25">
      <c r="A93" s="31"/>
      <c r="C93" s="301">
        <f t="shared" ref="C93:L93" si="59">SUM(C68:C92)</f>
        <v>0.8758364497384602</v>
      </c>
      <c r="D93" s="301">
        <f t="shared" si="59"/>
        <v>0.9546532266177219</v>
      </c>
      <c r="E93" s="301">
        <f t="shared" si="59"/>
        <v>0.97587920167655651</v>
      </c>
      <c r="F93" s="301">
        <f t="shared" si="59"/>
        <v>0.75026651012756074</v>
      </c>
      <c r="G93" s="301">
        <f t="shared" si="59"/>
        <v>0.95816768293449917</v>
      </c>
      <c r="H93" s="301">
        <f t="shared" si="59"/>
        <v>0.96103459327064877</v>
      </c>
      <c r="I93" s="301">
        <f t="shared" si="59"/>
        <v>0.7749679522030315</v>
      </c>
      <c r="J93" s="301">
        <f t="shared" si="59"/>
        <v>0.8932227642620757</v>
      </c>
      <c r="K93" s="301">
        <f t="shared" si="59"/>
        <v>0.74336404873201989</v>
      </c>
      <c r="L93" s="301">
        <f t="shared" si="59"/>
        <v>0.97231225771088059</v>
      </c>
    </row>
    <row r="94" spans="1:25" ht="15.75" thickBot="1" x14ac:dyDescent="0.3"/>
    <row r="95" spans="1:25" ht="21.75" thickBot="1" x14ac:dyDescent="0.4">
      <c r="C95" s="775" t="s">
        <v>1065</v>
      </c>
      <c r="D95" s="776"/>
      <c r="E95" s="776"/>
      <c r="F95" s="776"/>
      <c r="G95" s="776"/>
      <c r="H95" s="776"/>
      <c r="I95" s="776"/>
      <c r="J95" s="776"/>
      <c r="K95" s="776"/>
      <c r="L95" s="777"/>
    </row>
    <row r="96" spans="1:25" ht="30" x14ac:dyDescent="0.25">
      <c r="C96" s="182" t="s">
        <v>449</v>
      </c>
      <c r="D96" s="182" t="s">
        <v>450</v>
      </c>
      <c r="E96" s="182" t="s">
        <v>451</v>
      </c>
      <c r="F96" s="182" t="s">
        <v>452</v>
      </c>
      <c r="G96" s="182" t="s">
        <v>453</v>
      </c>
      <c r="H96" s="182" t="s">
        <v>454</v>
      </c>
      <c r="I96" s="182" t="s">
        <v>455</v>
      </c>
      <c r="J96" s="182" t="s">
        <v>456</v>
      </c>
      <c r="K96" s="182" t="s">
        <v>457</v>
      </c>
      <c r="L96" s="182" t="s">
        <v>458</v>
      </c>
      <c r="N96" s="182" t="s">
        <v>449</v>
      </c>
      <c r="O96" s="182" t="s">
        <v>450</v>
      </c>
      <c r="P96" s="182" t="s">
        <v>451</v>
      </c>
      <c r="Q96" s="182" t="s">
        <v>452</v>
      </c>
      <c r="R96" s="182" t="s">
        <v>2050</v>
      </c>
      <c r="S96" s="182" t="s">
        <v>2050</v>
      </c>
      <c r="T96" s="182" t="s">
        <v>455</v>
      </c>
      <c r="U96" s="182" t="s">
        <v>1220</v>
      </c>
      <c r="V96" s="182" t="s">
        <v>2051</v>
      </c>
      <c r="W96" s="182" t="s">
        <v>458</v>
      </c>
    </row>
    <row r="97" spans="1:25" x14ac:dyDescent="0.25">
      <c r="A97" s="149" t="s">
        <v>2029</v>
      </c>
      <c r="C97" s="347">
        <f t="shared" ref="C97:L97" si="60">SUM(C4:C12)+C27+C29+C28</f>
        <v>3.352556045005175</v>
      </c>
      <c r="D97" s="347">
        <f t="shared" si="60"/>
        <v>2407.5528312752199</v>
      </c>
      <c r="E97" s="347">
        <f t="shared" si="60"/>
        <v>2.6799480975001368</v>
      </c>
      <c r="F97" s="347">
        <f t="shared" si="60"/>
        <v>2252.7052762532935</v>
      </c>
      <c r="G97" s="347">
        <f t="shared" si="60"/>
        <v>3.3963042966203376E-5</v>
      </c>
      <c r="H97" s="347">
        <f t="shared" si="60"/>
        <v>9.0179531051831258E-5</v>
      </c>
      <c r="I97" s="347">
        <f t="shared" si="60"/>
        <v>2.507165625534718E-4</v>
      </c>
      <c r="J97" s="347">
        <f t="shared" si="60"/>
        <v>58.331314409407646</v>
      </c>
      <c r="K97" s="347">
        <f t="shared" si="60"/>
        <v>4773.9272817410638</v>
      </c>
      <c r="L97" s="347">
        <f t="shared" si="60"/>
        <v>1.0013803385974331</v>
      </c>
    </row>
    <row r="98" spans="1:25" x14ac:dyDescent="0.25">
      <c r="A98" s="149" t="s">
        <v>2030</v>
      </c>
      <c r="C98" s="347">
        <f t="shared" ref="C98:L98" si="61">C33</f>
        <v>8.7421112840536067E-2</v>
      </c>
      <c r="D98" s="347">
        <f t="shared" si="61"/>
        <v>214.92873559729807</v>
      </c>
      <c r="E98" s="347">
        <f t="shared" si="61"/>
        <v>0.28609358595990936</v>
      </c>
      <c r="F98" s="347">
        <f t="shared" si="61"/>
        <v>46.725807691052594</v>
      </c>
      <c r="G98" s="347">
        <f t="shared" si="61"/>
        <v>2.9957910996500247E-6</v>
      </c>
      <c r="H98" s="347">
        <f t="shared" si="61"/>
        <v>8.5174264589896445E-6</v>
      </c>
      <c r="I98" s="347">
        <f t="shared" si="61"/>
        <v>2.8555413713526836E-6</v>
      </c>
      <c r="J98" s="347">
        <f t="shared" si="61"/>
        <v>1.2237224847065618</v>
      </c>
      <c r="K98" s="347">
        <f t="shared" si="61"/>
        <v>30.730161788460101</v>
      </c>
      <c r="L98" s="347">
        <f t="shared" si="61"/>
        <v>0.10370589617465993</v>
      </c>
    </row>
    <row r="99" spans="1:25" x14ac:dyDescent="0.25">
      <c r="A99" s="149" t="s">
        <v>2031</v>
      </c>
      <c r="C99" s="347">
        <f t="shared" ref="C99:L99" si="62">C34</f>
        <v>0</v>
      </c>
      <c r="D99" s="347">
        <f t="shared" si="62"/>
        <v>0</v>
      </c>
      <c r="E99" s="347">
        <f t="shared" si="62"/>
        <v>0</v>
      </c>
      <c r="F99" s="347">
        <f t="shared" si="62"/>
        <v>0</v>
      </c>
      <c r="G99" s="347">
        <f t="shared" si="62"/>
        <v>0</v>
      </c>
      <c r="H99" s="347">
        <f t="shared" si="62"/>
        <v>0</v>
      </c>
      <c r="I99" s="347">
        <f t="shared" si="62"/>
        <v>0</v>
      </c>
      <c r="J99" s="347">
        <f t="shared" si="62"/>
        <v>0</v>
      </c>
      <c r="K99" s="347">
        <f t="shared" si="62"/>
        <v>0</v>
      </c>
      <c r="L99" s="347">
        <f t="shared" si="62"/>
        <v>0</v>
      </c>
    </row>
    <row r="100" spans="1:25" x14ac:dyDescent="0.25">
      <c r="A100" s="149" t="s">
        <v>2098</v>
      </c>
      <c r="C100" s="347">
        <f t="shared" ref="C100:L100" si="63">C35</f>
        <v>2.4731213257401592E-2</v>
      </c>
      <c r="D100" s="347">
        <f t="shared" si="63"/>
        <v>60.802799489595998</v>
      </c>
      <c r="E100" s="347">
        <f t="shared" si="63"/>
        <v>8.0935156920908927E-2</v>
      </c>
      <c r="F100" s="347">
        <f t="shared" si="63"/>
        <v>13.218613640158635</v>
      </c>
      <c r="G100" s="347">
        <f t="shared" si="63"/>
        <v>8.4750177791966986E-7</v>
      </c>
      <c r="H100" s="347">
        <f t="shared" si="63"/>
        <v>2.4095585530436511E-6</v>
      </c>
      <c r="I100" s="347">
        <f t="shared" si="63"/>
        <v>8.0782548203287284E-7</v>
      </c>
      <c r="J100" s="347">
        <f t="shared" si="63"/>
        <v>0.34618801744562372</v>
      </c>
      <c r="K100" s="347">
        <f t="shared" si="63"/>
        <v>8.6934855886718996</v>
      </c>
      <c r="L100" s="347">
        <f t="shared" si="63"/>
        <v>2.9338137562076535E-2</v>
      </c>
    </row>
    <row r="101" spans="1:25" x14ac:dyDescent="0.25">
      <c r="A101" s="149" t="s">
        <v>552</v>
      </c>
      <c r="C101" s="347">
        <f t="shared" ref="C101:L101" si="64">C13</f>
        <v>1.565751811762258</v>
      </c>
      <c r="D101" s="347">
        <f t="shared" si="64"/>
        <v>3849.4712115492362</v>
      </c>
      <c r="E101" s="347">
        <f t="shared" si="64"/>
        <v>5.1240659835501425</v>
      </c>
      <c r="F101" s="347">
        <f t="shared" si="64"/>
        <v>836.88042477533656</v>
      </c>
      <c r="G101" s="347">
        <f t="shared" si="64"/>
        <v>5.3655978396139477E-5</v>
      </c>
      <c r="H101" s="347">
        <f t="shared" si="64"/>
        <v>1.5255097397400114E-4</v>
      </c>
      <c r="I101" s="347">
        <f t="shared" si="64"/>
        <v>5.1144042102428711E-5</v>
      </c>
      <c r="J101" s="347">
        <f t="shared" si="64"/>
        <v>21.917425153561592</v>
      </c>
      <c r="K101" s="347">
        <f t="shared" si="64"/>
        <v>550.39114617307894</v>
      </c>
      <c r="L101" s="347">
        <f t="shared" si="64"/>
        <v>1.8574196730038641</v>
      </c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</row>
    <row r="102" spans="1:25" s="392" customFormat="1" x14ac:dyDescent="0.25">
      <c r="A102" s="287" t="s">
        <v>205</v>
      </c>
      <c r="B102" s="287"/>
      <c r="C102" s="348">
        <f t="shared" ref="C102:L102" si="65">SUM(C14:C16)</f>
        <v>1.5030544881428572E-2</v>
      </c>
      <c r="D102" s="348">
        <f t="shared" si="65"/>
        <v>22.192372241914395</v>
      </c>
      <c r="E102" s="348">
        <f t="shared" si="65"/>
        <v>2.8299852544646033E-2</v>
      </c>
      <c r="F102" s="348">
        <f t="shared" si="65"/>
        <v>5.4118966197773828</v>
      </c>
      <c r="G102" s="348">
        <f t="shared" si="65"/>
        <v>3.2994134351118513E-7</v>
      </c>
      <c r="H102" s="348">
        <f t="shared" si="65"/>
        <v>9.2313091929162363E-7</v>
      </c>
      <c r="I102" s="348">
        <f t="shared" si="65"/>
        <v>3.244466187549028E-7</v>
      </c>
      <c r="J102" s="348">
        <f t="shared" si="65"/>
        <v>0.18762478021627343</v>
      </c>
      <c r="K102" s="348">
        <f t="shared" si="65"/>
        <v>3.4928460532287433</v>
      </c>
      <c r="L102" s="348">
        <f t="shared" si="65"/>
        <v>1.0593741440282155E-2</v>
      </c>
      <c r="P102" s="393"/>
      <c r="Q102" s="393"/>
      <c r="R102" s="393"/>
      <c r="S102" s="393"/>
      <c r="T102" s="393"/>
      <c r="U102" s="393"/>
      <c r="V102" s="393"/>
      <c r="W102" s="393"/>
      <c r="X102" s="393"/>
      <c r="Y102" s="393"/>
    </row>
    <row r="103" spans="1:25" x14ac:dyDescent="0.25">
      <c r="A103" s="149" t="s">
        <v>721</v>
      </c>
      <c r="C103" s="347">
        <f t="shared" ref="C103:L103" si="66">C17</f>
        <v>1.821375128929601</v>
      </c>
      <c r="D103" s="347">
        <f t="shared" si="66"/>
        <v>2712.9060844454293</v>
      </c>
      <c r="E103" s="347">
        <f t="shared" si="66"/>
        <v>1.55481126493344</v>
      </c>
      <c r="F103" s="347">
        <f t="shared" si="66"/>
        <v>573.97799175148657</v>
      </c>
      <c r="G103" s="347">
        <f t="shared" si="66"/>
        <v>2.4812777014100626E-5</v>
      </c>
      <c r="H103" s="347">
        <f t="shared" si="66"/>
        <v>1.2778076847024772E-4</v>
      </c>
      <c r="I103" s="347">
        <f t="shared" si="66"/>
        <v>2.5678298100356842E-5</v>
      </c>
      <c r="J103" s="347">
        <f t="shared" si="66"/>
        <v>76.371937265292971</v>
      </c>
      <c r="K103" s="347">
        <f t="shared" si="66"/>
        <v>410.8727157130603</v>
      </c>
      <c r="L103" s="347">
        <f t="shared" si="66"/>
        <v>0.44695784036917491</v>
      </c>
    </row>
    <row r="104" spans="1:25" x14ac:dyDescent="0.25">
      <c r="A104" s="149" t="s">
        <v>344</v>
      </c>
      <c r="C104" s="347">
        <f t="shared" ref="C104:L104" si="67">SUM(C18:C20)</f>
        <v>2.0551210596123113E-2</v>
      </c>
      <c r="D104" s="347">
        <f t="shared" si="67"/>
        <v>19.720021541826611</v>
      </c>
      <c r="E104" s="347">
        <f t="shared" si="67"/>
        <v>1.9171411175735353E-2</v>
      </c>
      <c r="F104" s="347">
        <f t="shared" si="67"/>
        <v>3.3122229604128788</v>
      </c>
      <c r="G104" s="347">
        <f t="shared" si="67"/>
        <v>1.2318490269464401E-7</v>
      </c>
      <c r="H104" s="347">
        <f t="shared" si="67"/>
        <v>1.0101888796816875E-6</v>
      </c>
      <c r="I104" s="347">
        <f t="shared" si="67"/>
        <v>2.9169624484721954E-7</v>
      </c>
      <c r="J104" s="347">
        <f t="shared" si="67"/>
        <v>0.18005654307456254</v>
      </c>
      <c r="K104" s="347">
        <f t="shared" si="67"/>
        <v>3.715535870657146</v>
      </c>
      <c r="L104" s="347">
        <f t="shared" si="67"/>
        <v>2.8289775234257792E-3</v>
      </c>
    </row>
    <row r="105" spans="1:25" x14ac:dyDescent="0.25">
      <c r="A105" s="149" t="s">
        <v>616</v>
      </c>
      <c r="C105" s="347">
        <f t="shared" ref="C105:L105" si="68">C22+C21</f>
        <v>0.84033885709387723</v>
      </c>
      <c r="D105" s="347">
        <f t="shared" si="68"/>
        <v>289.33218132739455</v>
      </c>
      <c r="E105" s="347">
        <f t="shared" si="68"/>
        <v>0.28941717996509608</v>
      </c>
      <c r="F105" s="347">
        <f t="shared" si="68"/>
        <v>137.233110120775</v>
      </c>
      <c r="G105" s="347">
        <f t="shared" si="68"/>
        <v>4.8481654592822955E-6</v>
      </c>
      <c r="H105" s="347">
        <f t="shared" si="68"/>
        <v>1.3024486736427218E-5</v>
      </c>
      <c r="I105" s="347">
        <f t="shared" si="68"/>
        <v>1.3596463080747468E-5</v>
      </c>
      <c r="J105" s="347">
        <f t="shared" si="68"/>
        <v>7.7812141370068586</v>
      </c>
      <c r="K105" s="347">
        <f t="shared" si="68"/>
        <v>81.711953176604112</v>
      </c>
      <c r="L105" s="347">
        <f t="shared" si="68"/>
        <v>9.6595384318217375E-2</v>
      </c>
    </row>
    <row r="106" spans="1:25" x14ac:dyDescent="0.25">
      <c r="A106" s="149" t="s">
        <v>1618</v>
      </c>
      <c r="C106" s="347">
        <f t="shared" ref="C106:L106" si="69">SUM(C26:C26)+SUM(C23:C25)</f>
        <v>5.0906292354750728E-2</v>
      </c>
      <c r="D106" s="347">
        <f t="shared" si="69"/>
        <v>44.989776121095488</v>
      </c>
      <c r="E106" s="347">
        <f t="shared" si="69"/>
        <v>5.5871239280035276E-2</v>
      </c>
      <c r="F106" s="347">
        <f t="shared" si="69"/>
        <v>16.166942811456092</v>
      </c>
      <c r="G106" s="347">
        <f t="shared" si="69"/>
        <v>4.6515178050434026E-7</v>
      </c>
      <c r="H106" s="347">
        <f t="shared" si="69"/>
        <v>1.8046964955177425E-6</v>
      </c>
      <c r="I106" s="347">
        <f t="shared" si="69"/>
        <v>1.4557182456941497E-6</v>
      </c>
      <c r="J106" s="347">
        <f t="shared" si="69"/>
        <v>0.54840709049399672</v>
      </c>
      <c r="K106" s="347">
        <f t="shared" si="69"/>
        <v>16.565532652888987</v>
      </c>
      <c r="L106" s="347">
        <f t="shared" si="69"/>
        <v>1.0653282778264564E-2</v>
      </c>
    </row>
    <row r="107" spans="1:25" x14ac:dyDescent="0.25">
      <c r="A107" s="149" t="s">
        <v>1386</v>
      </c>
      <c r="C107" s="347">
        <f t="shared" ref="C107:L107" si="70">C30</f>
        <v>1.1007461179546693E-2</v>
      </c>
      <c r="D107" s="347">
        <f t="shared" si="70"/>
        <v>1.7390183393856442</v>
      </c>
      <c r="E107" s="347">
        <f t="shared" si="70"/>
        <v>2.2454586458520425E-3</v>
      </c>
      <c r="F107" s="347">
        <f t="shared" si="70"/>
        <v>1.3033532362270852</v>
      </c>
      <c r="G107" s="347">
        <f t="shared" si="70"/>
        <v>4.0894489773141567E-8</v>
      </c>
      <c r="H107" s="347">
        <f t="shared" si="70"/>
        <v>6.9504078149815991E-8</v>
      </c>
      <c r="I107" s="347">
        <f t="shared" si="70"/>
        <v>2.5516567320214034E-7</v>
      </c>
      <c r="J107" s="347">
        <f t="shared" si="70"/>
        <v>0.30491595735713195</v>
      </c>
      <c r="K107" s="347">
        <f t="shared" si="70"/>
        <v>2.1842700548763716</v>
      </c>
      <c r="L107" s="347">
        <f t="shared" si="70"/>
        <v>1.6861944247787348E-3</v>
      </c>
    </row>
    <row r="108" spans="1:25" x14ac:dyDescent="0.25">
      <c r="F108" s="347">
        <f>SUM(F97:F107)</f>
        <v>3886.9356398599762</v>
      </c>
    </row>
    <row r="125" spans="2:8" x14ac:dyDescent="0.25">
      <c r="B125" s="284" t="s">
        <v>1039</v>
      </c>
    </row>
    <row r="127" spans="2:8" x14ac:dyDescent="0.25">
      <c r="B127" s="149" t="s">
        <v>379</v>
      </c>
      <c r="C127" s="244" t="s">
        <v>1001</v>
      </c>
      <c r="D127" s="244" t="s">
        <v>142</v>
      </c>
      <c r="E127" s="280" t="s">
        <v>1004</v>
      </c>
      <c r="F127" s="244" t="s">
        <v>1005</v>
      </c>
      <c r="G127" s="244" t="s">
        <v>1032</v>
      </c>
      <c r="H127" s="244">
        <v>1</v>
      </c>
    </row>
    <row r="128" spans="2:8" x14ac:dyDescent="0.25">
      <c r="C128" s="149" t="s">
        <v>1002</v>
      </c>
      <c r="D128" s="149" t="s">
        <v>1003</v>
      </c>
      <c r="E128" s="149" t="s">
        <v>142</v>
      </c>
      <c r="F128" s="286" t="s">
        <v>1006</v>
      </c>
      <c r="G128" s="149" t="s">
        <v>1031</v>
      </c>
      <c r="H128" s="149" t="s">
        <v>1033</v>
      </c>
    </row>
    <row r="130" spans="2:10" x14ac:dyDescent="0.25">
      <c r="B130" s="149" t="s">
        <v>1034</v>
      </c>
      <c r="C130" s="244" t="s">
        <v>1001</v>
      </c>
      <c r="D130" s="244" t="s">
        <v>142</v>
      </c>
      <c r="E130" s="280" t="s">
        <v>1004</v>
      </c>
      <c r="F130" s="244" t="s">
        <v>1035</v>
      </c>
      <c r="G130" s="244" t="s">
        <v>140</v>
      </c>
      <c r="H130" s="244" t="s">
        <v>1005</v>
      </c>
      <c r="I130" s="244" t="s">
        <v>1032</v>
      </c>
      <c r="J130" s="244">
        <v>1</v>
      </c>
    </row>
    <row r="131" spans="2:10" x14ac:dyDescent="0.25">
      <c r="C131" s="149" t="s">
        <v>1002</v>
      </c>
      <c r="D131" s="149" t="s">
        <v>1003</v>
      </c>
      <c r="E131" s="149" t="s">
        <v>1035</v>
      </c>
      <c r="F131" s="149" t="s">
        <v>140</v>
      </c>
      <c r="G131" s="149" t="s">
        <v>142</v>
      </c>
      <c r="H131" s="286" t="s">
        <v>1006</v>
      </c>
      <c r="I131" s="149" t="s">
        <v>1031</v>
      </c>
      <c r="J131" s="149" t="s">
        <v>1033</v>
      </c>
    </row>
    <row r="133" spans="2:10" x14ac:dyDescent="0.25">
      <c r="B133" s="149" t="s">
        <v>1036</v>
      </c>
      <c r="C133" s="244" t="s">
        <v>142</v>
      </c>
      <c r="D133" s="280" t="s">
        <v>1004</v>
      </c>
      <c r="E133" s="244" t="s">
        <v>1005</v>
      </c>
      <c r="F133" s="244" t="s">
        <v>1032</v>
      </c>
      <c r="G133" s="244">
        <v>1</v>
      </c>
    </row>
    <row r="134" spans="2:10" x14ac:dyDescent="0.25">
      <c r="C134" s="149" t="s">
        <v>1002</v>
      </c>
      <c r="D134" s="149" t="s">
        <v>142</v>
      </c>
      <c r="E134" s="286" t="s">
        <v>1006</v>
      </c>
      <c r="F134" s="149" t="s">
        <v>1031</v>
      </c>
      <c r="G134" s="149" t="s">
        <v>1033</v>
      </c>
    </row>
    <row r="136" spans="2:10" x14ac:dyDescent="0.25">
      <c r="B136" s="149" t="s">
        <v>1038</v>
      </c>
      <c r="C136" s="244" t="s">
        <v>1040</v>
      </c>
      <c r="D136" s="244" t="s">
        <v>1042</v>
      </c>
      <c r="E136" s="244" t="s">
        <v>1043</v>
      </c>
      <c r="F136" s="244" t="s">
        <v>1047</v>
      </c>
      <c r="G136" s="280" t="s">
        <v>1048</v>
      </c>
      <c r="H136" s="244" t="s">
        <v>1005</v>
      </c>
      <c r="I136" s="244" t="s">
        <v>1032</v>
      </c>
      <c r="J136" s="244">
        <v>1</v>
      </c>
    </row>
    <row r="137" spans="2:10" x14ac:dyDescent="0.25">
      <c r="C137" s="149" t="s">
        <v>1032</v>
      </c>
      <c r="D137" s="149" t="s">
        <v>1040</v>
      </c>
      <c r="E137" s="149" t="s">
        <v>1042</v>
      </c>
      <c r="F137" s="149" t="s">
        <v>1043</v>
      </c>
      <c r="G137" s="149" t="s">
        <v>1047</v>
      </c>
      <c r="H137" s="286" t="s">
        <v>1006</v>
      </c>
      <c r="I137" s="149" t="s">
        <v>1031</v>
      </c>
      <c r="J137" s="149" t="s">
        <v>1033</v>
      </c>
    </row>
    <row r="139" spans="2:10" x14ac:dyDescent="0.25">
      <c r="B139" s="149" t="s">
        <v>1049</v>
      </c>
      <c r="C139" s="244" t="s">
        <v>142</v>
      </c>
      <c r="D139" s="244" t="s">
        <v>1040</v>
      </c>
      <c r="E139" s="280" t="s">
        <v>1004</v>
      </c>
      <c r="F139" s="244" t="s">
        <v>1005</v>
      </c>
      <c r="G139" s="244" t="s">
        <v>1032</v>
      </c>
      <c r="H139" s="244">
        <v>1</v>
      </c>
    </row>
    <row r="140" spans="2:10" x14ac:dyDescent="0.25">
      <c r="C140" s="149" t="s">
        <v>1040</v>
      </c>
      <c r="D140" s="149" t="s">
        <v>1032</v>
      </c>
      <c r="E140" s="149" t="s">
        <v>142</v>
      </c>
      <c r="F140" s="286" t="s">
        <v>1006</v>
      </c>
      <c r="G140" s="149" t="s">
        <v>1031</v>
      </c>
      <c r="H140" s="149" t="s">
        <v>1033</v>
      </c>
    </row>
    <row r="142" spans="2:10" x14ac:dyDescent="0.25">
      <c r="B142" s="149" t="s">
        <v>721</v>
      </c>
      <c r="C142" s="244" t="s">
        <v>1050</v>
      </c>
      <c r="D142" s="244" t="s">
        <v>1044</v>
      </c>
      <c r="E142" s="280" t="s">
        <v>1004</v>
      </c>
      <c r="F142" s="244" t="s">
        <v>1005</v>
      </c>
      <c r="G142" s="244" t="s">
        <v>1032</v>
      </c>
      <c r="H142" s="244">
        <v>1</v>
      </c>
    </row>
    <row r="143" spans="2:10" x14ac:dyDescent="0.25">
      <c r="C143" s="149" t="s">
        <v>1002</v>
      </c>
      <c r="D143" s="149" t="s">
        <v>126</v>
      </c>
      <c r="E143" s="149" t="s">
        <v>1051</v>
      </c>
      <c r="F143" s="286" t="s">
        <v>1006</v>
      </c>
      <c r="G143" s="149" t="s">
        <v>1031</v>
      </c>
      <c r="H143" s="149" t="s">
        <v>1033</v>
      </c>
    </row>
    <row r="145" spans="2:8" x14ac:dyDescent="0.25">
      <c r="B145" s="149" t="s">
        <v>1074</v>
      </c>
      <c r="C145" s="244"/>
      <c r="D145" s="244" t="s">
        <v>1043</v>
      </c>
      <c r="E145" s="280" t="s">
        <v>1048</v>
      </c>
      <c r="F145" s="244" t="s">
        <v>1005</v>
      </c>
      <c r="G145" s="244" t="s">
        <v>1032</v>
      </c>
      <c r="H145" s="244">
        <v>1</v>
      </c>
    </row>
    <row r="146" spans="2:8" x14ac:dyDescent="0.25">
      <c r="D146" s="149" t="s">
        <v>1002</v>
      </c>
      <c r="E146" s="149" t="s">
        <v>1043</v>
      </c>
      <c r="F146" s="286" t="s">
        <v>1006</v>
      </c>
      <c r="G146" s="149" t="s">
        <v>1031</v>
      </c>
      <c r="H146" s="149" t="s">
        <v>1033</v>
      </c>
    </row>
    <row r="148" spans="2:8" x14ac:dyDescent="0.25">
      <c r="B148" s="149" t="s">
        <v>1076</v>
      </c>
      <c r="C148" s="244" t="s">
        <v>1154</v>
      </c>
      <c r="D148" s="244" t="s">
        <v>609</v>
      </c>
      <c r="E148" s="280" t="s">
        <v>1048</v>
      </c>
      <c r="F148" s="244" t="s">
        <v>1005</v>
      </c>
      <c r="G148" s="244" t="s">
        <v>1032</v>
      </c>
      <c r="H148" s="244">
        <v>1</v>
      </c>
    </row>
    <row r="149" spans="2:8" x14ac:dyDescent="0.25">
      <c r="C149" s="149" t="s">
        <v>1002</v>
      </c>
      <c r="D149" s="149" t="s">
        <v>1155</v>
      </c>
      <c r="E149" s="149" t="s">
        <v>1161</v>
      </c>
      <c r="F149" s="286" t="s">
        <v>1006</v>
      </c>
      <c r="G149" s="149" t="s">
        <v>1031</v>
      </c>
      <c r="H149" s="149" t="s">
        <v>1033</v>
      </c>
    </row>
    <row r="151" spans="2:8" x14ac:dyDescent="0.25">
      <c r="B151" s="149" t="s">
        <v>1197</v>
      </c>
      <c r="C151" s="244" t="s">
        <v>1044</v>
      </c>
      <c r="D151" s="244" t="s">
        <v>1212</v>
      </c>
      <c r="E151" s="280" t="s">
        <v>1048</v>
      </c>
      <c r="F151" s="244" t="s">
        <v>1005</v>
      </c>
      <c r="G151" s="244" t="s">
        <v>1032</v>
      </c>
      <c r="H151" s="244">
        <v>1</v>
      </c>
    </row>
    <row r="152" spans="2:8" x14ac:dyDescent="0.25">
      <c r="C152" s="149" t="s">
        <v>1212</v>
      </c>
      <c r="D152" s="149" t="s">
        <v>1002</v>
      </c>
      <c r="E152" s="149" t="s">
        <v>1044</v>
      </c>
      <c r="F152" s="286" t="s">
        <v>1006</v>
      </c>
      <c r="G152" s="149" t="s">
        <v>1031</v>
      </c>
      <c r="H152" s="149" t="s">
        <v>1033</v>
      </c>
    </row>
    <row r="154" spans="2:8" x14ac:dyDescent="0.25">
      <c r="B154" s="149" t="s">
        <v>344</v>
      </c>
      <c r="C154" s="244" t="s">
        <v>1044</v>
      </c>
      <c r="D154" s="244" t="s">
        <v>1212</v>
      </c>
      <c r="E154" s="280" t="s">
        <v>1004</v>
      </c>
      <c r="F154" s="244" t="s">
        <v>1005</v>
      </c>
      <c r="G154" s="244" t="s">
        <v>1032</v>
      </c>
      <c r="H154" s="244">
        <v>1</v>
      </c>
    </row>
    <row r="155" spans="2:8" x14ac:dyDescent="0.25">
      <c r="C155" s="149" t="s">
        <v>1212</v>
      </c>
      <c r="D155" s="149" t="s">
        <v>1002</v>
      </c>
      <c r="E155" s="149" t="s">
        <v>1044</v>
      </c>
      <c r="F155" s="286" t="s">
        <v>1006</v>
      </c>
      <c r="G155" s="149" t="s">
        <v>1031</v>
      </c>
      <c r="H155" s="149" t="s">
        <v>1033</v>
      </c>
    </row>
    <row r="157" spans="2:8" x14ac:dyDescent="0.25">
      <c r="B157" s="149" t="s">
        <v>1164</v>
      </c>
      <c r="C157" s="244" t="s">
        <v>1044</v>
      </c>
      <c r="D157" s="244" t="s">
        <v>1212</v>
      </c>
      <c r="E157" s="280" t="s">
        <v>1004</v>
      </c>
      <c r="F157" s="244" t="s">
        <v>1005</v>
      </c>
      <c r="G157" s="244" t="s">
        <v>1032</v>
      </c>
      <c r="H157" s="244">
        <v>1</v>
      </c>
    </row>
    <row r="158" spans="2:8" x14ac:dyDescent="0.25">
      <c r="C158" s="149" t="s">
        <v>1212</v>
      </c>
      <c r="D158" s="149" t="s">
        <v>1002</v>
      </c>
      <c r="E158" s="149" t="s">
        <v>1044</v>
      </c>
      <c r="F158" s="286" t="s">
        <v>1006</v>
      </c>
      <c r="G158" s="149" t="s">
        <v>1031</v>
      </c>
      <c r="H158" s="149" t="s">
        <v>1033</v>
      </c>
    </row>
    <row r="160" spans="2:8" x14ac:dyDescent="0.25">
      <c r="B160" s="149" t="s">
        <v>1267</v>
      </c>
      <c r="C160" s="149" t="s">
        <v>76</v>
      </c>
      <c r="D160" s="149" t="s">
        <v>1044</v>
      </c>
      <c r="E160" s="149" t="s">
        <v>1004</v>
      </c>
      <c r="F160" s="244" t="s">
        <v>1005</v>
      </c>
      <c r="G160" s="244" t="s">
        <v>1032</v>
      </c>
      <c r="H160" s="244">
        <v>1</v>
      </c>
    </row>
    <row r="161" spans="3:8" x14ac:dyDescent="0.25">
      <c r="C161" s="149" t="s">
        <v>1002</v>
      </c>
      <c r="D161" s="149" t="s">
        <v>76</v>
      </c>
      <c r="E161" s="149" t="s">
        <v>1044</v>
      </c>
      <c r="F161" s="286" t="s">
        <v>1006</v>
      </c>
      <c r="G161" s="149" t="s">
        <v>1031</v>
      </c>
      <c r="H161" s="149" t="s">
        <v>1033</v>
      </c>
    </row>
  </sheetData>
  <mergeCells count="7">
    <mergeCell ref="C95:L95"/>
    <mergeCell ref="C1:L1"/>
    <mergeCell ref="C66:L66"/>
    <mergeCell ref="P1:Y1"/>
    <mergeCell ref="P66:Y66"/>
    <mergeCell ref="C47:L47"/>
    <mergeCell ref="P47:Y47"/>
  </mergeCells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topLeftCell="A25" workbookViewId="0">
      <selection activeCell="K11" sqref="K11"/>
    </sheetView>
  </sheetViews>
  <sheetFormatPr defaultRowHeight="15" x14ac:dyDescent="0.25"/>
  <cols>
    <col min="1" max="1" width="20.28515625" bestFit="1" customWidth="1"/>
    <col min="3" max="3" width="9.140625" style="31"/>
  </cols>
  <sheetData>
    <row r="1" spans="1:7" s="31" customFormat="1" x14ac:dyDescent="0.25">
      <c r="A1" s="31" t="s">
        <v>2241</v>
      </c>
      <c r="B1" s="31" t="s">
        <v>2242</v>
      </c>
      <c r="C1" s="53"/>
      <c r="D1" s="53"/>
      <c r="E1" s="53"/>
      <c r="F1" s="53"/>
      <c r="G1" s="53"/>
    </row>
    <row r="2" spans="1:7" x14ac:dyDescent="0.25">
      <c r="A2" t="s">
        <v>2191</v>
      </c>
      <c r="B2" s="532" t="s">
        <v>2243</v>
      </c>
      <c r="C2" s="53"/>
      <c r="D2" s="53"/>
      <c r="E2" s="53"/>
      <c r="F2" s="53"/>
      <c r="G2" s="53"/>
    </row>
    <row r="3" spans="1:7" x14ac:dyDescent="0.25">
      <c r="A3" t="s">
        <v>2192</v>
      </c>
      <c r="B3" s="408" t="s">
        <v>2244</v>
      </c>
      <c r="C3" s="53"/>
      <c r="D3" s="53"/>
      <c r="E3" s="53"/>
      <c r="F3" s="53"/>
      <c r="G3" s="53"/>
    </row>
    <row r="4" spans="1:7" x14ac:dyDescent="0.25">
      <c r="A4" t="s">
        <v>2193</v>
      </c>
      <c r="B4" s="408" t="s">
        <v>2244</v>
      </c>
      <c r="C4" s="53"/>
      <c r="D4" s="53"/>
      <c r="E4" s="53"/>
      <c r="F4" s="53"/>
      <c r="G4" s="53"/>
    </row>
    <row r="5" spans="1:7" x14ac:dyDescent="0.25">
      <c r="A5" t="s">
        <v>2194</v>
      </c>
      <c r="B5" s="532" t="s">
        <v>2243</v>
      </c>
      <c r="C5" s="53"/>
      <c r="D5" s="53"/>
      <c r="E5" s="53"/>
      <c r="F5" s="53"/>
      <c r="G5" s="53"/>
    </row>
    <row r="6" spans="1:7" x14ac:dyDescent="0.25">
      <c r="A6" t="s">
        <v>2195</v>
      </c>
      <c r="B6" s="408" t="s">
        <v>2244</v>
      </c>
      <c r="C6" s="53"/>
      <c r="D6" s="53"/>
      <c r="E6" s="53"/>
      <c r="F6" s="53"/>
      <c r="G6" s="53"/>
    </row>
    <row r="7" spans="1:7" x14ac:dyDescent="0.25">
      <c r="A7" t="s">
        <v>2196</v>
      </c>
      <c r="B7" s="408" t="s">
        <v>2244</v>
      </c>
      <c r="C7" s="53"/>
      <c r="D7" s="53"/>
      <c r="E7" s="53"/>
      <c r="F7" s="53"/>
      <c r="G7" s="53"/>
    </row>
    <row r="8" spans="1:7" x14ac:dyDescent="0.25">
      <c r="A8" t="s">
        <v>2197</v>
      </c>
      <c r="B8" s="535" t="s">
        <v>2245</v>
      </c>
      <c r="C8" s="53"/>
      <c r="D8" s="53"/>
      <c r="E8" s="53"/>
      <c r="F8" s="53"/>
      <c r="G8" s="53"/>
    </row>
    <row r="9" spans="1:7" x14ac:dyDescent="0.25">
      <c r="A9" t="s">
        <v>2198</v>
      </c>
      <c r="B9" s="467" t="s">
        <v>2246</v>
      </c>
      <c r="C9" s="53"/>
      <c r="D9" s="53"/>
      <c r="E9" s="53"/>
      <c r="F9" s="53"/>
      <c r="G9" s="53"/>
    </row>
    <row r="10" spans="1:7" x14ac:dyDescent="0.25">
      <c r="A10" t="s">
        <v>2199</v>
      </c>
      <c r="B10" s="536" t="s">
        <v>2247</v>
      </c>
      <c r="C10" s="53"/>
      <c r="D10" s="53"/>
      <c r="E10" s="53"/>
      <c r="F10" s="53"/>
      <c r="G10" s="53"/>
    </row>
    <row r="11" spans="1:7" x14ac:dyDescent="0.25">
      <c r="A11" t="s">
        <v>2200</v>
      </c>
      <c r="B11" s="532" t="s">
        <v>2243</v>
      </c>
    </row>
    <row r="12" spans="1:7" x14ac:dyDescent="0.25">
      <c r="A12" t="s">
        <v>2201</v>
      </c>
      <c r="B12" s="408" t="s">
        <v>2244</v>
      </c>
    </row>
    <row r="13" spans="1:7" x14ac:dyDescent="0.25">
      <c r="A13" t="s">
        <v>2202</v>
      </c>
      <c r="B13" s="408" t="s">
        <v>2244</v>
      </c>
    </row>
    <row r="14" spans="1:7" x14ac:dyDescent="0.25">
      <c r="A14" t="s">
        <v>2203</v>
      </c>
      <c r="B14" s="532" t="s">
        <v>2243</v>
      </c>
    </row>
    <row r="15" spans="1:7" x14ac:dyDescent="0.25">
      <c r="A15" t="s">
        <v>2204</v>
      </c>
      <c r="B15" s="467" t="s">
        <v>2246</v>
      </c>
    </row>
    <row r="16" spans="1:7" x14ac:dyDescent="0.25">
      <c r="A16" t="s">
        <v>2205</v>
      </c>
      <c r="B16" s="157" t="s">
        <v>2248</v>
      </c>
    </row>
    <row r="17" spans="1:2" x14ac:dyDescent="0.25">
      <c r="A17" t="s">
        <v>2206</v>
      </c>
      <c r="B17" s="533" t="s">
        <v>2249</v>
      </c>
    </row>
    <row r="18" spans="1:2" x14ac:dyDescent="0.25">
      <c r="A18" t="s">
        <v>2207</v>
      </c>
      <c r="B18" s="532" t="s">
        <v>2243</v>
      </c>
    </row>
    <row r="19" spans="1:2" x14ac:dyDescent="0.25">
      <c r="A19" t="s">
        <v>2208</v>
      </c>
      <c r="B19" s="532" t="s">
        <v>2243</v>
      </c>
    </row>
    <row r="20" spans="1:2" x14ac:dyDescent="0.25">
      <c r="A20" t="s">
        <v>2209</v>
      </c>
      <c r="B20" s="535" t="s">
        <v>2245</v>
      </c>
    </row>
    <row r="21" spans="1:2" x14ac:dyDescent="0.25">
      <c r="A21" t="s">
        <v>2210</v>
      </c>
      <c r="B21" s="467" t="s">
        <v>2246</v>
      </c>
    </row>
    <row r="22" spans="1:2" x14ac:dyDescent="0.25">
      <c r="A22" t="s">
        <v>2211</v>
      </c>
      <c r="B22" s="535" t="s">
        <v>2245</v>
      </c>
    </row>
    <row r="23" spans="1:2" x14ac:dyDescent="0.25">
      <c r="A23" t="s">
        <v>2212</v>
      </c>
      <c r="B23" s="467" t="s">
        <v>2246</v>
      </c>
    </row>
    <row r="24" spans="1:2" x14ac:dyDescent="0.25">
      <c r="A24" t="s">
        <v>2213</v>
      </c>
      <c r="B24" s="157" t="s">
        <v>2248</v>
      </c>
    </row>
    <row r="25" spans="1:2" x14ac:dyDescent="0.25">
      <c r="A25" t="s">
        <v>2214</v>
      </c>
      <c r="B25" s="532" t="s">
        <v>2243</v>
      </c>
    </row>
    <row r="26" spans="1:2" x14ac:dyDescent="0.25">
      <c r="A26" t="s">
        <v>2215</v>
      </c>
      <c r="B26" s="532" t="s">
        <v>2243</v>
      </c>
    </row>
    <row r="27" spans="1:2" x14ac:dyDescent="0.25">
      <c r="A27" t="s">
        <v>2216</v>
      </c>
      <c r="B27" s="408" t="s">
        <v>2244</v>
      </c>
    </row>
    <row r="28" spans="1:2" x14ac:dyDescent="0.25">
      <c r="A28" t="s">
        <v>2217</v>
      </c>
      <c r="B28" s="157" t="s">
        <v>2248</v>
      </c>
    </row>
    <row r="29" spans="1:2" x14ac:dyDescent="0.25">
      <c r="A29" t="s">
        <v>2218</v>
      </c>
      <c r="B29" s="408" t="s">
        <v>2244</v>
      </c>
    </row>
    <row r="30" spans="1:2" x14ac:dyDescent="0.25">
      <c r="A30" t="s">
        <v>2219</v>
      </c>
      <c r="B30" s="535" t="s">
        <v>2245</v>
      </c>
    </row>
    <row r="31" spans="1:2" x14ac:dyDescent="0.25">
      <c r="A31" t="s">
        <v>2220</v>
      </c>
      <c r="B31" s="467" t="s">
        <v>2246</v>
      </c>
    </row>
    <row r="32" spans="1:2" x14ac:dyDescent="0.25">
      <c r="A32" t="s">
        <v>2221</v>
      </c>
      <c r="B32" s="408" t="s">
        <v>2244</v>
      </c>
    </row>
    <row r="33" spans="1:2" x14ac:dyDescent="0.25">
      <c r="A33" t="s">
        <v>2222</v>
      </c>
      <c r="B33" s="535" t="s">
        <v>2245</v>
      </c>
    </row>
    <row r="34" spans="1:2" x14ac:dyDescent="0.25">
      <c r="A34" t="s">
        <v>2223</v>
      </c>
      <c r="B34" s="532" t="s">
        <v>2243</v>
      </c>
    </row>
    <row r="35" spans="1:2" x14ac:dyDescent="0.25">
      <c r="A35" t="s">
        <v>2224</v>
      </c>
      <c r="B35" s="157" t="s">
        <v>2248</v>
      </c>
    </row>
    <row r="36" spans="1:2" x14ac:dyDescent="0.25">
      <c r="A36" t="s">
        <v>2225</v>
      </c>
      <c r="B36" s="467" t="s">
        <v>2246</v>
      </c>
    </row>
    <row r="37" spans="1:2" x14ac:dyDescent="0.25">
      <c r="A37" t="s">
        <v>2226</v>
      </c>
      <c r="B37" s="533" t="s">
        <v>2249</v>
      </c>
    </row>
    <row r="38" spans="1:2" x14ac:dyDescent="0.25">
      <c r="A38" t="s">
        <v>2227</v>
      </c>
      <c r="B38" s="408" t="s">
        <v>2244</v>
      </c>
    </row>
    <row r="39" spans="1:2" x14ac:dyDescent="0.25">
      <c r="A39" t="s">
        <v>2228</v>
      </c>
      <c r="B39" s="467" t="s">
        <v>2246</v>
      </c>
    </row>
    <row r="40" spans="1:2" x14ac:dyDescent="0.25">
      <c r="A40" t="s">
        <v>2229</v>
      </c>
      <c r="B40" s="535" t="s">
        <v>2245</v>
      </c>
    </row>
    <row r="41" spans="1:2" x14ac:dyDescent="0.25">
      <c r="A41" t="s">
        <v>2230</v>
      </c>
      <c r="B41" s="532" t="s">
        <v>2243</v>
      </c>
    </row>
    <row r="42" spans="1:2" x14ac:dyDescent="0.25">
      <c r="A42" t="s">
        <v>2231</v>
      </c>
      <c r="B42" s="157" t="s">
        <v>2248</v>
      </c>
    </row>
    <row r="43" spans="1:2" x14ac:dyDescent="0.25">
      <c r="A43" t="s">
        <v>2232</v>
      </c>
      <c r="B43" s="532" t="s">
        <v>2243</v>
      </c>
    </row>
    <row r="44" spans="1:2" s="31" customFormat="1" x14ac:dyDescent="0.25">
      <c r="A44" s="31" t="s">
        <v>2240</v>
      </c>
      <c r="B44" s="534" t="s">
        <v>2250</v>
      </c>
    </row>
    <row r="45" spans="1:2" x14ac:dyDescent="0.25">
      <c r="A45" t="s">
        <v>2233</v>
      </c>
      <c r="B45" s="408" t="s">
        <v>2244</v>
      </c>
    </row>
    <row r="46" spans="1:2" x14ac:dyDescent="0.25">
      <c r="A46" t="s">
        <v>2234</v>
      </c>
      <c r="B46" s="535" t="s">
        <v>2245</v>
      </c>
    </row>
    <row r="47" spans="1:2" x14ac:dyDescent="0.25">
      <c r="A47" t="s">
        <v>2235</v>
      </c>
      <c r="B47" s="532" t="s">
        <v>2243</v>
      </c>
    </row>
    <row r="48" spans="1:2" x14ac:dyDescent="0.25">
      <c r="A48" t="s">
        <v>2236</v>
      </c>
      <c r="B48" s="210" t="s">
        <v>2244</v>
      </c>
    </row>
    <row r="49" spans="1:2" x14ac:dyDescent="0.25">
      <c r="A49" t="s">
        <v>2237</v>
      </c>
      <c r="B49" s="467" t="s">
        <v>2246</v>
      </c>
    </row>
    <row r="50" spans="1:2" x14ac:dyDescent="0.25">
      <c r="A50" t="s">
        <v>2238</v>
      </c>
      <c r="B50" s="157" t="s">
        <v>2248</v>
      </c>
    </row>
    <row r="51" spans="1:2" x14ac:dyDescent="0.25">
      <c r="A51" t="s">
        <v>2239</v>
      </c>
      <c r="B51" s="408" t="s">
        <v>2244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6"/>
  <sheetViews>
    <sheetView workbookViewId="0">
      <selection activeCell="K10" sqref="K10"/>
    </sheetView>
  </sheetViews>
  <sheetFormatPr defaultColWidth="9.140625" defaultRowHeight="14.25" x14ac:dyDescent="0.2"/>
  <cols>
    <col min="1" max="1" width="1.7109375" style="537" customWidth="1"/>
    <col min="2" max="2" width="7.7109375" style="537" customWidth="1"/>
    <col min="3" max="3" width="13.42578125" style="559" customWidth="1"/>
    <col min="4" max="5" width="13.42578125" style="560" customWidth="1"/>
    <col min="6" max="9" width="13.42578125" style="559" customWidth="1"/>
    <col min="10" max="16384" width="9.140625" style="537"/>
  </cols>
  <sheetData>
    <row r="1" spans="2:11" ht="21.75" customHeight="1" thickTop="1" x14ac:dyDescent="0.2">
      <c r="B1" s="781" t="s">
        <v>2251</v>
      </c>
      <c r="C1" s="782"/>
      <c r="D1" s="782"/>
      <c r="E1" s="782"/>
      <c r="F1" s="782"/>
      <c r="G1" s="782"/>
      <c r="H1" s="782"/>
      <c r="I1" s="783"/>
    </row>
    <row r="2" spans="2:11" ht="11.25" customHeight="1" x14ac:dyDescent="0.2">
      <c r="B2" s="784" t="s">
        <v>2252</v>
      </c>
      <c r="C2" s="785" t="s">
        <v>2253</v>
      </c>
      <c r="D2" s="785"/>
      <c r="E2" s="785"/>
      <c r="F2" s="785"/>
      <c r="G2" s="785"/>
      <c r="H2" s="785"/>
      <c r="I2" s="786"/>
    </row>
    <row r="3" spans="2:11" ht="11.25" customHeight="1" x14ac:dyDescent="0.2">
      <c r="B3" s="784"/>
      <c r="C3" s="785" t="s">
        <v>2254</v>
      </c>
      <c r="D3" s="785"/>
      <c r="E3" s="785"/>
      <c r="F3" s="785"/>
      <c r="G3" s="785"/>
      <c r="H3" s="785"/>
      <c r="I3" s="786"/>
      <c r="K3" s="537" t="s">
        <v>2264</v>
      </c>
    </row>
    <row r="4" spans="2:11" ht="21.75" customHeight="1" x14ac:dyDescent="0.2">
      <c r="B4" s="784"/>
      <c r="C4" s="538" t="s">
        <v>2255</v>
      </c>
      <c r="D4" s="539" t="s">
        <v>2256</v>
      </c>
      <c r="E4" s="539" t="s">
        <v>2257</v>
      </c>
      <c r="F4" s="538" t="s">
        <v>2258</v>
      </c>
      <c r="G4" s="538" t="s">
        <v>2259</v>
      </c>
      <c r="H4" s="538" t="s">
        <v>2260</v>
      </c>
      <c r="I4" s="540" t="s">
        <v>2261</v>
      </c>
      <c r="K4" s="537" t="s">
        <v>2265</v>
      </c>
    </row>
    <row r="5" spans="2:11" ht="13.5" customHeight="1" x14ac:dyDescent="0.2">
      <c r="B5" s="541" t="s">
        <v>2192</v>
      </c>
      <c r="C5" s="542">
        <v>925.86199999999997</v>
      </c>
      <c r="D5" s="543">
        <v>6.3E-2</v>
      </c>
      <c r="E5" s="543">
        <v>8.9999999999999993E-3</v>
      </c>
      <c r="F5" s="542">
        <v>930.01300000000003</v>
      </c>
      <c r="G5" s="542">
        <v>6.6319999999999997</v>
      </c>
      <c r="H5" s="542">
        <v>6.4980000000000002</v>
      </c>
      <c r="I5" s="544">
        <v>0.55200000000000005</v>
      </c>
      <c r="K5" s="537">
        <f t="shared" ref="K5:K36" si="0">F5/kg_to_lb/kW_to_W</f>
        <v>0.42184730248296765</v>
      </c>
    </row>
    <row r="6" spans="2:11" ht="13.5" customHeight="1" x14ac:dyDescent="0.2">
      <c r="B6" s="541" t="s">
        <v>2191</v>
      </c>
      <c r="C6" s="542">
        <v>912.91700000000003</v>
      </c>
      <c r="D6" s="543">
        <v>6.9000000000000006E-2</v>
      </c>
      <c r="E6" s="543">
        <v>0.01</v>
      </c>
      <c r="F6" s="542">
        <v>917.46799999999996</v>
      </c>
      <c r="G6" s="542">
        <v>0.41799999999999998</v>
      </c>
      <c r="H6" s="542">
        <v>0.38900000000000001</v>
      </c>
      <c r="I6" s="544">
        <v>0.40400000000000003</v>
      </c>
      <c r="K6" s="537">
        <f t="shared" si="0"/>
        <v>0.41615697943409746</v>
      </c>
    </row>
    <row r="7" spans="2:11" ht="13.5" customHeight="1" x14ac:dyDescent="0.2">
      <c r="B7" s="541" t="s">
        <v>2194</v>
      </c>
      <c r="C7" s="542">
        <v>1115.6500000000001</v>
      </c>
      <c r="D7" s="543">
        <v>0.105</v>
      </c>
      <c r="E7" s="543">
        <v>1.4999999999999999E-2</v>
      </c>
      <c r="F7" s="542">
        <v>1122.5930000000001</v>
      </c>
      <c r="G7" s="542">
        <v>0.92400000000000004</v>
      </c>
      <c r="H7" s="542">
        <v>0.94799999999999995</v>
      </c>
      <c r="I7" s="544">
        <v>1.611</v>
      </c>
      <c r="K7" s="537">
        <f t="shared" si="0"/>
        <v>0.50920022498208317</v>
      </c>
    </row>
    <row r="8" spans="2:11" ht="13.5" customHeight="1" x14ac:dyDescent="0.2">
      <c r="B8" s="541" t="s">
        <v>2193</v>
      </c>
      <c r="C8" s="542">
        <v>932.22500000000002</v>
      </c>
      <c r="D8" s="543">
        <v>6.7000000000000004E-2</v>
      </c>
      <c r="E8" s="543">
        <v>1.0999999999999999E-2</v>
      </c>
      <c r="F8" s="542">
        <v>937.072</v>
      </c>
      <c r="G8" s="542">
        <v>0.625</v>
      </c>
      <c r="H8" s="542">
        <v>0.60299999999999998</v>
      </c>
      <c r="I8" s="544">
        <v>0.23799999999999999</v>
      </c>
      <c r="K8" s="537">
        <f t="shared" si="0"/>
        <v>0.42504921483067382</v>
      </c>
    </row>
    <row r="9" spans="2:11" ht="13.5" customHeight="1" x14ac:dyDescent="0.2">
      <c r="B9" s="541" t="s">
        <v>2195</v>
      </c>
      <c r="C9" s="542">
        <v>452.541</v>
      </c>
      <c r="D9" s="543">
        <v>2.5999999999999999E-2</v>
      </c>
      <c r="E9" s="543">
        <v>3.0000000000000001E-3</v>
      </c>
      <c r="F9" s="542">
        <v>454.05900000000003</v>
      </c>
      <c r="G9" s="542">
        <v>0.47499999999999998</v>
      </c>
      <c r="H9" s="542">
        <v>0.44600000000000001</v>
      </c>
      <c r="I9" s="544">
        <v>3.6999999999999998E-2</v>
      </c>
      <c r="K9" s="537">
        <f t="shared" si="0"/>
        <v>0.20595794286543717</v>
      </c>
    </row>
    <row r="10" spans="2:11" ht="13.5" customHeight="1" x14ac:dyDescent="0.2">
      <c r="B10" s="541" t="s">
        <v>2196</v>
      </c>
      <c r="C10" s="542">
        <v>1468.373</v>
      </c>
      <c r="D10" s="543">
        <v>0.14599999999999999</v>
      </c>
      <c r="E10" s="543">
        <v>2.1000000000000001E-2</v>
      </c>
      <c r="F10" s="542">
        <v>1477.9449999999999</v>
      </c>
      <c r="G10" s="542">
        <v>1.1200000000000001</v>
      </c>
      <c r="H10" s="542">
        <v>1.127</v>
      </c>
      <c r="I10" s="544">
        <v>0.70499999999999996</v>
      </c>
      <c r="K10" s="537">
        <f t="shared" si="0"/>
        <v>0.67038537253585651</v>
      </c>
    </row>
    <row r="11" spans="2:11" ht="13.5" customHeight="1" x14ac:dyDescent="0.2">
      <c r="B11" s="541" t="s">
        <v>2197</v>
      </c>
      <c r="C11" s="542">
        <v>498.46699999999998</v>
      </c>
      <c r="D11" s="543">
        <v>6.0999999999999999E-2</v>
      </c>
      <c r="E11" s="543">
        <v>8.0000000000000002E-3</v>
      </c>
      <c r="F11" s="542">
        <v>502.13499999999999</v>
      </c>
      <c r="G11" s="542">
        <v>0.32100000000000001</v>
      </c>
      <c r="H11" s="542">
        <v>0.34599999999999997</v>
      </c>
      <c r="I11" s="544">
        <v>3.5000000000000003E-2</v>
      </c>
      <c r="K11" s="537">
        <f t="shared" si="0"/>
        <v>0.22776487557946495</v>
      </c>
    </row>
    <row r="12" spans="2:11" ht="13.5" customHeight="1" x14ac:dyDescent="0.2">
      <c r="B12" s="541" t="s">
        <v>2198</v>
      </c>
      <c r="C12" s="542">
        <v>887.41499999999996</v>
      </c>
      <c r="D12" s="543">
        <v>3.3000000000000002E-2</v>
      </c>
      <c r="E12" s="543">
        <v>4.0000000000000001E-3</v>
      </c>
      <c r="F12" s="542">
        <v>889.33699999999999</v>
      </c>
      <c r="G12" s="542">
        <v>0.39700000000000002</v>
      </c>
      <c r="H12" s="542">
        <v>0.39300000000000002</v>
      </c>
      <c r="I12" s="544">
        <v>0.121</v>
      </c>
      <c r="K12" s="537">
        <f t="shared" si="0"/>
        <v>0.40339695729876351</v>
      </c>
    </row>
    <row r="13" spans="2:11" ht="13.5" customHeight="1" x14ac:dyDescent="0.2">
      <c r="B13" s="541" t="s">
        <v>2199</v>
      </c>
      <c r="C13" s="542">
        <v>1024.2049999999999</v>
      </c>
      <c r="D13" s="543">
        <v>7.6999999999999999E-2</v>
      </c>
      <c r="E13" s="543">
        <v>0.01</v>
      </c>
      <c r="F13" s="542">
        <v>1028.9670000000001</v>
      </c>
      <c r="G13" s="542">
        <v>0.54600000000000004</v>
      </c>
      <c r="H13" s="542">
        <v>0.56000000000000005</v>
      </c>
      <c r="I13" s="544">
        <v>0.374</v>
      </c>
      <c r="K13" s="537">
        <f t="shared" si="0"/>
        <v>0.46673213524326196</v>
      </c>
    </row>
    <row r="14" spans="2:11" ht="13.5" customHeight="1" x14ac:dyDescent="0.2">
      <c r="B14" s="541" t="s">
        <v>2200</v>
      </c>
      <c r="C14" s="542">
        <v>1001.754</v>
      </c>
      <c r="D14" s="543">
        <v>8.5999999999999993E-2</v>
      </c>
      <c r="E14" s="543">
        <v>1.2999999999999999E-2</v>
      </c>
      <c r="F14" s="542">
        <v>1007.448</v>
      </c>
      <c r="G14" s="542">
        <v>0.44600000000000001</v>
      </c>
      <c r="H14" s="542">
        <v>0.33400000000000002</v>
      </c>
      <c r="I14" s="544">
        <v>0.35899999999999999</v>
      </c>
      <c r="K14" s="537">
        <f t="shared" si="0"/>
        <v>0.45697126942511634</v>
      </c>
    </row>
    <row r="15" spans="2:11" ht="13.5" customHeight="1" x14ac:dyDescent="0.2">
      <c r="B15" s="541" t="s">
        <v>2201</v>
      </c>
      <c r="C15" s="542">
        <v>1522.1020000000001</v>
      </c>
      <c r="D15" s="543">
        <v>0.157</v>
      </c>
      <c r="E15" s="543">
        <v>2.4E-2</v>
      </c>
      <c r="F15" s="542">
        <v>1532.8820000000001</v>
      </c>
      <c r="G15" s="542">
        <v>4.492</v>
      </c>
      <c r="H15" s="542">
        <v>4.2290000000000001</v>
      </c>
      <c r="I15" s="544">
        <v>7.5049999999999999</v>
      </c>
      <c r="K15" s="537">
        <f t="shared" si="0"/>
        <v>0.69530440620152245</v>
      </c>
    </row>
    <row r="16" spans="2:11" ht="13.5" customHeight="1" x14ac:dyDescent="0.2">
      <c r="B16" s="541" t="s">
        <v>2205</v>
      </c>
      <c r="C16" s="542">
        <v>997.85799999999995</v>
      </c>
      <c r="D16" s="543">
        <v>5.0999999999999997E-2</v>
      </c>
      <c r="E16" s="543">
        <v>1.6E-2</v>
      </c>
      <c r="F16" s="542">
        <v>1003.87</v>
      </c>
      <c r="G16" s="542">
        <v>0.77200000000000002</v>
      </c>
      <c r="H16" s="542">
        <v>0.90300000000000002</v>
      </c>
      <c r="I16" s="544">
        <v>1.048</v>
      </c>
      <c r="K16" s="537">
        <f t="shared" si="0"/>
        <v>0.45534831399515563</v>
      </c>
    </row>
    <row r="17" spans="2:11" ht="13.5" customHeight="1" x14ac:dyDescent="0.2">
      <c r="B17" s="541" t="s">
        <v>2202</v>
      </c>
      <c r="C17" s="542">
        <v>188.69499999999999</v>
      </c>
      <c r="D17" s="543">
        <v>8.0000000000000002E-3</v>
      </c>
      <c r="E17" s="543">
        <v>1E-3</v>
      </c>
      <c r="F17" s="542">
        <v>189.273</v>
      </c>
      <c r="G17" s="542">
        <v>0.26700000000000002</v>
      </c>
      <c r="H17" s="542">
        <v>0.254</v>
      </c>
      <c r="I17" s="544">
        <v>6.7000000000000004E-2</v>
      </c>
      <c r="K17" s="537">
        <f t="shared" si="0"/>
        <v>8.5852890747611835E-2</v>
      </c>
    </row>
    <row r="18" spans="2:11" ht="13.5" customHeight="1" x14ac:dyDescent="0.2">
      <c r="B18" s="541" t="s">
        <v>2203</v>
      </c>
      <c r="C18" s="542">
        <v>811.31799999999998</v>
      </c>
      <c r="D18" s="543">
        <v>4.8000000000000001E-2</v>
      </c>
      <c r="E18" s="543">
        <v>1.2E-2</v>
      </c>
      <c r="F18" s="542">
        <v>816.04100000000005</v>
      </c>
      <c r="G18" s="542">
        <v>0.35699999999999998</v>
      </c>
      <c r="H18" s="542">
        <v>0.39500000000000002</v>
      </c>
      <c r="I18" s="544">
        <v>0.95399999999999996</v>
      </c>
      <c r="K18" s="537">
        <f t="shared" si="0"/>
        <v>0.37015041140876886</v>
      </c>
    </row>
    <row r="19" spans="2:11" ht="13.5" customHeight="1" x14ac:dyDescent="0.2">
      <c r="B19" s="541" t="s">
        <v>2204</v>
      </c>
      <c r="C19" s="542">
        <v>1812.703</v>
      </c>
      <c r="D19" s="543">
        <v>0.185</v>
      </c>
      <c r="E19" s="543">
        <v>2.7E-2</v>
      </c>
      <c r="F19" s="542">
        <v>1824.905</v>
      </c>
      <c r="G19" s="542">
        <v>1.708</v>
      </c>
      <c r="H19" s="542">
        <v>1.6719999999999999</v>
      </c>
      <c r="I19" s="544">
        <v>1.7330000000000001</v>
      </c>
      <c r="K19" s="537">
        <f t="shared" si="0"/>
        <v>0.82776396839364608</v>
      </c>
    </row>
    <row r="20" spans="2:11" ht="13.5" customHeight="1" x14ac:dyDescent="0.2">
      <c r="B20" s="541" t="s">
        <v>2206</v>
      </c>
      <c r="C20" s="542">
        <v>1195.5530000000001</v>
      </c>
      <c r="D20" s="543">
        <v>0.129</v>
      </c>
      <c r="E20" s="543">
        <v>1.9E-2</v>
      </c>
      <c r="F20" s="542">
        <v>1204.056</v>
      </c>
      <c r="G20" s="542">
        <v>0.75900000000000001</v>
      </c>
      <c r="H20" s="542">
        <v>0.89</v>
      </c>
      <c r="I20" s="544">
        <v>0.30099999999999999</v>
      </c>
      <c r="K20" s="537">
        <f t="shared" si="0"/>
        <v>0.54615126416343862</v>
      </c>
    </row>
    <row r="21" spans="2:11" ht="13.5" customHeight="1" x14ac:dyDescent="0.2">
      <c r="B21" s="541" t="s">
        <v>2207</v>
      </c>
      <c r="C21" s="542">
        <v>1954.3009999999999</v>
      </c>
      <c r="D21" s="543">
        <v>0.189</v>
      </c>
      <c r="E21" s="543">
        <v>3.2000000000000001E-2</v>
      </c>
      <c r="F21" s="542">
        <v>1968.0840000000001</v>
      </c>
      <c r="G21" s="542">
        <v>1.458</v>
      </c>
      <c r="H21" s="542">
        <v>1.4419999999999999</v>
      </c>
      <c r="I21" s="544">
        <v>1.905</v>
      </c>
      <c r="K21" s="537">
        <f t="shared" si="0"/>
        <v>0.89270894757373165</v>
      </c>
    </row>
    <row r="22" spans="2:11" ht="13.5" customHeight="1" x14ac:dyDescent="0.2">
      <c r="B22" s="541" t="s">
        <v>2208</v>
      </c>
      <c r="C22" s="542">
        <v>878.85</v>
      </c>
      <c r="D22" s="543">
        <v>4.9000000000000002E-2</v>
      </c>
      <c r="E22" s="543">
        <v>7.0000000000000001E-3</v>
      </c>
      <c r="F22" s="542">
        <v>882.13400000000001</v>
      </c>
      <c r="G22" s="542">
        <v>0.82</v>
      </c>
      <c r="H22" s="542">
        <v>0.89600000000000002</v>
      </c>
      <c r="I22" s="544">
        <v>0.72299999999999998</v>
      </c>
      <c r="K22" s="537">
        <f t="shared" si="0"/>
        <v>0.40012972757209864</v>
      </c>
    </row>
    <row r="23" spans="2:11" ht="13.5" customHeight="1" x14ac:dyDescent="0.2">
      <c r="B23" s="541" t="s">
        <v>2211</v>
      </c>
      <c r="C23" s="542">
        <v>821.327</v>
      </c>
      <c r="D23" s="543">
        <v>0.10100000000000001</v>
      </c>
      <c r="E23" s="543">
        <v>1.2999999999999999E-2</v>
      </c>
      <c r="F23" s="542">
        <v>827.51400000000001</v>
      </c>
      <c r="G23" s="542">
        <v>0.52300000000000002</v>
      </c>
      <c r="H23" s="542">
        <v>0.45</v>
      </c>
      <c r="I23" s="544">
        <v>0.22700000000000001</v>
      </c>
      <c r="K23" s="537">
        <f t="shared" si="0"/>
        <v>0.37535448285872397</v>
      </c>
    </row>
    <row r="24" spans="2:11" ht="13.5" customHeight="1" x14ac:dyDescent="0.2">
      <c r="B24" s="541" t="s">
        <v>2210</v>
      </c>
      <c r="C24" s="542">
        <v>1012.682</v>
      </c>
      <c r="D24" s="543">
        <v>7.8E-2</v>
      </c>
      <c r="E24" s="543">
        <v>1.7000000000000001E-2</v>
      </c>
      <c r="F24" s="542">
        <v>1019.454</v>
      </c>
      <c r="G24" s="542">
        <v>0.621</v>
      </c>
      <c r="H24" s="542">
        <v>0.67400000000000004</v>
      </c>
      <c r="I24" s="544">
        <v>0.94399999999999995</v>
      </c>
      <c r="K24" s="537">
        <f t="shared" si="0"/>
        <v>0.46241710589580065</v>
      </c>
    </row>
    <row r="25" spans="2:11" ht="13.5" customHeight="1" x14ac:dyDescent="0.2">
      <c r="B25" s="541" t="s">
        <v>2209</v>
      </c>
      <c r="C25" s="542">
        <v>336.964</v>
      </c>
      <c r="D25" s="543">
        <v>0.16400000000000001</v>
      </c>
      <c r="E25" s="543">
        <v>2.3E-2</v>
      </c>
      <c r="F25" s="542">
        <v>347.62</v>
      </c>
      <c r="G25" s="542">
        <v>0.57799999999999996</v>
      </c>
      <c r="H25" s="542">
        <v>0.56599999999999995</v>
      </c>
      <c r="I25" s="544">
        <v>0.28899999999999998</v>
      </c>
      <c r="K25" s="537">
        <f t="shared" si="0"/>
        <v>0.1576779671780171</v>
      </c>
    </row>
    <row r="26" spans="2:11" ht="13.5" customHeight="1" x14ac:dyDescent="0.2">
      <c r="B26" s="541" t="s">
        <v>2212</v>
      </c>
      <c r="C26" s="542">
        <v>1099.854</v>
      </c>
      <c r="D26" s="543">
        <v>6.3E-2</v>
      </c>
      <c r="E26" s="543">
        <v>1.6E-2</v>
      </c>
      <c r="F26" s="542">
        <v>1106.0150000000001</v>
      </c>
      <c r="G26" s="542">
        <v>0.83199999999999996</v>
      </c>
      <c r="H26" s="542">
        <v>0.82399999999999995</v>
      </c>
      <c r="I26" s="544">
        <v>1.5389999999999999</v>
      </c>
      <c r="K26" s="537">
        <f t="shared" si="0"/>
        <v>0.50168056172945918</v>
      </c>
    </row>
    <row r="27" spans="2:11" ht="13.5" customHeight="1" x14ac:dyDescent="0.2">
      <c r="B27" s="541" t="s">
        <v>2213</v>
      </c>
      <c r="C27" s="542">
        <v>1012.67</v>
      </c>
      <c r="D27" s="543">
        <v>0.123</v>
      </c>
      <c r="E27" s="543">
        <v>1.7999999999999999E-2</v>
      </c>
      <c r="F27" s="542">
        <v>1020.283</v>
      </c>
      <c r="G27" s="542">
        <v>0.67</v>
      </c>
      <c r="H27" s="542">
        <v>0.66100000000000003</v>
      </c>
      <c r="I27" s="544">
        <v>0.58199999999999996</v>
      </c>
      <c r="K27" s="537">
        <f t="shared" si="0"/>
        <v>0.46279313441772285</v>
      </c>
    </row>
    <row r="28" spans="2:11" ht="13.5" customHeight="1" x14ac:dyDescent="0.2">
      <c r="B28" s="541" t="s">
        <v>2215</v>
      </c>
      <c r="C28" s="542">
        <v>1687.742</v>
      </c>
      <c r="D28" s="543">
        <v>0.122</v>
      </c>
      <c r="E28" s="543">
        <v>2.8000000000000001E-2</v>
      </c>
      <c r="F28" s="542">
        <v>1698.9549999999999</v>
      </c>
      <c r="G28" s="542">
        <v>1.4570000000000001</v>
      </c>
      <c r="H28" s="542">
        <v>1.4239999999999999</v>
      </c>
      <c r="I28" s="544">
        <v>2.5449999999999999</v>
      </c>
      <c r="K28" s="537">
        <f t="shared" si="0"/>
        <v>0.77063394145022734</v>
      </c>
    </row>
    <row r="29" spans="2:11" ht="13.5" customHeight="1" x14ac:dyDescent="0.2">
      <c r="B29" s="541" t="s">
        <v>2214</v>
      </c>
      <c r="C29" s="542">
        <v>940.71600000000001</v>
      </c>
      <c r="D29" s="543">
        <v>2.9000000000000001E-2</v>
      </c>
      <c r="E29" s="543">
        <v>6.0000000000000001E-3</v>
      </c>
      <c r="F29" s="542">
        <v>943.029</v>
      </c>
      <c r="G29" s="542">
        <v>0.42799999999999999</v>
      </c>
      <c r="H29" s="542">
        <v>0.49399999999999999</v>
      </c>
      <c r="I29" s="544">
        <v>0.16200000000000001</v>
      </c>
      <c r="K29" s="537">
        <f t="shared" si="0"/>
        <v>0.42775126779218192</v>
      </c>
    </row>
    <row r="30" spans="2:11" ht="13.5" customHeight="1" x14ac:dyDescent="0.2">
      <c r="B30" s="541" t="s">
        <v>2216</v>
      </c>
      <c r="C30" s="542">
        <v>1251.0219999999999</v>
      </c>
      <c r="D30" s="543">
        <v>0.13500000000000001</v>
      </c>
      <c r="E30" s="543">
        <v>0.02</v>
      </c>
      <c r="F30" s="542">
        <v>1260.078</v>
      </c>
      <c r="G30" s="542">
        <v>1.123</v>
      </c>
      <c r="H30" s="542">
        <v>1.147</v>
      </c>
      <c r="I30" s="544">
        <v>1.022</v>
      </c>
      <c r="K30" s="537">
        <f t="shared" si="0"/>
        <v>0.57156244613584206</v>
      </c>
    </row>
    <row r="31" spans="2:11" ht="13.5" customHeight="1" x14ac:dyDescent="0.2">
      <c r="B31" s="541" t="s">
        <v>2223</v>
      </c>
      <c r="C31" s="542">
        <v>867.44100000000003</v>
      </c>
      <c r="D31" s="543">
        <v>0.08</v>
      </c>
      <c r="E31" s="543">
        <v>1.0999999999999999E-2</v>
      </c>
      <c r="F31" s="542">
        <v>872.65800000000002</v>
      </c>
      <c r="G31" s="542">
        <v>0.55800000000000005</v>
      </c>
      <c r="H31" s="542">
        <v>0.56999999999999995</v>
      </c>
      <c r="I31" s="544">
        <v>0.44500000000000001</v>
      </c>
      <c r="K31" s="537">
        <f t="shared" si="0"/>
        <v>0.39583148116228656</v>
      </c>
    </row>
    <row r="32" spans="2:11" ht="13.5" customHeight="1" x14ac:dyDescent="0.2">
      <c r="B32" s="541" t="s">
        <v>2224</v>
      </c>
      <c r="C32" s="542">
        <v>1663.7539999999999</v>
      </c>
      <c r="D32" s="543">
        <v>0.13</v>
      </c>
      <c r="E32" s="543">
        <v>2.7E-2</v>
      </c>
      <c r="F32" s="542">
        <v>1674.8230000000001</v>
      </c>
      <c r="G32" s="542">
        <v>1.98</v>
      </c>
      <c r="H32" s="542">
        <v>1.899</v>
      </c>
      <c r="I32" s="544">
        <v>2.3940000000000001</v>
      </c>
      <c r="K32" s="537">
        <f t="shared" si="0"/>
        <v>0.75968783735972645</v>
      </c>
    </row>
    <row r="33" spans="2:11" ht="13.5" customHeight="1" x14ac:dyDescent="0.2">
      <c r="B33" s="541" t="s">
        <v>2217</v>
      </c>
      <c r="C33" s="542">
        <v>1281.153</v>
      </c>
      <c r="D33" s="543">
        <v>0.13900000000000001</v>
      </c>
      <c r="E33" s="543">
        <v>2.1000000000000001E-2</v>
      </c>
      <c r="F33" s="542">
        <v>1290.7090000000001</v>
      </c>
      <c r="G33" s="542">
        <v>1.129</v>
      </c>
      <c r="H33" s="542">
        <v>1.1240000000000001</v>
      </c>
      <c r="I33" s="544">
        <v>2.7709999999999999</v>
      </c>
      <c r="K33" s="537">
        <f t="shared" si="0"/>
        <v>0.58545645054476514</v>
      </c>
    </row>
    <row r="34" spans="2:11" ht="13.5" customHeight="1" x14ac:dyDescent="0.2">
      <c r="B34" s="541" t="s">
        <v>2219</v>
      </c>
      <c r="C34" s="542">
        <v>310.56400000000002</v>
      </c>
      <c r="D34" s="543">
        <v>0.10100000000000001</v>
      </c>
      <c r="E34" s="543">
        <v>1.2999999999999999E-2</v>
      </c>
      <c r="F34" s="542">
        <v>316.79199999999997</v>
      </c>
      <c r="G34" s="542">
        <v>0.23599999999999999</v>
      </c>
      <c r="H34" s="542">
        <v>0.22700000000000001</v>
      </c>
      <c r="I34" s="544">
        <v>7.9000000000000001E-2</v>
      </c>
      <c r="K34" s="537">
        <f t="shared" si="0"/>
        <v>0.1436946049659352</v>
      </c>
    </row>
    <row r="35" spans="2:11" ht="13.5" customHeight="1" x14ac:dyDescent="0.2">
      <c r="B35" s="541" t="s">
        <v>2220</v>
      </c>
      <c r="C35" s="542">
        <v>557.822</v>
      </c>
      <c r="D35" s="543">
        <v>3.4000000000000002E-2</v>
      </c>
      <c r="E35" s="543">
        <v>4.0000000000000001E-3</v>
      </c>
      <c r="F35" s="542">
        <v>559.82399999999996</v>
      </c>
      <c r="G35" s="542">
        <v>0.23499999999999999</v>
      </c>
      <c r="H35" s="542">
        <v>0.26800000000000002</v>
      </c>
      <c r="I35" s="544">
        <v>5.3999999999999999E-2</v>
      </c>
      <c r="K35" s="537">
        <f t="shared" si="0"/>
        <v>0.25393219693189756</v>
      </c>
    </row>
    <row r="36" spans="2:11" ht="13.5" customHeight="1" x14ac:dyDescent="0.2">
      <c r="B36" s="541" t="s">
        <v>2221</v>
      </c>
      <c r="C36" s="542">
        <v>1572.7860000000001</v>
      </c>
      <c r="D36" s="543">
        <v>0.15</v>
      </c>
      <c r="E36" s="543">
        <v>2.1999999999999999E-2</v>
      </c>
      <c r="F36" s="542">
        <v>1582.6020000000001</v>
      </c>
      <c r="G36" s="542">
        <v>2.3530000000000002</v>
      </c>
      <c r="H36" s="542">
        <v>2.363</v>
      </c>
      <c r="I36" s="544">
        <v>0.502</v>
      </c>
      <c r="K36" s="537">
        <f t="shared" si="0"/>
        <v>0.71785704565866237</v>
      </c>
    </row>
    <row r="37" spans="2:11" ht="13.5" customHeight="1" x14ac:dyDescent="0.2">
      <c r="B37" s="541" t="s">
        <v>2218</v>
      </c>
      <c r="C37" s="542">
        <v>769.91200000000003</v>
      </c>
      <c r="D37" s="543">
        <v>2.7E-2</v>
      </c>
      <c r="E37" s="543">
        <v>3.0000000000000001E-3</v>
      </c>
      <c r="F37" s="542">
        <v>771.53899999999999</v>
      </c>
      <c r="G37" s="542">
        <v>0.47699999999999998</v>
      </c>
      <c r="H37" s="542">
        <v>0.52500000000000002</v>
      </c>
      <c r="I37" s="544">
        <v>0.159</v>
      </c>
      <c r="K37" s="537">
        <f t="shared" ref="K37:K54" si="1">F37/kg_to_lb/kW_to_W</f>
        <v>0.34996461975306403</v>
      </c>
    </row>
    <row r="38" spans="2:11" ht="13.5" customHeight="1" x14ac:dyDescent="0.2">
      <c r="B38" s="541" t="s">
        <v>2222</v>
      </c>
      <c r="C38" s="542">
        <v>464.02</v>
      </c>
      <c r="D38" s="543">
        <v>3.1E-2</v>
      </c>
      <c r="E38" s="543">
        <v>4.0000000000000001E-3</v>
      </c>
      <c r="F38" s="542">
        <v>465.87599999999998</v>
      </c>
      <c r="G38" s="542">
        <v>0.34100000000000003</v>
      </c>
      <c r="H38" s="542">
        <v>0.38300000000000001</v>
      </c>
      <c r="I38" s="544">
        <v>0.13700000000000001</v>
      </c>
      <c r="K38" s="537">
        <f t="shared" si="1"/>
        <v>0.2113180502762381</v>
      </c>
    </row>
    <row r="39" spans="2:11" ht="13.5" customHeight="1" x14ac:dyDescent="0.2">
      <c r="B39" s="541" t="s">
        <v>2225</v>
      </c>
      <c r="C39" s="542">
        <v>1465.96</v>
      </c>
      <c r="D39" s="543">
        <v>0.125</v>
      </c>
      <c r="E39" s="543">
        <v>2.1999999999999999E-2</v>
      </c>
      <c r="F39" s="542">
        <v>1475.3340000000001</v>
      </c>
      <c r="G39" s="542">
        <v>1.0069999999999999</v>
      </c>
      <c r="H39" s="542">
        <v>1.0069999999999999</v>
      </c>
      <c r="I39" s="544">
        <v>1.786</v>
      </c>
      <c r="K39" s="537">
        <f t="shared" si="1"/>
        <v>0.66920104144932024</v>
      </c>
    </row>
    <row r="40" spans="2:11" ht="13.5" customHeight="1" x14ac:dyDescent="0.2">
      <c r="B40" s="541" t="s">
        <v>2226</v>
      </c>
      <c r="C40" s="542">
        <v>1043.7159999999999</v>
      </c>
      <c r="D40" s="543">
        <v>6.3E-2</v>
      </c>
      <c r="E40" s="543">
        <v>1.0999999999999999E-2</v>
      </c>
      <c r="F40" s="542">
        <v>1048.3109999999999</v>
      </c>
      <c r="G40" s="542">
        <v>0.69099999999999995</v>
      </c>
      <c r="H40" s="542">
        <v>0.751</v>
      </c>
      <c r="I40" s="544">
        <v>1.276</v>
      </c>
      <c r="K40" s="537">
        <f t="shared" si="1"/>
        <v>0.47550643648338492</v>
      </c>
    </row>
    <row r="41" spans="2:11" ht="13.5" customHeight="1" x14ac:dyDescent="0.2">
      <c r="B41" s="541" t="s">
        <v>2227</v>
      </c>
      <c r="C41" s="542">
        <v>305.89100000000002</v>
      </c>
      <c r="D41" s="543">
        <v>0.02</v>
      </c>
      <c r="E41" s="543">
        <v>3.0000000000000001E-3</v>
      </c>
      <c r="F41" s="542">
        <v>307.16199999999998</v>
      </c>
      <c r="G41" s="542">
        <v>0.35199999999999998</v>
      </c>
      <c r="H41" s="542">
        <v>0.44800000000000001</v>
      </c>
      <c r="I41" s="544">
        <v>0.13900000000000001</v>
      </c>
      <c r="K41" s="537">
        <f t="shared" si="1"/>
        <v>0.13932650524806997</v>
      </c>
    </row>
    <row r="42" spans="2:11" ht="13.5" customHeight="1" x14ac:dyDescent="0.2">
      <c r="B42" s="541" t="s">
        <v>2228</v>
      </c>
      <c r="C42" s="542">
        <v>855.44399999999996</v>
      </c>
      <c r="D42" s="543">
        <v>5.1999999999999998E-2</v>
      </c>
      <c r="E42" s="543">
        <v>1.0999999999999999E-2</v>
      </c>
      <c r="F42" s="542">
        <v>860.04600000000005</v>
      </c>
      <c r="G42" s="542">
        <v>0.82099999999999995</v>
      </c>
      <c r="H42" s="542">
        <v>0.76200000000000001</v>
      </c>
      <c r="I42" s="544">
        <v>0.95899999999999996</v>
      </c>
      <c r="K42" s="537">
        <f t="shared" si="1"/>
        <v>0.39011076738848427</v>
      </c>
    </row>
    <row r="43" spans="2:11" ht="13.5" customHeight="1" x14ac:dyDescent="0.2">
      <c r="B43" s="541" t="s">
        <v>2229</v>
      </c>
      <c r="C43" s="542">
        <v>870.822</v>
      </c>
      <c r="D43" s="543">
        <v>1.7000000000000001E-2</v>
      </c>
      <c r="E43" s="543">
        <v>2E-3</v>
      </c>
      <c r="F43" s="542">
        <v>871.69</v>
      </c>
      <c r="G43" s="542">
        <v>0.24399999999999999</v>
      </c>
      <c r="H43" s="542">
        <v>0.19500000000000001</v>
      </c>
      <c r="I43" s="544">
        <v>2.3E-2</v>
      </c>
      <c r="K43" s="537">
        <f t="shared" si="1"/>
        <v>0.39539240322595282</v>
      </c>
    </row>
    <row r="44" spans="2:11" ht="13.5" customHeight="1" x14ac:dyDescent="0.2">
      <c r="B44" s="541" t="s">
        <v>2230</v>
      </c>
      <c r="C44" s="542">
        <v>629.428</v>
      </c>
      <c r="D44" s="543">
        <v>2.5000000000000001E-2</v>
      </c>
      <c r="E44" s="543">
        <v>8.9999999999999993E-3</v>
      </c>
      <c r="F44" s="542">
        <v>632.80200000000002</v>
      </c>
      <c r="G44" s="542">
        <v>0.28199999999999997</v>
      </c>
      <c r="H44" s="542">
        <v>0.311</v>
      </c>
      <c r="I44" s="544">
        <v>0.24</v>
      </c>
      <c r="K44" s="537">
        <f t="shared" si="1"/>
        <v>0.2870345002766917</v>
      </c>
    </row>
    <row r="45" spans="2:11" ht="13.5" customHeight="1" x14ac:dyDescent="0.2">
      <c r="B45" s="541" t="s">
        <v>2231</v>
      </c>
      <c r="C45" s="542">
        <v>513.31600000000003</v>
      </c>
      <c r="D45" s="543">
        <v>4.9000000000000002E-2</v>
      </c>
      <c r="E45" s="543">
        <v>7.0000000000000001E-3</v>
      </c>
      <c r="F45" s="542">
        <v>516.56200000000001</v>
      </c>
      <c r="G45" s="542">
        <v>0.20699999999999999</v>
      </c>
      <c r="H45" s="542">
        <v>0.23400000000000001</v>
      </c>
      <c r="I45" s="544">
        <v>0.14199999999999999</v>
      </c>
      <c r="K45" s="537">
        <f t="shared" si="1"/>
        <v>0.23430886048389293</v>
      </c>
    </row>
    <row r="46" spans="2:11" ht="13.5" customHeight="1" x14ac:dyDescent="0.2">
      <c r="B46" s="541" t="s">
        <v>2232</v>
      </c>
      <c r="C46" s="542">
        <v>992.27099999999996</v>
      </c>
      <c r="D46" s="543">
        <v>7.3999999999999996E-2</v>
      </c>
      <c r="E46" s="543">
        <v>1.4999999999999999E-2</v>
      </c>
      <c r="F46" s="542">
        <v>998.40700000000004</v>
      </c>
      <c r="G46" s="542">
        <v>0.51300000000000001</v>
      </c>
      <c r="H46" s="542">
        <v>0.56200000000000006</v>
      </c>
      <c r="I46" s="544">
        <v>0.80300000000000005</v>
      </c>
      <c r="K46" s="537">
        <f t="shared" si="1"/>
        <v>0.45287033593090875</v>
      </c>
    </row>
    <row r="47" spans="2:11" ht="13.5" customHeight="1" x14ac:dyDescent="0.2">
      <c r="B47" s="541" t="s">
        <v>2240</v>
      </c>
      <c r="C47" s="542">
        <v>1049.527</v>
      </c>
      <c r="D47" s="543">
        <v>7.9000000000000001E-2</v>
      </c>
      <c r="E47" s="543">
        <v>1.0999999999999999E-2</v>
      </c>
      <c r="F47" s="542">
        <v>1054.6020000000001</v>
      </c>
      <c r="G47" s="542">
        <v>0.60499999999999998</v>
      </c>
      <c r="H47" s="542">
        <v>0.63300000000000001</v>
      </c>
      <c r="I47" s="544">
        <v>1.0900000000000001</v>
      </c>
      <c r="K47" s="537">
        <f t="shared" si="1"/>
        <v>0.47835998947664454</v>
      </c>
    </row>
    <row r="48" spans="2:11" ht="13.5" customHeight="1" x14ac:dyDescent="0.2">
      <c r="B48" s="541" t="s">
        <v>2233</v>
      </c>
      <c r="C48" s="542">
        <v>1627.3720000000001</v>
      </c>
      <c r="D48" s="543">
        <v>0.16600000000000001</v>
      </c>
      <c r="E48" s="543">
        <v>2.4E-2</v>
      </c>
      <c r="F48" s="542">
        <v>1638.384</v>
      </c>
      <c r="G48" s="542">
        <v>1.7769999999999999</v>
      </c>
      <c r="H48" s="542">
        <v>1.6759999999999999</v>
      </c>
      <c r="I48" s="544">
        <v>0.878</v>
      </c>
      <c r="K48" s="537">
        <f t="shared" si="1"/>
        <v>0.74315936533280114</v>
      </c>
    </row>
    <row r="49" spans="2:11" ht="13.5" customHeight="1" x14ac:dyDescent="0.2">
      <c r="B49" s="541" t="s">
        <v>2235</v>
      </c>
      <c r="C49" s="542">
        <v>813.80200000000002</v>
      </c>
      <c r="D49" s="543">
        <v>8.3000000000000004E-2</v>
      </c>
      <c r="E49" s="543">
        <v>1.2E-2</v>
      </c>
      <c r="F49" s="542">
        <v>818.98</v>
      </c>
      <c r="G49" s="542">
        <v>0.55700000000000005</v>
      </c>
      <c r="H49" s="542">
        <v>0.55000000000000004</v>
      </c>
      <c r="I49" s="544">
        <v>0.255</v>
      </c>
      <c r="K49" s="537">
        <f t="shared" si="1"/>
        <v>0.37148352096960024</v>
      </c>
    </row>
    <row r="50" spans="2:11" ht="13.5" customHeight="1" x14ac:dyDescent="0.2">
      <c r="B50" s="541" t="s">
        <v>2234</v>
      </c>
      <c r="C50" s="542">
        <v>56.89</v>
      </c>
      <c r="D50" s="543">
        <v>0.161</v>
      </c>
      <c r="E50" s="543">
        <v>2.1000000000000001E-2</v>
      </c>
      <c r="F50" s="542">
        <v>66.825000000000003</v>
      </c>
      <c r="G50" s="542">
        <v>0.35599999999999998</v>
      </c>
      <c r="H50" s="542">
        <v>0.47299999999999998</v>
      </c>
      <c r="I50" s="544">
        <v>1.2999999999999999E-2</v>
      </c>
      <c r="K50" s="537">
        <f t="shared" si="1"/>
        <v>3.0311346173036626E-2</v>
      </c>
    </row>
    <row r="51" spans="2:11" ht="13.5" customHeight="1" x14ac:dyDescent="0.2">
      <c r="B51" s="541" t="s">
        <v>2236</v>
      </c>
      <c r="C51" s="542">
        <v>186.84399999999999</v>
      </c>
      <c r="D51" s="543">
        <v>0.01</v>
      </c>
      <c r="E51" s="543">
        <v>3.0000000000000001E-3</v>
      </c>
      <c r="F51" s="542">
        <v>187.93</v>
      </c>
      <c r="G51" s="542">
        <v>0.14899999999999999</v>
      </c>
      <c r="H51" s="542">
        <v>0.17299999999999999</v>
      </c>
      <c r="I51" s="544">
        <v>0.05</v>
      </c>
      <c r="K51" s="537">
        <f t="shared" si="1"/>
        <v>8.5243715470239775E-2</v>
      </c>
    </row>
    <row r="52" spans="2:11" ht="13.5" customHeight="1" x14ac:dyDescent="0.2">
      <c r="B52" s="541" t="s">
        <v>2238</v>
      </c>
      <c r="C52" s="542">
        <v>1388.88</v>
      </c>
      <c r="D52" s="543">
        <v>7.1999999999999995E-2</v>
      </c>
      <c r="E52" s="543">
        <v>0.02</v>
      </c>
      <c r="F52" s="542">
        <v>1396.49</v>
      </c>
      <c r="G52" s="542">
        <v>0.67300000000000004</v>
      </c>
      <c r="H52" s="542">
        <v>0.69</v>
      </c>
      <c r="I52" s="544">
        <v>0.504</v>
      </c>
      <c r="K52" s="537">
        <f t="shared" si="1"/>
        <v>0.63343796209777659</v>
      </c>
    </row>
    <row r="53" spans="2:11" ht="13.5" customHeight="1" x14ac:dyDescent="0.2">
      <c r="B53" s="541" t="s">
        <v>2237</v>
      </c>
      <c r="C53" s="542">
        <v>1975.7570000000001</v>
      </c>
      <c r="D53" s="543">
        <v>0.21099999999999999</v>
      </c>
      <c r="E53" s="543">
        <v>3.3000000000000002E-2</v>
      </c>
      <c r="F53" s="542">
        <v>1990.559</v>
      </c>
      <c r="G53" s="542">
        <v>1.33</v>
      </c>
      <c r="H53" s="542">
        <v>1.2889999999999999</v>
      </c>
      <c r="I53" s="544">
        <v>1.181</v>
      </c>
      <c r="K53" s="537">
        <f t="shared" si="1"/>
        <v>0.9029034482132976</v>
      </c>
    </row>
    <row r="54" spans="2:11" ht="13.5" customHeight="1" thickBot="1" x14ac:dyDescent="0.25">
      <c r="B54" s="545" t="s">
        <v>2239</v>
      </c>
      <c r="C54" s="546">
        <v>2026.26</v>
      </c>
      <c r="D54" s="547">
        <v>0.223</v>
      </c>
      <c r="E54" s="547">
        <v>3.2000000000000001E-2</v>
      </c>
      <c r="F54" s="546">
        <v>2040.9670000000001</v>
      </c>
      <c r="G54" s="546">
        <v>1.58</v>
      </c>
      <c r="H54" s="546">
        <v>1.6140000000000001</v>
      </c>
      <c r="I54" s="548">
        <v>1.3939999999999999</v>
      </c>
      <c r="K54" s="537">
        <f t="shared" si="1"/>
        <v>0.92576815959212932</v>
      </c>
    </row>
    <row r="55" spans="2:11" s="553" customFormat="1" ht="13.5" customHeight="1" thickTop="1" thickBot="1" x14ac:dyDescent="0.3">
      <c r="B55" s="549" t="s">
        <v>2262</v>
      </c>
      <c r="C55" s="550">
        <v>998.44299999999998</v>
      </c>
      <c r="D55" s="551">
        <v>0.08</v>
      </c>
      <c r="E55" s="551">
        <v>1.2999999999999999E-2</v>
      </c>
      <c r="F55" s="550">
        <v>1004.167</v>
      </c>
      <c r="G55" s="550">
        <v>0.72099999999999997</v>
      </c>
      <c r="H55" s="550">
        <v>0.71899999999999997</v>
      </c>
      <c r="I55" s="552">
        <v>0.79800000000000004</v>
      </c>
    </row>
    <row r="56" spans="2:11" ht="15" thickTop="1" x14ac:dyDescent="0.2">
      <c r="B56" s="554"/>
      <c r="C56" s="555"/>
      <c r="D56" s="556"/>
      <c r="E56" s="556"/>
      <c r="F56" s="555"/>
      <c r="G56" s="555"/>
      <c r="H56" s="557" t="s">
        <v>2263</v>
      </c>
      <c r="I56" s="558">
        <v>43146</v>
      </c>
    </row>
  </sheetData>
  <mergeCells count="4">
    <mergeCell ref="B1:I1"/>
    <mergeCell ref="B2:B4"/>
    <mergeCell ref="C2:I2"/>
    <mergeCell ref="C3:I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theme="1" tint="0.249977111117893"/>
  </sheetPr>
  <dimension ref="A4:AK319"/>
  <sheetViews>
    <sheetView topLeftCell="A205" zoomScale="55" zoomScaleNormal="55" workbookViewId="0">
      <selection activeCell="AJ30" sqref="AJ30"/>
    </sheetView>
  </sheetViews>
  <sheetFormatPr defaultRowHeight="15" x14ac:dyDescent="0.25"/>
  <cols>
    <col min="1" max="1" width="10.85546875" customWidth="1"/>
    <col min="2" max="2" width="48.28515625" customWidth="1"/>
    <col min="3" max="3" width="43" customWidth="1"/>
    <col min="4" max="4" width="18.85546875" customWidth="1"/>
    <col min="5" max="6" width="16.5703125" customWidth="1"/>
    <col min="7" max="9" width="20.42578125" customWidth="1"/>
    <col min="10" max="10" width="16.5703125" customWidth="1"/>
    <col min="11" max="11" width="19.28515625" customWidth="1"/>
    <col min="12" max="12" width="20.28515625" customWidth="1"/>
    <col min="13" max="13" width="16.5703125" style="31" customWidth="1"/>
    <col min="14" max="14" width="36" customWidth="1"/>
    <col min="15" max="24" width="19.28515625" customWidth="1"/>
    <col min="34" max="34" width="23.140625" customWidth="1"/>
    <col min="35" max="35" width="17.28515625" customWidth="1"/>
    <col min="36" max="37" width="20" customWidth="1"/>
  </cols>
  <sheetData>
    <row r="4" spans="2:23" ht="21" x14ac:dyDescent="0.35">
      <c r="B4" s="338" t="s">
        <v>1216</v>
      </c>
      <c r="C4" s="339"/>
    </row>
    <row r="5" spans="2:23" x14ac:dyDescent="0.25">
      <c r="B5" s="53"/>
      <c r="C5" s="339"/>
    </row>
    <row r="6" spans="2:23" ht="15.75" thickBot="1" x14ac:dyDescent="0.3">
      <c r="B6" s="109"/>
      <c r="C6" s="109"/>
    </row>
    <row r="7" spans="2:23" ht="15.75" thickBot="1" x14ac:dyDescent="0.3">
      <c r="B7" s="340" t="s">
        <v>1217</v>
      </c>
      <c r="C7" s="341">
        <v>0.2</v>
      </c>
    </row>
    <row r="10" spans="2:23" ht="30" x14ac:dyDescent="0.25">
      <c r="B10" s="31"/>
      <c r="C10" s="181" t="s">
        <v>449</v>
      </c>
      <c r="D10" s="181" t="s">
        <v>450</v>
      </c>
      <c r="E10" s="181" t="s">
        <v>451</v>
      </c>
      <c r="F10" s="181" t="s">
        <v>452</v>
      </c>
      <c r="G10" s="181" t="s">
        <v>453</v>
      </c>
      <c r="H10" s="181" t="s">
        <v>454</v>
      </c>
      <c r="I10" s="181" t="s">
        <v>455</v>
      </c>
      <c r="J10" s="181" t="s">
        <v>456</v>
      </c>
      <c r="K10" s="181" t="s">
        <v>457</v>
      </c>
      <c r="L10" s="181" t="s">
        <v>458</v>
      </c>
      <c r="M10" s="342"/>
    </row>
    <row r="11" spans="2:23" x14ac:dyDescent="0.25">
      <c r="B11" s="69" t="s">
        <v>1222</v>
      </c>
      <c r="C11" s="345">
        <v>2.1548652541215718</v>
      </c>
      <c r="D11" s="345">
        <v>3746.7886121338506</v>
      </c>
      <c r="E11" s="345">
        <v>4.6122280203620347</v>
      </c>
      <c r="F11" s="345">
        <v>738.4478987740772</v>
      </c>
      <c r="G11" s="345">
        <v>5.085751767989629E-5</v>
      </c>
      <c r="H11" s="345">
        <v>1.5253018286824632E-4</v>
      </c>
      <c r="I11" s="345">
        <v>5.7062565357184628E-5</v>
      </c>
      <c r="J11" s="345">
        <v>32.891666512506326</v>
      </c>
      <c r="K11" s="345">
        <v>593.17890791265143</v>
      </c>
      <c r="L11" s="345">
        <v>1.6534630594076707</v>
      </c>
      <c r="M11" s="337"/>
    </row>
    <row r="13" spans="2:23" x14ac:dyDescent="0.25">
      <c r="B13" s="31"/>
      <c r="C13" s="798" t="s">
        <v>1224</v>
      </c>
      <c r="D13" s="798"/>
      <c r="E13" s="798"/>
      <c r="F13" s="798"/>
      <c r="G13" s="798"/>
      <c r="H13" s="798"/>
      <c r="I13" s="798"/>
      <c r="J13" s="798"/>
      <c r="K13" s="798"/>
      <c r="L13" s="798"/>
      <c r="M13" s="344"/>
      <c r="N13" s="798" t="s">
        <v>1225</v>
      </c>
      <c r="O13" s="798"/>
      <c r="P13" s="798"/>
      <c r="Q13" s="798"/>
      <c r="R13" s="798"/>
      <c r="S13" s="798"/>
      <c r="T13" s="798"/>
      <c r="U13" s="798"/>
      <c r="V13" s="798"/>
      <c r="W13" s="798"/>
    </row>
    <row r="14" spans="2:23" x14ac:dyDescent="0.25">
      <c r="B14" s="362" t="s">
        <v>190</v>
      </c>
      <c r="C14" s="69" t="s">
        <v>449</v>
      </c>
      <c r="D14" s="69" t="s">
        <v>450</v>
      </c>
      <c r="E14" s="69" t="s">
        <v>451</v>
      </c>
      <c r="F14" s="69" t="s">
        <v>452</v>
      </c>
      <c r="G14" s="69" t="s">
        <v>1218</v>
      </c>
      <c r="H14" s="69" t="s">
        <v>1219</v>
      </c>
      <c r="I14" s="69" t="s">
        <v>455</v>
      </c>
      <c r="J14" s="69" t="s">
        <v>1220</v>
      </c>
      <c r="K14" s="69" t="s">
        <v>1221</v>
      </c>
      <c r="L14" s="69" t="s">
        <v>458</v>
      </c>
      <c r="M14" s="53"/>
      <c r="N14" s="69" t="s">
        <v>449</v>
      </c>
      <c r="O14" s="69" t="s">
        <v>450</v>
      </c>
      <c r="P14" s="69" t="s">
        <v>451</v>
      </c>
      <c r="Q14" s="69" t="s">
        <v>452</v>
      </c>
      <c r="R14" s="69" t="s">
        <v>1218</v>
      </c>
      <c r="S14" s="69" t="s">
        <v>1219</v>
      </c>
      <c r="T14" s="69" t="s">
        <v>455</v>
      </c>
      <c r="U14" s="69" t="s">
        <v>1220</v>
      </c>
      <c r="V14" s="69" t="s">
        <v>1221</v>
      </c>
      <c r="W14" s="69" t="s">
        <v>458</v>
      </c>
    </row>
    <row r="15" spans="2:23" x14ac:dyDescent="0.25">
      <c r="B15" s="148" t="s">
        <v>415</v>
      </c>
      <c r="C15">
        <v>2.1547041408170746</v>
      </c>
      <c r="D15">
        <v>3746.3925078325178</v>
      </c>
      <c r="E15">
        <v>4.6117007623401252</v>
      </c>
      <c r="F15">
        <v>738.37818388192011</v>
      </c>
      <c r="G15">
        <v>5.0851996567341607E-5</v>
      </c>
      <c r="H15">
        <v>1.5251448562214606E-4</v>
      </c>
      <c r="I15">
        <v>5.7057302718772486E-5</v>
      </c>
      <c r="J15">
        <v>32.889411245250038</v>
      </c>
      <c r="K15">
        <v>593.12227356252026</v>
      </c>
      <c r="L15">
        <v>1.6532719339565567</v>
      </c>
      <c r="N15">
        <v>2.1550263674260686</v>
      </c>
      <c r="O15">
        <v>3747.1847164351839</v>
      </c>
      <c r="P15">
        <v>4.6127552783839443</v>
      </c>
      <c r="Q15">
        <v>738.51761366623418</v>
      </c>
      <c r="R15">
        <v>5.0863038792450959E-5</v>
      </c>
      <c r="S15">
        <v>1.5254588011434663E-4</v>
      </c>
      <c r="T15">
        <v>5.706782799559677E-5</v>
      </c>
      <c r="U15">
        <v>32.893921779762628</v>
      </c>
      <c r="V15">
        <v>593.23554226278259</v>
      </c>
      <c r="W15">
        <v>1.6536541848587847</v>
      </c>
    </row>
    <row r="16" spans="2:23" x14ac:dyDescent="0.25">
      <c r="B16" s="389" t="s">
        <v>314</v>
      </c>
      <c r="C16">
        <v>2.1548652541215718</v>
      </c>
      <c r="D16">
        <v>3746.7886121338506</v>
      </c>
      <c r="E16">
        <v>4.6122280203620347</v>
      </c>
      <c r="F16">
        <v>738.4478987740772</v>
      </c>
      <c r="G16">
        <v>5.085751767989629E-5</v>
      </c>
      <c r="H16">
        <v>1.5253018286824632E-4</v>
      </c>
      <c r="I16">
        <v>5.7062565357184628E-5</v>
      </c>
      <c r="J16">
        <v>32.891666512506326</v>
      </c>
      <c r="K16">
        <v>593.17890791265143</v>
      </c>
      <c r="L16">
        <v>1.6534630594076707</v>
      </c>
      <c r="N16">
        <v>2.1548652541215718</v>
      </c>
      <c r="O16">
        <v>3746.7886121338506</v>
      </c>
      <c r="P16">
        <v>4.6122280203620347</v>
      </c>
      <c r="Q16">
        <v>738.4478987740772</v>
      </c>
      <c r="R16">
        <v>5.085751767989629E-5</v>
      </c>
      <c r="S16">
        <v>1.5253018286824632E-4</v>
      </c>
      <c r="T16">
        <v>5.7062565357184628E-5</v>
      </c>
      <c r="U16">
        <v>32.891666512506326</v>
      </c>
      <c r="V16">
        <v>593.17890791265143</v>
      </c>
      <c r="W16">
        <v>1.6534630594076707</v>
      </c>
    </row>
    <row r="17" spans="2:23" x14ac:dyDescent="0.25">
      <c r="B17" s="148" t="s">
        <v>416</v>
      </c>
      <c r="C17">
        <v>2.6918069677810528</v>
      </c>
      <c r="D17">
        <v>4680.4074438694715</v>
      </c>
      <c r="E17">
        <v>5.764110139966462</v>
      </c>
      <c r="F17">
        <v>922.42824067125434</v>
      </c>
      <c r="G17">
        <v>6.3531045254356942E-5</v>
      </c>
      <c r="H17">
        <v>1.9053231095171274E-4</v>
      </c>
      <c r="I17">
        <v>7.1203441349106339E-5</v>
      </c>
      <c r="J17">
        <v>41.095532976737772</v>
      </c>
      <c r="K17">
        <v>740.36039348585609</v>
      </c>
      <c r="L17">
        <v>2.0665256113386294</v>
      </c>
      <c r="N17">
        <v>1.7969041116819178</v>
      </c>
      <c r="O17">
        <v>3124.3760576434374</v>
      </c>
      <c r="P17">
        <v>3.8443066072924177</v>
      </c>
      <c r="Q17">
        <v>615.79433750929252</v>
      </c>
      <c r="R17">
        <v>4.240849929692249E-5</v>
      </c>
      <c r="S17">
        <v>1.2719543081260212E-4</v>
      </c>
      <c r="T17">
        <v>4.7635314695903458E-5</v>
      </c>
      <c r="U17">
        <v>27.422422203018733</v>
      </c>
      <c r="V17">
        <v>495.05791753051534</v>
      </c>
      <c r="W17">
        <v>1.3780880247870309</v>
      </c>
    </row>
    <row r="18" spans="2:23" x14ac:dyDescent="0.25">
      <c r="B18" s="148" t="s">
        <v>578</v>
      </c>
      <c r="C18">
        <v>2.1548652541215718</v>
      </c>
      <c r="D18">
        <v>3746.7886121338506</v>
      </c>
      <c r="E18">
        <v>4.6122280203620347</v>
      </c>
      <c r="F18">
        <v>738.4478987740772</v>
      </c>
      <c r="G18">
        <v>5.085751767989629E-5</v>
      </c>
      <c r="H18">
        <v>1.5253018286824632E-4</v>
      </c>
      <c r="I18">
        <v>5.7062565357184628E-5</v>
      </c>
      <c r="J18">
        <v>32.891666512506326</v>
      </c>
      <c r="K18">
        <v>593.17890791265143</v>
      </c>
      <c r="L18">
        <v>1.6534630594076707</v>
      </c>
      <c r="N18">
        <v>2.1548652541215718</v>
      </c>
      <c r="O18">
        <v>3746.7886121338506</v>
      </c>
      <c r="P18">
        <v>4.6122280203620347</v>
      </c>
      <c r="Q18">
        <v>738.4478987740772</v>
      </c>
      <c r="R18">
        <v>5.085751767989629E-5</v>
      </c>
      <c r="S18">
        <v>1.5253018286824632E-4</v>
      </c>
      <c r="T18">
        <v>5.7062565357184628E-5</v>
      </c>
      <c r="U18">
        <v>32.891666512506326</v>
      </c>
      <c r="V18">
        <v>593.17890791265143</v>
      </c>
      <c r="W18">
        <v>1.6534630594076707</v>
      </c>
    </row>
    <row r="19" spans="2:23" x14ac:dyDescent="0.25">
      <c r="B19" s="148" t="s">
        <v>121</v>
      </c>
      <c r="C19">
        <v>2.1547041408170746</v>
      </c>
      <c r="D19">
        <v>3746.3925078325178</v>
      </c>
      <c r="E19">
        <v>4.6117007623401252</v>
      </c>
      <c r="F19">
        <v>738.37818388192011</v>
      </c>
      <c r="G19">
        <v>5.0851996567341607E-5</v>
      </c>
      <c r="H19">
        <v>1.5251448562214606E-4</v>
      </c>
      <c r="I19">
        <v>5.7057302718772486E-5</v>
      </c>
      <c r="J19">
        <v>32.889411245250038</v>
      </c>
      <c r="K19">
        <v>593.12227356252026</v>
      </c>
      <c r="L19">
        <v>1.6532719339565567</v>
      </c>
      <c r="N19">
        <v>2.1550263674260686</v>
      </c>
      <c r="O19">
        <v>3747.1847164351839</v>
      </c>
      <c r="P19">
        <v>4.6127552783839443</v>
      </c>
      <c r="Q19">
        <v>738.51761366623418</v>
      </c>
      <c r="R19">
        <v>5.0863038792450959E-5</v>
      </c>
      <c r="S19">
        <v>1.5254588011434663E-4</v>
      </c>
      <c r="T19">
        <v>5.706782799559677E-5</v>
      </c>
      <c r="U19">
        <v>32.893921779762628</v>
      </c>
      <c r="V19">
        <v>593.23554226278259</v>
      </c>
      <c r="W19">
        <v>1.6536541848587847</v>
      </c>
    </row>
    <row r="20" spans="2:23" x14ac:dyDescent="0.25">
      <c r="B20" s="148" t="s">
        <v>198</v>
      </c>
      <c r="C20">
        <v>2.6918069677810523</v>
      </c>
      <c r="D20">
        <v>4680.4074438694697</v>
      </c>
      <c r="E20">
        <v>5.7641101399664603</v>
      </c>
      <c r="F20">
        <v>922.42824067125423</v>
      </c>
      <c r="G20">
        <v>6.3531045254356942E-5</v>
      </c>
      <c r="H20">
        <v>1.9053231095171271E-4</v>
      </c>
      <c r="I20">
        <v>7.1203441349106339E-5</v>
      </c>
      <c r="J20">
        <v>41.095532976737765</v>
      </c>
      <c r="K20">
        <v>740.36039348585598</v>
      </c>
      <c r="L20">
        <v>2.0665256113386294</v>
      </c>
      <c r="N20">
        <v>1.7969041116819178</v>
      </c>
      <c r="O20">
        <v>3124.3760576434374</v>
      </c>
      <c r="P20">
        <v>3.8443066072924177</v>
      </c>
      <c r="Q20">
        <v>615.79433750929252</v>
      </c>
      <c r="R20">
        <v>4.240849929692249E-5</v>
      </c>
      <c r="S20">
        <v>1.2719543081260212E-4</v>
      </c>
      <c r="T20">
        <v>4.7635314695903458E-5</v>
      </c>
      <c r="U20">
        <v>27.422422203018733</v>
      </c>
      <c r="V20">
        <v>495.05791753051534</v>
      </c>
      <c r="W20">
        <v>1.3780880247870309</v>
      </c>
    </row>
    <row r="21" spans="2:23" s="31" customFormat="1" x14ac:dyDescent="0.25">
      <c r="B21" s="148" t="s">
        <v>1203</v>
      </c>
      <c r="C21" s="31">
        <v>2.1502617200177836</v>
      </c>
      <c r="D21" s="31">
        <v>3742.4975638649757</v>
      </c>
      <c r="E21" s="31">
        <v>4.6094453119839907</v>
      </c>
      <c r="F21" s="31">
        <v>737.47051662482238</v>
      </c>
      <c r="G21" s="31">
        <v>5.081108062014878E-5</v>
      </c>
      <c r="H21" s="31">
        <v>1.5232903976003832E-4</v>
      </c>
      <c r="I21" s="31">
        <v>5.6890540513702074E-5</v>
      </c>
      <c r="J21" s="31">
        <v>32.840816795921953</v>
      </c>
      <c r="K21" s="31">
        <v>591.14383910286665</v>
      </c>
      <c r="L21" s="31">
        <v>1.652556075915826</v>
      </c>
      <c r="N21" s="31">
        <v>2.15946878822536</v>
      </c>
      <c r="O21" s="31">
        <v>3751.0796604027259</v>
      </c>
      <c r="P21" s="31">
        <v>4.6150107287400788</v>
      </c>
      <c r="Q21" s="31">
        <v>739.42528092333191</v>
      </c>
      <c r="R21" s="31">
        <v>5.09039547396438E-5</v>
      </c>
      <c r="S21" s="31">
        <v>1.5273132597645432E-4</v>
      </c>
      <c r="T21" s="31">
        <v>5.7234590200667176E-5</v>
      </c>
      <c r="U21" s="31">
        <v>32.9425162290907</v>
      </c>
      <c r="V21" s="31">
        <v>595.21397672243631</v>
      </c>
      <c r="W21" s="31">
        <v>1.6543700428995154</v>
      </c>
    </row>
    <row r="22" spans="2:23" s="31" customFormat="1" x14ac:dyDescent="0.25">
      <c r="B22" s="148" t="s">
        <v>1202</v>
      </c>
      <c r="C22" s="31">
        <v>2.0451729311604798</v>
      </c>
      <c r="D22" s="31">
        <v>3709.4582911076477</v>
      </c>
      <c r="E22" s="31">
        <v>4.5741360116618788</v>
      </c>
      <c r="F22" s="31">
        <v>720.62204622980857</v>
      </c>
      <c r="G22" s="31">
        <v>5.0224833819097222E-5</v>
      </c>
      <c r="H22" s="31">
        <v>1.5084023429233227E-4</v>
      </c>
      <c r="I22" s="31">
        <v>5.5372149750710704E-5</v>
      </c>
      <c r="J22" s="31">
        <v>31.917687298168826</v>
      </c>
      <c r="K22" s="31">
        <v>583.33024048485083</v>
      </c>
      <c r="L22" s="31">
        <v>1.640850709995572</v>
      </c>
      <c r="N22" s="31">
        <v>2.2645575770826638</v>
      </c>
      <c r="O22" s="31">
        <v>3784.1189331600535</v>
      </c>
      <c r="P22" s="31">
        <v>4.6503200290621907</v>
      </c>
      <c r="Q22" s="31">
        <v>756.27375131834583</v>
      </c>
      <c r="R22" s="31">
        <v>5.1490201540695364E-5</v>
      </c>
      <c r="S22" s="31">
        <v>1.5422013144416038E-4</v>
      </c>
      <c r="T22" s="31">
        <v>5.8752980963658545E-5</v>
      </c>
      <c r="U22" s="31">
        <v>33.865645726843844</v>
      </c>
      <c r="V22" s="31">
        <v>603.02757534045202</v>
      </c>
      <c r="W22" s="31">
        <v>1.6660754088197696</v>
      </c>
    </row>
    <row r="23" spans="2:23" s="31" customFormat="1" x14ac:dyDescent="0.25">
      <c r="B23" s="148" t="s">
        <v>1201</v>
      </c>
      <c r="C23" s="31">
        <v>2.1423626168781649</v>
      </c>
      <c r="D23" s="31">
        <v>3738.4518027611598</v>
      </c>
      <c r="E23" s="31">
        <v>4.6081662879691372</v>
      </c>
      <c r="F23" s="31">
        <v>736.1358605252027</v>
      </c>
      <c r="G23" s="31">
        <v>5.0793411633284987E-5</v>
      </c>
      <c r="H23" s="31">
        <v>1.5214112551878927E-4</v>
      </c>
      <c r="I23" s="31">
        <v>5.6658891713636164E-5</v>
      </c>
      <c r="J23" s="31">
        <v>32.817489193670987</v>
      </c>
      <c r="K23" s="31">
        <v>587.97699636972504</v>
      </c>
      <c r="L23" s="31">
        <v>1.6513666974232537</v>
      </c>
      <c r="N23" s="31">
        <v>2.1673678913649792</v>
      </c>
      <c r="O23" s="31">
        <v>3755.1254215065414</v>
      </c>
      <c r="P23" s="31">
        <v>4.6162897527549323</v>
      </c>
      <c r="Q23" s="31">
        <v>740.75993702295182</v>
      </c>
      <c r="R23" s="31">
        <v>5.0921623726507599E-5</v>
      </c>
      <c r="S23" s="31">
        <v>1.5291924021770337E-4</v>
      </c>
      <c r="T23" s="31">
        <v>5.7466239000733085E-5</v>
      </c>
      <c r="U23" s="31">
        <v>32.965843831341672</v>
      </c>
      <c r="V23" s="31">
        <v>598.38081945557781</v>
      </c>
      <c r="W23" s="31">
        <v>1.6555594213920877</v>
      </c>
    </row>
    <row r="24" spans="2:23" s="31" customFormat="1" x14ac:dyDescent="0.25">
      <c r="B24" s="148" t="s">
        <v>1164</v>
      </c>
      <c r="C24" s="31">
        <v>2.1529065171251087</v>
      </c>
      <c r="D24" s="31">
        <v>3745.0234635175025</v>
      </c>
      <c r="E24" s="31">
        <v>4.6109762688176401</v>
      </c>
      <c r="F24" s="31">
        <v>738.00345262366841</v>
      </c>
      <c r="G24" s="31">
        <v>5.0837875057539471E-5</v>
      </c>
      <c r="H24" s="31">
        <v>1.5245355920288521E-4</v>
      </c>
      <c r="I24" s="31">
        <v>5.7005128687663635E-5</v>
      </c>
      <c r="J24" s="31">
        <v>32.871411848250858</v>
      </c>
      <c r="K24" s="31">
        <v>592.51583474805705</v>
      </c>
      <c r="L24" s="31">
        <v>1.6531168146766413</v>
      </c>
      <c r="N24" s="31">
        <v>2.1568239911180354</v>
      </c>
      <c r="O24" s="31">
        <v>3748.5537607501988</v>
      </c>
      <c r="P24" s="31">
        <v>4.6134797719064302</v>
      </c>
      <c r="Q24" s="31">
        <v>738.89234492448611</v>
      </c>
      <c r="R24" s="31">
        <v>5.0877160302253101E-5</v>
      </c>
      <c r="S24" s="31">
        <v>1.5260680653360743E-4</v>
      </c>
      <c r="T24" s="31">
        <v>5.7120002026705621E-5</v>
      </c>
      <c r="U24" s="31">
        <v>32.911921176761801</v>
      </c>
      <c r="V24" s="31">
        <v>593.8419810772458</v>
      </c>
      <c r="W24" s="31">
        <v>1.6538093041386999</v>
      </c>
    </row>
    <row r="25" spans="2:23" x14ac:dyDescent="0.25">
      <c r="B25" s="148" t="s">
        <v>1273</v>
      </c>
      <c r="C25">
        <v>2.1243421327451406</v>
      </c>
      <c r="D25">
        <v>3671.7461461807366</v>
      </c>
      <c r="E25">
        <v>4.5123383144828431</v>
      </c>
      <c r="F25">
        <v>725.24032338670804</v>
      </c>
      <c r="G25">
        <v>4.9811535852601923E-5</v>
      </c>
      <c r="H25">
        <v>1.4955631953963836E-4</v>
      </c>
      <c r="I25">
        <v>5.6065551786421607E-5</v>
      </c>
      <c r="J25">
        <v>32.464403249455678</v>
      </c>
      <c r="K25">
        <v>582.44945792386557</v>
      </c>
      <c r="L25">
        <v>1.6172540985109505</v>
      </c>
      <c r="N25">
        <v>2.1853883754980035</v>
      </c>
      <c r="O25">
        <v>3821.8310780869647</v>
      </c>
      <c r="P25">
        <v>4.7121177262412273</v>
      </c>
      <c r="Q25">
        <v>751.65547416144648</v>
      </c>
      <c r="R25">
        <v>5.190349950719065E-5</v>
      </c>
      <c r="S25">
        <v>1.5550404619685428E-4</v>
      </c>
      <c r="T25">
        <v>5.8059578927947635E-5</v>
      </c>
      <c r="U25">
        <v>33.318929775556981</v>
      </c>
      <c r="V25">
        <v>603.9083579014374</v>
      </c>
      <c r="W25">
        <v>1.6896720203043909</v>
      </c>
    </row>
    <row r="26" spans="2:23" x14ac:dyDescent="0.25">
      <c r="B26" s="148" t="s">
        <v>275</v>
      </c>
      <c r="C26">
        <v>2.5305635021407284</v>
      </c>
      <c r="D26">
        <v>4615.5628920716599</v>
      </c>
      <c r="E26">
        <v>5.7061795560775073</v>
      </c>
      <c r="F26">
        <v>894.35715805451241</v>
      </c>
      <c r="G26">
        <v>6.2574553663747811E-5</v>
      </c>
      <c r="H26">
        <v>1.8757773124753144E-4</v>
      </c>
      <c r="I26">
        <v>6.8293462969139769E-5</v>
      </c>
      <c r="J26">
        <v>39.691607784188513</v>
      </c>
      <c r="K26">
        <v>718.12156451947669</v>
      </c>
      <c r="L26">
        <v>2.0465022392241625</v>
      </c>
      <c r="N26">
        <v>1.9043997554421339</v>
      </c>
      <c r="O26">
        <v>3167.6057588419776</v>
      </c>
      <c r="P26">
        <v>3.8829269965517197</v>
      </c>
      <c r="Q26">
        <v>634.5083925871204</v>
      </c>
      <c r="R26">
        <v>4.3046160357328586E-5</v>
      </c>
      <c r="S26">
        <v>1.2916515061538964E-4</v>
      </c>
      <c r="T26">
        <v>4.9575300282547843E-5</v>
      </c>
      <c r="U26">
        <v>28.358372331384899</v>
      </c>
      <c r="V26">
        <v>509.88380350810161</v>
      </c>
      <c r="W26">
        <v>1.391436939530009</v>
      </c>
    </row>
    <row r="27" spans="2:23" x14ac:dyDescent="0.25">
      <c r="B27" s="148" t="s">
        <v>978</v>
      </c>
      <c r="C27">
        <v>2.133054784507165</v>
      </c>
      <c r="D27">
        <v>3693.1665921813192</v>
      </c>
      <c r="E27">
        <v>4.5408512640990795</v>
      </c>
      <c r="F27">
        <v>729.01035082104795</v>
      </c>
      <c r="G27">
        <v>5.0110105428702314E-5</v>
      </c>
      <c r="H27">
        <v>1.5040519194854028E-4</v>
      </c>
      <c r="I27">
        <v>5.6350143651615913E-5</v>
      </c>
      <c r="J27">
        <v>32.586363122948207</v>
      </c>
      <c r="K27">
        <v>585.51211852785389</v>
      </c>
      <c r="L27">
        <v>1.6275897408938915</v>
      </c>
      <c r="N27">
        <v>2.1766757237359786</v>
      </c>
      <c r="O27">
        <v>3800.4106320863825</v>
      </c>
      <c r="P27">
        <v>4.6836047766249909</v>
      </c>
      <c r="Q27">
        <v>747.88544672710646</v>
      </c>
      <c r="R27">
        <v>5.1604929931090258E-5</v>
      </c>
      <c r="S27">
        <v>1.5465517378795236E-4</v>
      </c>
      <c r="T27">
        <v>5.777498706275333E-5</v>
      </c>
      <c r="U27">
        <v>33.196969902064453</v>
      </c>
      <c r="V27">
        <v>600.84569729744908</v>
      </c>
      <c r="W27">
        <v>1.6793363779214503</v>
      </c>
    </row>
    <row r="28" spans="2:23" x14ac:dyDescent="0.25">
      <c r="B28" s="148" t="s">
        <v>979</v>
      </c>
      <c r="C28">
        <v>2.1542020244206563</v>
      </c>
      <c r="D28">
        <v>3745.158032101217</v>
      </c>
      <c r="E28">
        <v>4.6100575405170092</v>
      </c>
      <c r="F28">
        <v>738.16091448547991</v>
      </c>
      <c r="G28">
        <v>5.0834789787623269E-5</v>
      </c>
      <c r="H28">
        <v>1.524655644938123E-4</v>
      </c>
      <c r="I28">
        <v>5.7040901484601238E-5</v>
      </c>
      <c r="J28">
        <v>32.882382609897853</v>
      </c>
      <c r="K28">
        <v>592.94577022600095</v>
      </c>
      <c r="L28">
        <v>1.6526762834416799</v>
      </c>
      <c r="N28">
        <v>2.1555284838224877</v>
      </c>
      <c r="O28">
        <v>3748.4191921664847</v>
      </c>
      <c r="P28">
        <v>4.6143985002070611</v>
      </c>
      <c r="Q28">
        <v>738.73488306267473</v>
      </c>
      <c r="R28">
        <v>5.0880245572169303E-5</v>
      </c>
      <c r="S28">
        <v>1.5259480124268031E-4</v>
      </c>
      <c r="T28">
        <v>5.7084229229768005E-5</v>
      </c>
      <c r="U28">
        <v>32.900950415114799</v>
      </c>
      <c r="V28">
        <v>593.4120455993019</v>
      </c>
      <c r="W28">
        <v>1.6542498353736619</v>
      </c>
    </row>
    <row r="29" spans="2:23" x14ac:dyDescent="0.25">
      <c r="B29" s="148" t="s">
        <v>1274</v>
      </c>
      <c r="C29">
        <v>2.1472709347778021</v>
      </c>
      <c r="D29">
        <v>3728.1176366538671</v>
      </c>
      <c r="E29">
        <v>4.5873749158500052</v>
      </c>
      <c r="F29">
        <v>735.16178186579657</v>
      </c>
      <c r="G29">
        <v>5.0597271687152346E-5</v>
      </c>
      <c r="H29">
        <v>1.5179026942611671E-4</v>
      </c>
      <c r="I29">
        <v>5.6814502934175265E-5</v>
      </c>
      <c r="J29">
        <v>32.785361078555091</v>
      </c>
      <c r="K29">
        <v>590.50936214133446</v>
      </c>
      <c r="L29">
        <v>1.6444540721299772</v>
      </c>
      <c r="N29">
        <v>2.1624595734653416</v>
      </c>
      <c r="O29">
        <v>3765.4595876138342</v>
      </c>
      <c r="P29">
        <v>4.6370811248740651</v>
      </c>
      <c r="Q29">
        <v>741.73401568235795</v>
      </c>
      <c r="R29">
        <v>5.1117763672640233E-5</v>
      </c>
      <c r="S29">
        <v>1.5327009631037591E-4</v>
      </c>
      <c r="T29">
        <v>5.7310627780193991E-5</v>
      </c>
      <c r="U29">
        <v>32.997971946457561</v>
      </c>
      <c r="V29">
        <v>595.84845368396839</v>
      </c>
      <c r="W29">
        <v>1.6624720466853642</v>
      </c>
    </row>
    <row r="30" spans="2:23" x14ac:dyDescent="0.25">
      <c r="B30" s="148" t="s">
        <v>1275</v>
      </c>
      <c r="C30">
        <v>2.1530381961035925</v>
      </c>
      <c r="D30">
        <v>3742.2967078683037</v>
      </c>
      <c r="E30">
        <v>4.6062488059235953</v>
      </c>
      <c r="F30">
        <v>737.65731755494301</v>
      </c>
      <c r="G30">
        <v>5.0794907127697165E-5</v>
      </c>
      <c r="H30">
        <v>1.5235217286815818E-4</v>
      </c>
      <c r="I30">
        <v>5.7002885954936347E-5</v>
      </c>
      <c r="J30">
        <v>32.866091317855769</v>
      </c>
      <c r="K30">
        <v>592.53666273108036</v>
      </c>
      <c r="L30">
        <v>1.6512956574728168</v>
      </c>
      <c r="N30">
        <v>2.1566923121395516</v>
      </c>
      <c r="O30">
        <v>3751.2805163993976</v>
      </c>
      <c r="P30">
        <v>4.6182072348004741</v>
      </c>
      <c r="Q30">
        <v>739.23847999321151</v>
      </c>
      <c r="R30">
        <v>5.0920128232095407E-5</v>
      </c>
      <c r="S30">
        <v>1.5270819286833444E-4</v>
      </c>
      <c r="T30">
        <v>5.7122244759432895E-5</v>
      </c>
      <c r="U30">
        <v>32.917241707156883</v>
      </c>
      <c r="V30">
        <v>593.8211530942225</v>
      </c>
      <c r="W30">
        <v>1.655630461342525</v>
      </c>
    </row>
    <row r="31" spans="2:23" x14ac:dyDescent="0.25">
      <c r="B31" s="148" t="s">
        <v>1073</v>
      </c>
      <c r="C31">
        <v>2.154627712914063</v>
      </c>
      <c r="D31">
        <v>3746.6362979797191</v>
      </c>
      <c r="E31">
        <v>4.6120717542663652</v>
      </c>
      <c r="F31">
        <v>737.55075177349067</v>
      </c>
      <c r="G31">
        <v>5.0855193996923682E-5</v>
      </c>
      <c r="H31">
        <v>1.5252329180384151E-4</v>
      </c>
      <c r="I31">
        <v>5.7058133416237308E-5</v>
      </c>
      <c r="J31">
        <v>32.887787272479635</v>
      </c>
      <c r="K31">
        <v>593.13656568465422</v>
      </c>
      <c r="L31">
        <v>1.6534063013354872</v>
      </c>
      <c r="N31">
        <v>2.1551027953290811</v>
      </c>
      <c r="O31">
        <v>3746.9409262879822</v>
      </c>
      <c r="P31">
        <v>4.6123842864577043</v>
      </c>
      <c r="Q31">
        <v>739.34504577466373</v>
      </c>
      <c r="R31">
        <v>5.0859841362868904E-5</v>
      </c>
      <c r="S31">
        <v>1.5253707393265111E-4</v>
      </c>
      <c r="T31">
        <v>5.7066997298131948E-5</v>
      </c>
      <c r="U31">
        <v>32.895545752533017</v>
      </c>
      <c r="V31">
        <v>593.22125014064875</v>
      </c>
      <c r="W31">
        <v>1.6535198174798547</v>
      </c>
    </row>
    <row r="32" spans="2:23" x14ac:dyDescent="0.25">
      <c r="B32" s="148" t="s">
        <v>546</v>
      </c>
      <c r="C32">
        <v>1.9922546267038339</v>
      </c>
      <c r="D32">
        <v>3347.0030750939704</v>
      </c>
      <c r="E32">
        <v>4.0800698722726665</v>
      </c>
      <c r="F32">
        <v>668.08510415945022</v>
      </c>
      <c r="G32">
        <v>4.5285094102823255E-5</v>
      </c>
      <c r="H32">
        <v>1.3668705281101229E-4</v>
      </c>
      <c r="I32">
        <v>5.1751018078440098E-5</v>
      </c>
      <c r="J32">
        <v>30.615439700039385</v>
      </c>
      <c r="K32">
        <v>536.01822067471664</v>
      </c>
      <c r="L32">
        <v>1.4605613644287807</v>
      </c>
      <c r="N32">
        <v>2.3174758815393095</v>
      </c>
      <c r="O32">
        <v>4146.5741491737317</v>
      </c>
      <c r="P32">
        <v>5.144386168451403</v>
      </c>
      <c r="Q32">
        <v>808.81069338870429</v>
      </c>
      <c r="R32">
        <v>5.6429941256969324E-5</v>
      </c>
      <c r="S32">
        <v>1.6837331292548035E-4</v>
      </c>
      <c r="T32">
        <v>6.2374112635929144E-5</v>
      </c>
      <c r="U32">
        <v>35.167893324973278</v>
      </c>
      <c r="V32">
        <v>650.33959515058621</v>
      </c>
      <c r="W32">
        <v>1.8463647543865607</v>
      </c>
    </row>
    <row r="33" spans="2:23" x14ac:dyDescent="0.25">
      <c r="B33" s="148" t="s">
        <v>1096</v>
      </c>
      <c r="C33">
        <v>2.1548452532617715</v>
      </c>
      <c r="D33">
        <v>3746.73943912097</v>
      </c>
      <c r="E33">
        <v>4.612162565719367</v>
      </c>
      <c r="F33">
        <v>738.43924425737919</v>
      </c>
      <c r="G33">
        <v>5.0856832280273375E-5</v>
      </c>
      <c r="H33">
        <v>1.5252823418735072E-4</v>
      </c>
      <c r="I33">
        <v>5.7061912044949554E-5</v>
      </c>
      <c r="J33">
        <v>32.891386540071117</v>
      </c>
      <c r="K33">
        <v>593.17187723507709</v>
      </c>
      <c r="L33">
        <v>1.6534393327926407</v>
      </c>
      <c r="N33">
        <v>2.1548852549813722</v>
      </c>
      <c r="O33">
        <v>3746.8377851467312</v>
      </c>
      <c r="P33">
        <v>4.6122934750047015</v>
      </c>
      <c r="Q33">
        <v>738.4565532907751</v>
      </c>
      <c r="R33">
        <v>5.0858203079519198E-5</v>
      </c>
      <c r="S33">
        <v>1.5253213154914195E-4</v>
      </c>
      <c r="T33">
        <v>5.7063218669419702E-5</v>
      </c>
      <c r="U33">
        <v>32.891946484941542</v>
      </c>
      <c r="V33">
        <v>593.18593859022576</v>
      </c>
      <c r="W33">
        <v>1.6534867860227007</v>
      </c>
    </row>
    <row r="34" spans="2:23" x14ac:dyDescent="0.25">
      <c r="B34" s="148" t="s">
        <v>538</v>
      </c>
      <c r="C34">
        <v>2.1546545248797084</v>
      </c>
      <c r="D34">
        <v>3746.2705248202092</v>
      </c>
      <c r="E34">
        <v>4.6115383896479836</v>
      </c>
      <c r="F34">
        <v>738.35671470695934</v>
      </c>
      <c r="G34">
        <v>5.0850296303197936E-5</v>
      </c>
      <c r="H34">
        <v>1.5250965154849975E-4</v>
      </c>
      <c r="I34">
        <v>5.70556820534981E-5</v>
      </c>
      <c r="J34">
        <v>32.888716720367171</v>
      </c>
      <c r="K34">
        <v>593.10483262939761</v>
      </c>
      <c r="L34">
        <v>1.6532130755746177</v>
      </c>
      <c r="N34">
        <v>2.1550759833634352</v>
      </c>
      <c r="O34">
        <v>3747.3066994474921</v>
      </c>
      <c r="P34">
        <v>4.612917651076085</v>
      </c>
      <c r="Q34">
        <v>738.53908284119507</v>
      </c>
      <c r="R34">
        <v>5.0864739056594643E-5</v>
      </c>
      <c r="S34">
        <v>1.5255071418799289E-4</v>
      </c>
      <c r="T34">
        <v>5.7069448660871142E-5</v>
      </c>
      <c r="U34">
        <v>32.894616304645488</v>
      </c>
      <c r="V34">
        <v>593.25298319590524</v>
      </c>
      <c r="W34">
        <v>1.6537130432407241</v>
      </c>
    </row>
    <row r="35" spans="2:23" x14ac:dyDescent="0.25">
      <c r="B35" s="148" t="s">
        <v>559</v>
      </c>
      <c r="C35">
        <v>2.153445574224842</v>
      </c>
      <c r="D35">
        <v>3744.3259550955768</v>
      </c>
      <c r="E35">
        <v>4.6112881119731677</v>
      </c>
      <c r="F35">
        <v>737.94259253700341</v>
      </c>
      <c r="G35">
        <v>5.0824836203485578E-5</v>
      </c>
      <c r="H35">
        <v>1.5242584876137014E-4</v>
      </c>
      <c r="I35">
        <v>5.696275307928509E-5</v>
      </c>
      <c r="J35">
        <v>32.876426381390189</v>
      </c>
      <c r="K35">
        <v>592.2883147886846</v>
      </c>
      <c r="L35">
        <v>1.6532204890709039</v>
      </c>
      <c r="N35">
        <v>2.1562849340183012</v>
      </c>
      <c r="O35">
        <v>3749.2512691721249</v>
      </c>
      <c r="P35">
        <v>4.6131679287509009</v>
      </c>
      <c r="Q35">
        <v>738.95320501115089</v>
      </c>
      <c r="R35">
        <v>5.0890199156306995E-5</v>
      </c>
      <c r="S35">
        <v>1.526345169751225E-4</v>
      </c>
      <c r="T35">
        <v>5.7162377635084166E-5</v>
      </c>
      <c r="U35">
        <v>32.906906643622463</v>
      </c>
      <c r="V35">
        <v>594.06950103661825</v>
      </c>
      <c r="W35">
        <v>1.6537056297444375</v>
      </c>
    </row>
    <row r="36" spans="2:23" x14ac:dyDescent="0.25">
      <c r="B36" s="148" t="s">
        <v>558</v>
      </c>
      <c r="C36">
        <v>2.1106731653485893</v>
      </c>
      <c r="D36">
        <v>3680.9652764506441</v>
      </c>
      <c r="E36">
        <v>4.5745035799906812</v>
      </c>
      <c r="F36">
        <v>724.52145058537985</v>
      </c>
      <c r="G36">
        <v>5.0255484399055473E-5</v>
      </c>
      <c r="H36">
        <v>1.4942983359146899E-4</v>
      </c>
      <c r="I36">
        <v>5.6439531907805649E-5</v>
      </c>
      <c r="J36">
        <v>31.03865151423086</v>
      </c>
      <c r="K36">
        <v>583.20988876948422</v>
      </c>
      <c r="L36">
        <v>1.6426185056166109</v>
      </c>
      <c r="N36">
        <v>2.1990573428945548</v>
      </c>
      <c r="O36">
        <v>3812.6119478170576</v>
      </c>
      <c r="P36">
        <v>4.6499524607333891</v>
      </c>
      <c r="Q36">
        <v>752.37434696277444</v>
      </c>
      <c r="R36">
        <v>5.1459550960737106E-5</v>
      </c>
      <c r="S36">
        <v>1.5563053214502368E-4</v>
      </c>
      <c r="T36">
        <v>5.7685598806563593E-5</v>
      </c>
      <c r="U36">
        <v>34.74468151078181</v>
      </c>
      <c r="V36">
        <v>603.14792705581874</v>
      </c>
      <c r="W36">
        <v>1.6643076131987304</v>
      </c>
    </row>
    <row r="37" spans="2:23" x14ac:dyDescent="0.25">
      <c r="B37" s="148" t="s">
        <v>1045</v>
      </c>
      <c r="C37">
        <v>2.1540319951935958</v>
      </c>
      <c r="D37">
        <v>3745.832507259468</v>
      </c>
      <c r="E37">
        <v>4.6110471622613094</v>
      </c>
      <c r="F37">
        <v>738.21802534472647</v>
      </c>
      <c r="G37">
        <v>5.0842665405135009E-5</v>
      </c>
      <c r="H37">
        <v>1.5248906133082262E-4</v>
      </c>
      <c r="I37">
        <v>5.7047671846301639E-5</v>
      </c>
      <c r="J37">
        <v>32.881688043925045</v>
      </c>
      <c r="K37">
        <v>593.01853496847559</v>
      </c>
      <c r="L37">
        <v>1.6530101909657793</v>
      </c>
      <c r="N37">
        <v>2.1556985130495478</v>
      </c>
      <c r="O37">
        <v>3747.7447170082332</v>
      </c>
      <c r="P37">
        <v>4.6134088784627592</v>
      </c>
      <c r="Q37">
        <v>738.67777220342805</v>
      </c>
      <c r="R37">
        <v>5.0872369954657563E-5</v>
      </c>
      <c r="S37">
        <v>1.5257130440567005E-4</v>
      </c>
      <c r="T37">
        <v>5.7077458868067603E-5</v>
      </c>
      <c r="U37">
        <v>32.901644981087607</v>
      </c>
      <c r="V37">
        <v>593.33928085682737</v>
      </c>
      <c r="W37">
        <v>1.6539159278495625</v>
      </c>
    </row>
    <row r="38" spans="2:23" x14ac:dyDescent="0.25">
      <c r="B38" s="148" t="s">
        <v>1079</v>
      </c>
      <c r="C38">
        <v>2.1547242745071333</v>
      </c>
      <c r="D38">
        <v>3746.4420074145596</v>
      </c>
      <c r="E38">
        <v>4.6117666516819602</v>
      </c>
      <c r="F38">
        <v>738.38689587523174</v>
      </c>
      <c r="G38">
        <v>5.0852686518859292E-5</v>
      </c>
      <c r="H38">
        <v>1.5251644724467465E-4</v>
      </c>
      <c r="I38">
        <v>5.7057960369802691E-5</v>
      </c>
      <c r="J38">
        <v>32.889693077045855</v>
      </c>
      <c r="K38">
        <v>593.12935093242334</v>
      </c>
      <c r="L38">
        <v>1.6532958181454329</v>
      </c>
      <c r="N38">
        <v>2.1550062337360099</v>
      </c>
      <c r="O38">
        <v>3747.1352168531421</v>
      </c>
      <c r="P38">
        <v>4.6126893890421101</v>
      </c>
      <c r="Q38">
        <v>738.50890167292278</v>
      </c>
      <c r="R38">
        <v>5.0862348840933287E-5</v>
      </c>
      <c r="S38">
        <v>1.52543918491818E-4</v>
      </c>
      <c r="T38">
        <v>5.7067170344566572E-5</v>
      </c>
      <c r="U38">
        <v>32.893639947966797</v>
      </c>
      <c r="V38">
        <v>593.22846489287963</v>
      </c>
      <c r="W38">
        <v>1.6536303006699085</v>
      </c>
    </row>
    <row r="39" spans="2:23" x14ac:dyDescent="0.25">
      <c r="B39" s="148" t="s">
        <v>1135</v>
      </c>
      <c r="C39">
        <v>2.1548652541215718</v>
      </c>
      <c r="D39">
        <v>3746.7886121338506</v>
      </c>
      <c r="E39">
        <v>4.6122280203620347</v>
      </c>
      <c r="F39">
        <v>738.4478987740772</v>
      </c>
      <c r="G39">
        <v>5.085751767989629E-5</v>
      </c>
      <c r="H39">
        <v>1.5253018286824632E-4</v>
      </c>
      <c r="I39">
        <v>5.7062565357184628E-5</v>
      </c>
      <c r="J39">
        <v>32.891666512506326</v>
      </c>
      <c r="K39">
        <v>593.17890791265143</v>
      </c>
      <c r="L39">
        <v>1.6534630594076707</v>
      </c>
      <c r="N39">
        <v>2.1548652541215718</v>
      </c>
      <c r="O39">
        <v>3746.7886121338506</v>
      </c>
      <c r="P39">
        <v>4.6122280203620347</v>
      </c>
      <c r="Q39">
        <v>738.4478987740772</v>
      </c>
      <c r="R39">
        <v>5.085751767989629E-5</v>
      </c>
      <c r="S39">
        <v>1.5253018286824632E-4</v>
      </c>
      <c r="T39">
        <v>5.7062565357184628E-5</v>
      </c>
      <c r="U39">
        <v>32.891666512506326</v>
      </c>
      <c r="V39">
        <v>593.17890791265143</v>
      </c>
      <c r="W39">
        <v>1.6534630594076707</v>
      </c>
    </row>
    <row r="40" spans="2:23" x14ac:dyDescent="0.25">
      <c r="B40" s="148" t="s">
        <v>1138</v>
      </c>
      <c r="C40">
        <v>2.1566398539924836</v>
      </c>
      <c r="D40">
        <v>3749.8669334316933</v>
      </c>
      <c r="E40">
        <v>4.6134029058481181</v>
      </c>
      <c r="F40">
        <v>739.07953157041936</v>
      </c>
      <c r="G40">
        <v>5.0898369525409674E-5</v>
      </c>
      <c r="H40">
        <v>1.5266060050184155E-4</v>
      </c>
      <c r="I40">
        <v>5.7187330704559054E-5</v>
      </c>
      <c r="J40">
        <v>32.910716676401492</v>
      </c>
      <c r="K40">
        <v>594.29214931760987</v>
      </c>
      <c r="L40">
        <v>1.6537662723286293</v>
      </c>
      <c r="N40">
        <v>2.1536821875409635</v>
      </c>
      <c r="O40">
        <v>3744.736397935289</v>
      </c>
      <c r="P40">
        <v>4.6114447633713125</v>
      </c>
      <c r="Q40">
        <v>738.02681024318235</v>
      </c>
      <c r="R40">
        <v>5.0830283116220693E-5</v>
      </c>
      <c r="S40">
        <v>1.5244323777918284E-4</v>
      </c>
      <c r="T40">
        <v>5.6979388458935013E-5</v>
      </c>
      <c r="U40">
        <v>32.878966403242877</v>
      </c>
      <c r="V40">
        <v>592.43674697601239</v>
      </c>
      <c r="W40">
        <v>1.653260917460365</v>
      </c>
    </row>
    <row r="41" spans="2:23" x14ac:dyDescent="0.25">
      <c r="B41" s="148" t="s">
        <v>1153</v>
      </c>
      <c r="C41">
        <v>2.153445574224842</v>
      </c>
      <c r="D41">
        <v>3744.3259550955768</v>
      </c>
      <c r="E41">
        <v>4.6112881119731677</v>
      </c>
      <c r="F41">
        <v>737.94259253700341</v>
      </c>
      <c r="G41">
        <v>5.0824836203485578E-5</v>
      </c>
      <c r="H41">
        <v>1.5242584876137014E-4</v>
      </c>
      <c r="I41">
        <v>5.696275307928509E-5</v>
      </c>
      <c r="J41">
        <v>32.876426381390189</v>
      </c>
      <c r="K41">
        <v>592.2883147886846</v>
      </c>
      <c r="L41">
        <v>1.6532204890709039</v>
      </c>
      <c r="N41">
        <v>2.1562849340183012</v>
      </c>
      <c r="O41">
        <v>3749.2512691721249</v>
      </c>
      <c r="P41">
        <v>4.6131679287509009</v>
      </c>
      <c r="Q41">
        <v>738.95320501115089</v>
      </c>
      <c r="R41">
        <v>5.0890199156306995E-5</v>
      </c>
      <c r="S41">
        <v>1.526345169751225E-4</v>
      </c>
      <c r="T41">
        <v>5.7162377635084166E-5</v>
      </c>
      <c r="U41">
        <v>32.906906643622463</v>
      </c>
      <c r="V41">
        <v>594.06950103661825</v>
      </c>
      <c r="W41">
        <v>1.6537056297444375</v>
      </c>
    </row>
    <row r="42" spans="2:23" x14ac:dyDescent="0.25">
      <c r="B42" s="148" t="s">
        <v>1252</v>
      </c>
      <c r="C42">
        <v>2.1548652541215718</v>
      </c>
      <c r="D42">
        <v>3746.7886121338506</v>
      </c>
      <c r="E42">
        <v>4.6122280203620347</v>
      </c>
      <c r="F42">
        <v>738.4478987740772</v>
      </c>
      <c r="G42">
        <v>5.085751767989629E-5</v>
      </c>
      <c r="H42">
        <v>1.5253018286824632E-4</v>
      </c>
      <c r="I42">
        <v>5.7062565357184628E-5</v>
      </c>
      <c r="J42">
        <v>32.891666512506326</v>
      </c>
      <c r="K42">
        <v>593.17890791265143</v>
      </c>
      <c r="L42">
        <v>1.6534630594076707</v>
      </c>
      <c r="N42">
        <v>2.1548652541215718</v>
      </c>
      <c r="O42">
        <v>3746.7886121338506</v>
      </c>
      <c r="P42">
        <v>4.6122280203620347</v>
      </c>
      <c r="Q42">
        <v>738.4478987740772</v>
      </c>
      <c r="R42">
        <v>5.085751767989629E-5</v>
      </c>
      <c r="S42">
        <v>1.5253018286824632E-4</v>
      </c>
      <c r="T42">
        <v>5.7062565357184628E-5</v>
      </c>
      <c r="U42">
        <v>32.891666512506326</v>
      </c>
      <c r="V42">
        <v>593.17890791265143</v>
      </c>
      <c r="W42">
        <v>1.6534630594076707</v>
      </c>
    </row>
    <row r="43" spans="2:23" x14ac:dyDescent="0.25">
      <c r="B43" s="148" t="s">
        <v>1257</v>
      </c>
      <c r="C43">
        <v>2.1541973833874373</v>
      </c>
      <c r="D43">
        <v>3745.1466219124286</v>
      </c>
      <c r="E43">
        <v>4.6100423523114022</v>
      </c>
      <c r="F43">
        <v>738.15890627683837</v>
      </c>
      <c r="G43">
        <v>5.0834630746339552E-5</v>
      </c>
      <c r="H43">
        <v>1.5246511231861286E-4</v>
      </c>
      <c r="I43">
        <v>5.7040749888929079E-5</v>
      </c>
      <c r="J43">
        <v>32.882317644622113</v>
      </c>
      <c r="K43">
        <v>592.94413881572666</v>
      </c>
      <c r="L43">
        <v>1.6526707778779377</v>
      </c>
      <c r="N43">
        <v>2.1555331248557064</v>
      </c>
      <c r="O43">
        <v>3748.4306023552726</v>
      </c>
      <c r="P43">
        <v>4.6144136884126663</v>
      </c>
      <c r="Q43">
        <v>738.73689127131604</v>
      </c>
      <c r="R43">
        <v>5.088040461345302E-5</v>
      </c>
      <c r="S43">
        <v>1.5259525341787978E-4</v>
      </c>
      <c r="T43">
        <v>5.7084380825440164E-5</v>
      </c>
      <c r="U43">
        <v>32.901015380390554</v>
      </c>
      <c r="V43">
        <v>593.4136770095763</v>
      </c>
      <c r="W43">
        <v>1.6542553409374037</v>
      </c>
    </row>
    <row r="44" spans="2:23" x14ac:dyDescent="0.25">
      <c r="B44" s="148" t="s">
        <v>1283</v>
      </c>
      <c r="C44">
        <v>2.1251896800868195</v>
      </c>
      <c r="D44">
        <v>3673.8298794184752</v>
      </c>
      <c r="E44">
        <v>4.5151119906621204</v>
      </c>
      <c r="F44">
        <v>725.60706325159731</v>
      </c>
      <c r="G44">
        <v>4.9840580035411239E-5</v>
      </c>
      <c r="H44">
        <v>1.4963889595531992E-4</v>
      </c>
      <c r="I44">
        <v>5.609323624867227E-5</v>
      </c>
      <c r="J44">
        <v>32.476267234083259</v>
      </c>
      <c r="K44">
        <v>582.74738672031867</v>
      </c>
      <c r="L44">
        <v>1.618259526762357</v>
      </c>
      <c r="N44">
        <v>2.1845408281563241</v>
      </c>
      <c r="O44">
        <v>3819.747344849226</v>
      </c>
      <c r="P44">
        <v>4.709344050061949</v>
      </c>
      <c r="Q44">
        <v>751.28873429655721</v>
      </c>
      <c r="R44">
        <v>5.187445532438134E-5</v>
      </c>
      <c r="S44">
        <v>1.5542146978117272E-4</v>
      </c>
      <c r="T44">
        <v>5.8031894465696972E-5</v>
      </c>
      <c r="U44">
        <v>33.307065790929407</v>
      </c>
      <c r="V44">
        <v>603.61042910498418</v>
      </c>
      <c r="W44">
        <v>1.6886665920529844</v>
      </c>
    </row>
    <row r="50" spans="2:23" s="31" customFormat="1" x14ac:dyDescent="0.25"/>
    <row r="51" spans="2:23" x14ac:dyDescent="0.25">
      <c r="C51" s="798" t="s">
        <v>1226</v>
      </c>
      <c r="D51" s="798"/>
      <c r="E51" s="798"/>
      <c r="F51" s="798"/>
      <c r="G51" s="798"/>
      <c r="H51" s="798"/>
      <c r="I51" s="798"/>
      <c r="J51" s="798"/>
      <c r="K51" s="798"/>
      <c r="L51" s="798"/>
      <c r="N51" s="798" t="s">
        <v>1226</v>
      </c>
      <c r="O51" s="798"/>
      <c r="P51" s="798"/>
      <c r="Q51" s="798"/>
      <c r="R51" s="798"/>
      <c r="S51" s="798"/>
      <c r="T51" s="798"/>
      <c r="U51" s="798"/>
      <c r="V51" s="798"/>
      <c r="W51" s="798"/>
    </row>
    <row r="52" spans="2:23" s="31" customFormat="1" x14ac:dyDescent="0.25">
      <c r="B52" s="343" t="s">
        <v>190</v>
      </c>
      <c r="C52" s="69" t="s">
        <v>449</v>
      </c>
      <c r="D52" s="69" t="s">
        <v>450</v>
      </c>
      <c r="E52" s="69" t="s">
        <v>451</v>
      </c>
      <c r="F52" s="69" t="s">
        <v>452</v>
      </c>
      <c r="G52" s="69" t="s">
        <v>1218</v>
      </c>
      <c r="H52" s="69" t="s">
        <v>1219</v>
      </c>
      <c r="I52" s="69" t="s">
        <v>455</v>
      </c>
      <c r="J52" s="69" t="s">
        <v>1220</v>
      </c>
      <c r="K52" s="69" t="s">
        <v>1221</v>
      </c>
      <c r="L52" s="69" t="s">
        <v>458</v>
      </c>
      <c r="N52" s="69" t="s">
        <v>449</v>
      </c>
      <c r="O52" s="69" t="s">
        <v>450</v>
      </c>
      <c r="P52" s="69" t="s">
        <v>451</v>
      </c>
      <c r="Q52" s="69" t="s">
        <v>452</v>
      </c>
      <c r="R52" s="69" t="s">
        <v>1218</v>
      </c>
      <c r="S52" s="69" t="s">
        <v>1219</v>
      </c>
      <c r="T52" s="69" t="s">
        <v>455</v>
      </c>
      <c r="U52" s="69" t="s">
        <v>1220</v>
      </c>
      <c r="V52" s="69" t="s">
        <v>1221</v>
      </c>
      <c r="W52" s="69" t="s">
        <v>458</v>
      </c>
    </row>
    <row r="53" spans="2:23" x14ac:dyDescent="0.25">
      <c r="B53" s="148" t="s">
        <v>415</v>
      </c>
      <c r="C53" s="10">
        <f t="shared" ref="C53:C82" si="0">(C15-sensitivity_baseline_acid)/sensitivity_baseline_acid</f>
        <v>-7.4767229268297514E-5</v>
      </c>
      <c r="D53" s="10">
        <f t="shared" ref="D53:D82" si="1">(D15-sensitivity_baseline_ecotox)/sensitivity_baseline_ecotox</f>
        <v>-1.0571834772050588E-4</v>
      </c>
      <c r="E53" s="10">
        <f t="shared" ref="E53:E82" si="2">(E15-sensitivity_baseline_eutro)/sensitivity_baseline_eutro</f>
        <v>-1.1431742307228194E-4</v>
      </c>
      <c r="F53" s="10">
        <f t="shared" ref="F53:F82" si="3">(F15-sensitivity_baseline_GWP)/sensitivity_baseline_GWP</f>
        <v>-9.4407326871442585E-5</v>
      </c>
      <c r="G53" s="10">
        <f t="shared" ref="G53:G82" si="4">(G15-sensitivity_baseline_carcin)/sensitivity_baseline_carcin</f>
        <v>-1.0856040181577886E-4</v>
      </c>
      <c r="H53" s="10">
        <f t="shared" ref="H53:H82" si="5">(H15-sensitivity_baseline_non_carcin)/sensitivity_baseline_non_carcin</f>
        <v>-1.0291239284632194E-4</v>
      </c>
      <c r="I53" s="10">
        <f t="shared" ref="I53:I82" si="6">(I15-sensitivity_baseline_ozone_dep)/sensitivity_baseline_ozone_dep</f>
        <v>-9.2225759203078489E-5</v>
      </c>
      <c r="J53" s="10">
        <f t="shared" ref="J53:J82" si="7">(J15-sensitivity_baseline_ozone_form)/sensitivity_baseline_ozone_form</f>
        <v>-6.8566524454776164E-5</v>
      </c>
      <c r="K53" s="10">
        <f t="shared" ref="K53:K82" si="8">(K15-sensitivity_baseline_resource_dep)/sensitivity_baseline_resource_dep</f>
        <v>-9.5476001212608578E-5</v>
      </c>
      <c r="L53" s="10">
        <f t="shared" ref="L53:L82" si="9">(L15-sensitivity_baseline_resp)/sensitivity_baseline_resp</f>
        <v>-1.1559100158092533E-4</v>
      </c>
      <c r="N53" s="10">
        <f t="shared" ref="N53:N82" si="10">(N15-sensitivity_baseline_acid)/sensitivity_baseline_acid</f>
        <v>7.4767229268091421E-5</v>
      </c>
      <c r="O53" s="10">
        <f t="shared" ref="O53:O82" si="11">(O15-sensitivity_baseline_ecotox)/sensitivity_baseline_ecotox</f>
        <v>1.0571834772062725E-4</v>
      </c>
      <c r="P53" s="10">
        <f t="shared" ref="P53:P82" si="12">(P15-sensitivity_baseline_eutro)/sensitivity_baseline_eutro</f>
        <v>1.1431742307228194E-4</v>
      </c>
      <c r="Q53" s="10">
        <f t="shared" ref="Q53:Q82" si="13">(Q15-sensitivity_baseline_GWP)/sensitivity_baseline_GWP</f>
        <v>9.4407326871288628E-5</v>
      </c>
      <c r="R53" s="10">
        <f t="shared" ref="R53:R82" si="14">(R15-sensitivity_baseline_carcin)/sensitivity_baseline_carcin</f>
        <v>1.0856040181551239E-4</v>
      </c>
      <c r="S53" s="10">
        <f t="shared" ref="S53:S82" si="15">(S15-sensitivity_baseline_non_carcin)/sensitivity_baseline_non_carcin</f>
        <v>1.0291239284667735E-4</v>
      </c>
      <c r="T53" s="10">
        <f t="shared" ref="T53:T82" si="16">(T15-sensitivity_baseline_ozone_dep)/sensitivity_baseline_ozone_dep</f>
        <v>9.2225759203078489E-5</v>
      </c>
      <c r="U53" s="10">
        <f t="shared" ref="U53:U82" si="17">(U15-sensitivity_baseline_ozone_form)/sensitivity_baseline_ozone_form</f>
        <v>6.8566524455208205E-5</v>
      </c>
      <c r="V53" s="10">
        <f t="shared" ref="V53:V82" si="18">(V15-sensitivity_baseline_resource_dep)/sensitivity_baseline_resource_dep</f>
        <v>9.5476001212608578E-5</v>
      </c>
      <c r="W53" s="10">
        <f t="shared" ref="W53:W82" si="19">(W15-sensitivity_baseline_resp)/sensitivity_baseline_resp</f>
        <v>1.1559100158092533E-4</v>
      </c>
    </row>
    <row r="54" spans="2:23" x14ac:dyDescent="0.25">
      <c r="B54" s="389" t="s">
        <v>314</v>
      </c>
      <c r="C54" s="10">
        <f t="shared" si="0"/>
        <v>0</v>
      </c>
      <c r="D54" s="10">
        <f t="shared" si="1"/>
        <v>0</v>
      </c>
      <c r="E54" s="10">
        <f t="shared" si="2"/>
        <v>0</v>
      </c>
      <c r="F54" s="10">
        <f t="shared" si="3"/>
        <v>0</v>
      </c>
      <c r="G54" s="10">
        <f t="shared" si="4"/>
        <v>0</v>
      </c>
      <c r="H54" s="10">
        <f t="shared" si="5"/>
        <v>0</v>
      </c>
      <c r="I54" s="10">
        <f t="shared" si="6"/>
        <v>0</v>
      </c>
      <c r="J54" s="10">
        <f t="shared" si="7"/>
        <v>0</v>
      </c>
      <c r="K54" s="10">
        <f t="shared" si="8"/>
        <v>0</v>
      </c>
      <c r="L54" s="10">
        <f t="shared" si="9"/>
        <v>0</v>
      </c>
      <c r="N54" s="10">
        <f t="shared" si="10"/>
        <v>0</v>
      </c>
      <c r="O54" s="10">
        <f t="shared" si="11"/>
        <v>0</v>
      </c>
      <c r="P54" s="10">
        <f t="shared" si="12"/>
        <v>0</v>
      </c>
      <c r="Q54" s="10">
        <f t="shared" si="13"/>
        <v>0</v>
      </c>
      <c r="R54" s="10">
        <f t="shared" si="14"/>
        <v>0</v>
      </c>
      <c r="S54" s="10">
        <f t="shared" si="15"/>
        <v>0</v>
      </c>
      <c r="T54" s="10">
        <f t="shared" si="16"/>
        <v>0</v>
      </c>
      <c r="U54" s="10">
        <f t="shared" si="17"/>
        <v>0</v>
      </c>
      <c r="V54" s="10">
        <f t="shared" si="18"/>
        <v>0</v>
      </c>
      <c r="W54" s="10">
        <f t="shared" si="19"/>
        <v>0</v>
      </c>
    </row>
    <row r="55" spans="2:23" x14ac:dyDescent="0.25">
      <c r="B55" s="148" t="s">
        <v>416</v>
      </c>
      <c r="C55" s="10">
        <f t="shared" si="0"/>
        <v>0.24917646828843809</v>
      </c>
      <c r="D55" s="10">
        <f t="shared" si="1"/>
        <v>0.24917841073609739</v>
      </c>
      <c r="E55" s="10">
        <f t="shared" si="2"/>
        <v>0.24974526725892682</v>
      </c>
      <c r="F55" s="10">
        <f t="shared" si="3"/>
        <v>0.24914464812292003</v>
      </c>
      <c r="G55" s="10">
        <f t="shared" si="4"/>
        <v>0.24919673929485614</v>
      </c>
      <c r="H55" s="10">
        <f t="shared" si="5"/>
        <v>0.24914497163025226</v>
      </c>
      <c r="I55" s="10">
        <f t="shared" si="6"/>
        <v>0.24781353420419369</v>
      </c>
      <c r="J55" s="10">
        <f t="shared" si="7"/>
        <v>0.24942082095816301</v>
      </c>
      <c r="K55" s="10">
        <f t="shared" si="8"/>
        <v>0.24812326198705278</v>
      </c>
      <c r="L55" s="10">
        <f t="shared" si="9"/>
        <v>0.24981661947678013</v>
      </c>
      <c r="N55" s="10">
        <f t="shared" si="10"/>
        <v>-0.16611764552562544</v>
      </c>
      <c r="O55" s="10">
        <f t="shared" si="11"/>
        <v>-0.16611894049073139</v>
      </c>
      <c r="P55" s="10">
        <f t="shared" si="12"/>
        <v>-0.16649684483928429</v>
      </c>
      <c r="Q55" s="10">
        <f t="shared" si="13"/>
        <v>-0.16609643208194658</v>
      </c>
      <c r="R55" s="10">
        <f t="shared" si="14"/>
        <v>-0.1661311595299047</v>
      </c>
      <c r="S55" s="10">
        <f t="shared" si="15"/>
        <v>-0.16609664775350097</v>
      </c>
      <c r="T55" s="10">
        <f t="shared" si="16"/>
        <v>-0.16520902280279631</v>
      </c>
      <c r="U55" s="10">
        <f t="shared" si="17"/>
        <v>-0.16628054730544084</v>
      </c>
      <c r="V55" s="10">
        <f t="shared" si="18"/>
        <v>-0.16541550799136792</v>
      </c>
      <c r="W55" s="10">
        <f t="shared" si="19"/>
        <v>-0.1665444129845205</v>
      </c>
    </row>
    <row r="56" spans="2:23" x14ac:dyDescent="0.25">
      <c r="B56" s="148" t="s">
        <v>578</v>
      </c>
      <c r="C56" s="10">
        <f t="shared" si="0"/>
        <v>0</v>
      </c>
      <c r="D56" s="10">
        <f t="shared" si="1"/>
        <v>0</v>
      </c>
      <c r="E56" s="10">
        <f t="shared" si="2"/>
        <v>0</v>
      </c>
      <c r="F56" s="10">
        <f t="shared" si="3"/>
        <v>0</v>
      </c>
      <c r="G56" s="10">
        <f t="shared" si="4"/>
        <v>0</v>
      </c>
      <c r="H56" s="10">
        <f t="shared" si="5"/>
        <v>0</v>
      </c>
      <c r="I56" s="10">
        <f t="shared" si="6"/>
        <v>0</v>
      </c>
      <c r="J56" s="10">
        <f t="shared" si="7"/>
        <v>0</v>
      </c>
      <c r="K56" s="10">
        <f t="shared" si="8"/>
        <v>0</v>
      </c>
      <c r="L56" s="10">
        <f t="shared" si="9"/>
        <v>0</v>
      </c>
      <c r="N56" s="10">
        <f t="shared" si="10"/>
        <v>0</v>
      </c>
      <c r="O56" s="10">
        <f t="shared" si="11"/>
        <v>0</v>
      </c>
      <c r="P56" s="10">
        <f t="shared" si="12"/>
        <v>0</v>
      </c>
      <c r="Q56" s="10">
        <f t="shared" si="13"/>
        <v>0</v>
      </c>
      <c r="R56" s="10">
        <f t="shared" si="14"/>
        <v>0</v>
      </c>
      <c r="S56" s="10">
        <f t="shared" si="15"/>
        <v>0</v>
      </c>
      <c r="T56" s="10">
        <f t="shared" si="16"/>
        <v>0</v>
      </c>
      <c r="U56" s="10">
        <f t="shared" si="17"/>
        <v>0</v>
      </c>
      <c r="V56" s="10">
        <f t="shared" si="18"/>
        <v>0</v>
      </c>
      <c r="W56" s="10">
        <f t="shared" si="19"/>
        <v>0</v>
      </c>
    </row>
    <row r="57" spans="2:23" x14ac:dyDescent="0.25">
      <c r="B57" s="148" t="s">
        <v>121</v>
      </c>
      <c r="C57" s="10">
        <f t="shared" si="0"/>
        <v>-7.4767229268297514E-5</v>
      </c>
      <c r="D57" s="10">
        <f t="shared" si="1"/>
        <v>-1.0571834772050588E-4</v>
      </c>
      <c r="E57" s="10">
        <f t="shared" si="2"/>
        <v>-1.1431742307228194E-4</v>
      </c>
      <c r="F57" s="10">
        <f t="shared" si="3"/>
        <v>-9.4407326871442585E-5</v>
      </c>
      <c r="G57" s="10">
        <f t="shared" si="4"/>
        <v>-1.0856040181577886E-4</v>
      </c>
      <c r="H57" s="10">
        <f t="shared" si="5"/>
        <v>-1.0291239284632194E-4</v>
      </c>
      <c r="I57" s="10">
        <f t="shared" si="6"/>
        <v>-9.2225759203078489E-5</v>
      </c>
      <c r="J57" s="10">
        <f t="shared" si="7"/>
        <v>-6.8566524454776164E-5</v>
      </c>
      <c r="K57" s="10">
        <f t="shared" si="8"/>
        <v>-9.5476001212608578E-5</v>
      </c>
      <c r="L57" s="10">
        <f t="shared" si="9"/>
        <v>-1.1559100158092533E-4</v>
      </c>
      <c r="N57" s="10">
        <f t="shared" si="10"/>
        <v>7.4767229268091421E-5</v>
      </c>
      <c r="O57" s="10">
        <f t="shared" si="11"/>
        <v>1.0571834772062725E-4</v>
      </c>
      <c r="P57" s="10">
        <f t="shared" si="12"/>
        <v>1.1431742307228194E-4</v>
      </c>
      <c r="Q57" s="10">
        <f t="shared" si="13"/>
        <v>9.4407326871288628E-5</v>
      </c>
      <c r="R57" s="10">
        <f t="shared" si="14"/>
        <v>1.0856040181551239E-4</v>
      </c>
      <c r="S57" s="10">
        <f t="shared" si="15"/>
        <v>1.0291239284667735E-4</v>
      </c>
      <c r="T57" s="10">
        <f t="shared" si="16"/>
        <v>9.2225759203078489E-5</v>
      </c>
      <c r="U57" s="10">
        <f t="shared" si="17"/>
        <v>6.8566524455208205E-5</v>
      </c>
      <c r="V57" s="10">
        <f t="shared" si="18"/>
        <v>9.5476001212608578E-5</v>
      </c>
      <c r="W57" s="10">
        <f t="shared" si="19"/>
        <v>1.1559100158092533E-4</v>
      </c>
    </row>
    <row r="58" spans="2:23" x14ac:dyDescent="0.25">
      <c r="B58" s="148" t="s">
        <v>198</v>
      </c>
      <c r="C58" s="10">
        <f t="shared" si="0"/>
        <v>0.2491764682884379</v>
      </c>
      <c r="D58" s="10">
        <f t="shared" si="1"/>
        <v>0.24917841073609689</v>
      </c>
      <c r="E58" s="10">
        <f t="shared" si="2"/>
        <v>0.24974526725892643</v>
      </c>
      <c r="F58" s="10">
        <f t="shared" si="3"/>
        <v>0.24914464812291989</v>
      </c>
      <c r="G58" s="10">
        <f t="shared" si="4"/>
        <v>0.24919673929485614</v>
      </c>
      <c r="H58" s="10">
        <f t="shared" si="5"/>
        <v>0.24914497163025209</v>
      </c>
      <c r="I58" s="10">
        <f t="shared" si="6"/>
        <v>0.24781353420419369</v>
      </c>
      <c r="J58" s="10">
        <f t="shared" si="7"/>
        <v>0.24942082095816279</v>
      </c>
      <c r="K58" s="10">
        <f t="shared" si="8"/>
        <v>0.24812326198705259</v>
      </c>
      <c r="L58" s="10">
        <f t="shared" si="9"/>
        <v>0.24981661947678013</v>
      </c>
      <c r="N58" s="10">
        <f t="shared" si="10"/>
        <v>-0.16611764552562544</v>
      </c>
      <c r="O58" s="10">
        <f t="shared" si="11"/>
        <v>-0.16611894049073139</v>
      </c>
      <c r="P58" s="10">
        <f t="shared" si="12"/>
        <v>-0.16649684483928429</v>
      </c>
      <c r="Q58" s="10">
        <f t="shared" si="13"/>
        <v>-0.16609643208194658</v>
      </c>
      <c r="R58" s="10">
        <f t="shared" si="14"/>
        <v>-0.1661311595299047</v>
      </c>
      <c r="S58" s="10">
        <f t="shared" si="15"/>
        <v>-0.16609664775350097</v>
      </c>
      <c r="T58" s="10">
        <f t="shared" si="16"/>
        <v>-0.16520902280279631</v>
      </c>
      <c r="U58" s="10">
        <f t="shared" si="17"/>
        <v>-0.16628054730544084</v>
      </c>
      <c r="V58" s="10">
        <f t="shared" si="18"/>
        <v>-0.16541550799136792</v>
      </c>
      <c r="W58" s="10">
        <f t="shared" si="19"/>
        <v>-0.1665444129845205</v>
      </c>
    </row>
    <row r="59" spans="2:23" x14ac:dyDescent="0.25">
      <c r="B59" s="148" t="s">
        <v>1203</v>
      </c>
      <c r="C59" s="10">
        <f t="shared" si="0"/>
        <v>-2.1363443004072408E-3</v>
      </c>
      <c r="D59" s="10">
        <f t="shared" si="1"/>
        <v>-1.1452603050458882E-3</v>
      </c>
      <c r="E59" s="10">
        <f t="shared" si="2"/>
        <v>-6.0333278531741704E-4</v>
      </c>
      <c r="F59" s="10">
        <f t="shared" si="3"/>
        <v>-1.3235627738631365E-3</v>
      </c>
      <c r="G59" s="10">
        <f t="shared" si="4"/>
        <v>-9.1308152395071077E-4</v>
      </c>
      <c r="H59" s="10">
        <f t="shared" si="5"/>
        <v>-1.3187102016506988E-3</v>
      </c>
      <c r="I59" s="10">
        <f t="shared" si="6"/>
        <v>-3.0146706935757347E-3</v>
      </c>
      <c r="J59" s="10">
        <f t="shared" si="7"/>
        <v>-1.5459756824738285E-3</v>
      </c>
      <c r="K59" s="10">
        <f t="shared" si="8"/>
        <v>-3.4307841742822879E-3</v>
      </c>
      <c r="L59" s="10">
        <f t="shared" si="9"/>
        <v>-5.4853568495785915E-4</v>
      </c>
      <c r="N59" s="10">
        <f t="shared" si="10"/>
        <v>2.1363443004072408E-3</v>
      </c>
      <c r="O59" s="10">
        <f t="shared" si="11"/>
        <v>1.1452603050460097E-3</v>
      </c>
      <c r="P59" s="10">
        <f t="shared" si="12"/>
        <v>6.0333278531741704E-4</v>
      </c>
      <c r="Q59" s="10">
        <f t="shared" si="13"/>
        <v>1.3235627738629825E-3</v>
      </c>
      <c r="R59" s="10">
        <f t="shared" si="14"/>
        <v>9.1308152395071077E-4</v>
      </c>
      <c r="S59" s="10">
        <f t="shared" si="15"/>
        <v>1.3187102016506988E-3</v>
      </c>
      <c r="T59" s="10">
        <f t="shared" si="16"/>
        <v>3.0146706935756159E-3</v>
      </c>
      <c r="U59" s="10">
        <f t="shared" si="17"/>
        <v>1.5459756824738285E-3</v>
      </c>
      <c r="V59" s="10">
        <f t="shared" si="18"/>
        <v>3.4307841742824796E-3</v>
      </c>
      <c r="W59" s="10">
        <f t="shared" si="19"/>
        <v>5.4853568495785915E-4</v>
      </c>
    </row>
    <row r="60" spans="2:23" x14ac:dyDescent="0.25">
      <c r="B60" s="148" t="s">
        <v>1202</v>
      </c>
      <c r="C60" s="10">
        <f t="shared" si="0"/>
        <v>-5.0904492868538057E-2</v>
      </c>
      <c r="D60" s="10">
        <f t="shared" si="1"/>
        <v>-9.9632845326021076E-3</v>
      </c>
      <c r="E60" s="10">
        <f t="shared" si="2"/>
        <v>-8.2589170639412422E-3</v>
      </c>
      <c r="F60" s="10">
        <f t="shared" si="3"/>
        <v>-2.413962118906688E-2</v>
      </c>
      <c r="G60" s="10">
        <f t="shared" si="4"/>
        <v>-1.2440321306699639E-2</v>
      </c>
      <c r="H60" s="10">
        <f t="shared" si="5"/>
        <v>-1.1079437158833095E-2</v>
      </c>
      <c r="I60" s="10">
        <f t="shared" si="6"/>
        <v>-2.9623897837272532E-2</v>
      </c>
      <c r="J60" s="10">
        <f t="shared" si="7"/>
        <v>-2.9611732016289492E-2</v>
      </c>
      <c r="K60" s="10">
        <f t="shared" si="8"/>
        <v>-1.6603198961435188E-2</v>
      </c>
      <c r="L60" s="10">
        <f t="shared" si="9"/>
        <v>-7.6278386386308796E-3</v>
      </c>
      <c r="N60" s="10">
        <f t="shared" si="10"/>
        <v>5.0904492868538057E-2</v>
      </c>
      <c r="O60" s="10">
        <f t="shared" si="11"/>
        <v>9.9632845326021076E-3</v>
      </c>
      <c r="P60" s="10">
        <f t="shared" si="12"/>
        <v>8.2589170639412422E-3</v>
      </c>
      <c r="Q60" s="10">
        <f t="shared" si="13"/>
        <v>2.413962118906688E-2</v>
      </c>
      <c r="R60" s="10">
        <f t="shared" si="14"/>
        <v>1.2440321306699772E-2</v>
      </c>
      <c r="S60" s="10">
        <f t="shared" si="15"/>
        <v>1.1079437158833095E-2</v>
      </c>
      <c r="T60" s="10">
        <f t="shared" si="16"/>
        <v>2.9623897837272414E-2</v>
      </c>
      <c r="U60" s="10">
        <f t="shared" si="17"/>
        <v>2.9611732016290034E-2</v>
      </c>
      <c r="V60" s="10">
        <f t="shared" si="18"/>
        <v>1.6603198961435188E-2</v>
      </c>
      <c r="W60" s="10">
        <f t="shared" si="19"/>
        <v>7.627838638631014E-3</v>
      </c>
    </row>
    <row r="61" spans="2:23" x14ac:dyDescent="0.25">
      <c r="B61" s="148" t="s">
        <v>1201</v>
      </c>
      <c r="C61" s="10">
        <f t="shared" si="0"/>
        <v>-5.8020506013048267E-3</v>
      </c>
      <c r="D61" s="10">
        <f t="shared" si="1"/>
        <v>-2.2250546363070342E-3</v>
      </c>
      <c r="E61" s="10">
        <f t="shared" si="2"/>
        <v>-8.8064431657884699E-4</v>
      </c>
      <c r="F61" s="10">
        <f t="shared" si="3"/>
        <v>-3.1309429584846747E-3</v>
      </c>
      <c r="G61" s="10">
        <f t="shared" si="4"/>
        <v>-1.2605028624242838E-3</v>
      </c>
      <c r="H61" s="10">
        <f t="shared" si="5"/>
        <v>-2.5506909002601394E-3</v>
      </c>
      <c r="I61" s="10">
        <f t="shared" si="6"/>
        <v>-7.0742288052010717E-3</v>
      </c>
      <c r="J61" s="10">
        <f t="shared" si="7"/>
        <v>-2.2552009885888542E-3</v>
      </c>
      <c r="K61" s="10">
        <f t="shared" si="8"/>
        <v>-8.7695490745473195E-3</v>
      </c>
      <c r="L61" s="10">
        <f t="shared" si="9"/>
        <v>-1.2678613970172246E-3</v>
      </c>
      <c r="N61" s="10">
        <f t="shared" si="10"/>
        <v>5.8020506013050331E-3</v>
      </c>
      <c r="O61" s="10">
        <f t="shared" si="11"/>
        <v>2.2250546363070342E-3</v>
      </c>
      <c r="P61" s="10">
        <f t="shared" si="12"/>
        <v>8.8064431657884699E-4</v>
      </c>
      <c r="Q61" s="10">
        <f t="shared" si="13"/>
        <v>3.1309429584848287E-3</v>
      </c>
      <c r="R61" s="10">
        <f t="shared" si="14"/>
        <v>1.2605028624244172E-3</v>
      </c>
      <c r="S61" s="10">
        <f t="shared" si="15"/>
        <v>2.5506909002601394E-3</v>
      </c>
      <c r="T61" s="10">
        <f t="shared" si="16"/>
        <v>7.0742288052009529E-3</v>
      </c>
      <c r="U61" s="10">
        <f t="shared" si="17"/>
        <v>2.2552009885890702E-3</v>
      </c>
      <c r="V61" s="10">
        <f t="shared" si="18"/>
        <v>8.7695490745473195E-3</v>
      </c>
      <c r="W61" s="10">
        <f t="shared" si="19"/>
        <v>1.2678613970172246E-3</v>
      </c>
    </row>
    <row r="62" spans="2:23" x14ac:dyDescent="0.25">
      <c r="B62" s="148" t="s">
        <v>1164</v>
      </c>
      <c r="C62" s="10">
        <f t="shared" si="0"/>
        <v>-9.0898351658724567E-4</v>
      </c>
      <c r="D62" s="10">
        <f t="shared" si="1"/>
        <v>-4.7110974198858379E-4</v>
      </c>
      <c r="E62" s="10">
        <f t="shared" si="2"/>
        <v>-2.7139845186933156E-4</v>
      </c>
      <c r="F62" s="10">
        <f t="shared" si="3"/>
        <v>-6.0186527871043357E-4</v>
      </c>
      <c r="G62" s="10">
        <f t="shared" si="4"/>
        <v>-3.8622849193016708E-4</v>
      </c>
      <c r="H62" s="10">
        <f t="shared" si="5"/>
        <v>-5.0235083916013367E-4</v>
      </c>
      <c r="I62" s="10">
        <f t="shared" si="6"/>
        <v>-1.0065560347921113E-3</v>
      </c>
      <c r="J62" s="10">
        <f t="shared" si="7"/>
        <v>-6.1579927085076618E-4</v>
      </c>
      <c r="K62" s="10">
        <f t="shared" si="8"/>
        <v>-1.1178299763349316E-3</v>
      </c>
      <c r="L62" s="10">
        <f t="shared" si="9"/>
        <v>-2.0940578566867798E-4</v>
      </c>
      <c r="N62" s="10">
        <f t="shared" si="10"/>
        <v>9.0898351658745178E-4</v>
      </c>
      <c r="O62" s="10">
        <f t="shared" si="11"/>
        <v>4.7110974198858379E-4</v>
      </c>
      <c r="P62" s="10">
        <f t="shared" si="12"/>
        <v>2.7139845186952412E-4</v>
      </c>
      <c r="Q62" s="10">
        <f t="shared" si="13"/>
        <v>6.0186527871058753E-4</v>
      </c>
      <c r="R62" s="10">
        <f t="shared" si="14"/>
        <v>3.8622849193003383E-4</v>
      </c>
      <c r="S62" s="10">
        <f t="shared" si="15"/>
        <v>5.0235083916013367E-4</v>
      </c>
      <c r="T62" s="10">
        <f t="shared" si="16"/>
        <v>1.0065560347921113E-3</v>
      </c>
      <c r="U62" s="10">
        <f t="shared" si="17"/>
        <v>6.1579927085098215E-4</v>
      </c>
      <c r="V62" s="10">
        <f t="shared" si="18"/>
        <v>1.1178299763349316E-3</v>
      </c>
      <c r="W62" s="10">
        <f t="shared" si="19"/>
        <v>2.0940578566854367E-4</v>
      </c>
    </row>
    <row r="63" spans="2:23" x14ac:dyDescent="0.25">
      <c r="B63" s="148" t="s">
        <v>1273</v>
      </c>
      <c r="C63" s="10">
        <f t="shared" si="0"/>
        <v>-1.4164747107992105E-2</v>
      </c>
      <c r="D63" s="10">
        <f t="shared" si="1"/>
        <v>-2.0028476042147539E-2</v>
      </c>
      <c r="E63" s="10">
        <f t="shared" si="2"/>
        <v>-2.1657581853759014E-2</v>
      </c>
      <c r="F63" s="10">
        <f t="shared" si="3"/>
        <v>-1.7885588691220481E-2</v>
      </c>
      <c r="G63" s="10">
        <f t="shared" si="4"/>
        <v>-2.0566906821483308E-2</v>
      </c>
      <c r="H63" s="10">
        <f t="shared" si="5"/>
        <v>-1.9496884306345739E-2</v>
      </c>
      <c r="I63" s="10">
        <f t="shared" si="6"/>
        <v>-1.7472287909283221E-2</v>
      </c>
      <c r="J63" s="10">
        <f t="shared" si="7"/>
        <v>-1.2990015659078584E-2</v>
      </c>
      <c r="K63" s="10">
        <f t="shared" si="8"/>
        <v>-1.8088050410527787E-2</v>
      </c>
      <c r="L63" s="10">
        <f t="shared" si="9"/>
        <v>-2.18988629293548E-2</v>
      </c>
      <c r="N63" s="10">
        <f t="shared" si="10"/>
        <v>1.4164747107992311E-2</v>
      </c>
      <c r="O63" s="10">
        <f t="shared" si="11"/>
        <v>2.0028476042147539E-2</v>
      </c>
      <c r="P63" s="10">
        <f t="shared" si="12"/>
        <v>2.1657581853759204E-2</v>
      </c>
      <c r="Q63" s="10">
        <f t="shared" si="13"/>
        <v>1.7885588691220634E-2</v>
      </c>
      <c r="R63" s="10">
        <f t="shared" si="14"/>
        <v>2.0566906821483173E-2</v>
      </c>
      <c r="S63" s="10">
        <f t="shared" si="15"/>
        <v>1.9496884306345739E-2</v>
      </c>
      <c r="T63" s="10">
        <f t="shared" si="16"/>
        <v>1.7472287909282985E-2</v>
      </c>
      <c r="U63" s="10">
        <f t="shared" si="17"/>
        <v>1.2990015659078801E-2</v>
      </c>
      <c r="V63" s="10">
        <f t="shared" si="18"/>
        <v>1.8088050410527978E-2</v>
      </c>
      <c r="W63" s="10">
        <f t="shared" si="19"/>
        <v>2.18988629293548E-2</v>
      </c>
    </row>
    <row r="64" spans="2:23" x14ac:dyDescent="0.25">
      <c r="B64" s="148" t="s">
        <v>275</v>
      </c>
      <c r="C64" s="10">
        <f t="shared" si="0"/>
        <v>0.17434883564091322</v>
      </c>
      <c r="D64" s="10">
        <f t="shared" si="1"/>
        <v>0.23187170931509524</v>
      </c>
      <c r="E64" s="10">
        <f t="shared" si="2"/>
        <v>0.23718505045411942</v>
      </c>
      <c r="F64" s="10">
        <f t="shared" si="3"/>
        <v>0.21113102161881095</v>
      </c>
      <c r="G64" s="10">
        <f t="shared" si="4"/>
        <v>0.23038945899011515</v>
      </c>
      <c r="H64" s="10">
        <f t="shared" si="5"/>
        <v>0.22977451229805942</v>
      </c>
      <c r="I64" s="10">
        <f t="shared" si="6"/>
        <v>0.19681725736750602</v>
      </c>
      <c r="J64" s="10">
        <f t="shared" si="7"/>
        <v>0.20673751112904723</v>
      </c>
      <c r="K64" s="10">
        <f t="shared" si="8"/>
        <v>0.21063233189879993</v>
      </c>
      <c r="L64" s="10">
        <f t="shared" si="9"/>
        <v>0.23770665911175085</v>
      </c>
      <c r="N64" s="10">
        <f t="shared" si="10"/>
        <v>-0.11623255709394222</v>
      </c>
      <c r="O64" s="10">
        <f t="shared" si="11"/>
        <v>-0.15458113954339686</v>
      </c>
      <c r="P64" s="10">
        <f t="shared" si="12"/>
        <v>-0.15812336696941295</v>
      </c>
      <c r="Q64" s="10">
        <f t="shared" si="13"/>
        <v>-0.14075401441254062</v>
      </c>
      <c r="R64" s="10">
        <f t="shared" si="14"/>
        <v>-0.15359297266007721</v>
      </c>
      <c r="S64" s="10">
        <f t="shared" si="15"/>
        <v>-0.15318300819870587</v>
      </c>
      <c r="T64" s="10">
        <f t="shared" si="16"/>
        <v>-0.13121150491167113</v>
      </c>
      <c r="U64" s="10">
        <f t="shared" si="17"/>
        <v>-0.13782500741936388</v>
      </c>
      <c r="V64" s="10">
        <f t="shared" si="18"/>
        <v>-0.14042155459919933</v>
      </c>
      <c r="W64" s="10">
        <f t="shared" si="19"/>
        <v>-0.15847110607450085</v>
      </c>
    </row>
    <row r="65" spans="2:23" x14ac:dyDescent="0.25">
      <c r="B65" s="148" t="s">
        <v>978</v>
      </c>
      <c r="C65" s="10">
        <f t="shared" si="0"/>
        <v>-1.0121500438456795E-2</v>
      </c>
      <c r="D65" s="10">
        <f t="shared" si="1"/>
        <v>-1.431146122812435E-2</v>
      </c>
      <c r="E65" s="10">
        <f t="shared" si="2"/>
        <v>-1.5475548031849598E-2</v>
      </c>
      <c r="F65" s="10">
        <f t="shared" si="3"/>
        <v>-1.2780248909499033E-2</v>
      </c>
      <c r="G65" s="10">
        <f t="shared" si="4"/>
        <v>-1.4696199997378622E-2</v>
      </c>
      <c r="H65" s="10">
        <f t="shared" si="5"/>
        <v>-1.3931609336242523E-2</v>
      </c>
      <c r="I65" s="10">
        <f t="shared" si="6"/>
        <v>-1.2484922490064948E-2</v>
      </c>
      <c r="J65" s="10">
        <f t="shared" si="7"/>
        <v>-9.2820894144124491E-3</v>
      </c>
      <c r="K65" s="10">
        <f t="shared" si="8"/>
        <v>-1.2924919080107468E-2</v>
      </c>
      <c r="L65" s="10">
        <f t="shared" si="9"/>
        <v>-1.5647956793814255E-2</v>
      </c>
      <c r="N65" s="10">
        <f t="shared" si="10"/>
        <v>1.0121500438456795E-2</v>
      </c>
      <c r="O65" s="10">
        <f t="shared" si="11"/>
        <v>1.4311461228124472E-2</v>
      </c>
      <c r="P65" s="10">
        <f t="shared" si="12"/>
        <v>1.5475548031849791E-2</v>
      </c>
      <c r="Q65" s="10">
        <f t="shared" si="13"/>
        <v>1.2780248909499033E-2</v>
      </c>
      <c r="R65" s="10">
        <f t="shared" si="14"/>
        <v>1.4696199997378489E-2</v>
      </c>
      <c r="S65" s="10">
        <f t="shared" si="15"/>
        <v>1.3931609336242523E-2</v>
      </c>
      <c r="T65" s="10">
        <f t="shared" si="16"/>
        <v>1.248492249006471E-2</v>
      </c>
      <c r="U65" s="10">
        <f t="shared" si="17"/>
        <v>9.282089414412666E-3</v>
      </c>
      <c r="V65" s="10">
        <f t="shared" si="18"/>
        <v>1.292491908010766E-2</v>
      </c>
      <c r="W65" s="10">
        <f t="shared" si="19"/>
        <v>1.5647956793814526E-2</v>
      </c>
    </row>
    <row r="66" spans="2:23" x14ac:dyDescent="0.25">
      <c r="B66" s="148" t="s">
        <v>979</v>
      </c>
      <c r="C66" s="10">
        <f t="shared" si="0"/>
        <v>-3.077824470216559E-4</v>
      </c>
      <c r="D66" s="10">
        <f t="shared" si="1"/>
        <v>-4.3519402918889232E-4</v>
      </c>
      <c r="E66" s="10">
        <f t="shared" si="2"/>
        <v>-4.7059248489954888E-4</v>
      </c>
      <c r="F66" s="10">
        <f t="shared" si="3"/>
        <v>-3.8863173566304167E-4</v>
      </c>
      <c r="G66" s="10">
        <f t="shared" si="4"/>
        <v>-4.468934645232344E-4</v>
      </c>
      <c r="H66" s="10">
        <f t="shared" si="5"/>
        <v>-4.2364319781768288E-4</v>
      </c>
      <c r="I66" s="10">
        <f t="shared" si="6"/>
        <v>-3.7965122051181036E-4</v>
      </c>
      <c r="J66" s="10">
        <f t="shared" si="7"/>
        <v>-2.8225698460560607E-4</v>
      </c>
      <c r="K66" s="10">
        <f t="shared" si="8"/>
        <v>-3.9303097858093503E-4</v>
      </c>
      <c r="L66" s="10">
        <f t="shared" si="9"/>
        <v>-4.7583522444861895E-4</v>
      </c>
      <c r="N66" s="10">
        <f t="shared" si="10"/>
        <v>3.0778244702186195E-4</v>
      </c>
      <c r="O66" s="10">
        <f t="shared" si="11"/>
        <v>4.3519402918901369E-4</v>
      </c>
      <c r="P66" s="10">
        <f t="shared" si="12"/>
        <v>4.7059248489974144E-4</v>
      </c>
      <c r="Q66" s="10">
        <f t="shared" si="13"/>
        <v>3.8863173566334959E-4</v>
      </c>
      <c r="R66" s="10">
        <f t="shared" si="14"/>
        <v>4.4689346452310116E-4</v>
      </c>
      <c r="S66" s="10">
        <f t="shared" si="15"/>
        <v>4.2364319781750518E-4</v>
      </c>
      <c r="T66" s="10">
        <f t="shared" si="16"/>
        <v>3.7965122051157287E-4</v>
      </c>
      <c r="U66" s="10">
        <f t="shared" si="17"/>
        <v>2.8225698460560607E-4</v>
      </c>
      <c r="V66" s="10">
        <f t="shared" si="18"/>
        <v>3.9303097858093503E-4</v>
      </c>
      <c r="W66" s="10">
        <f t="shared" si="19"/>
        <v>4.7583522444888756E-4</v>
      </c>
    </row>
    <row r="67" spans="2:23" x14ac:dyDescent="0.25">
      <c r="B67" s="148" t="s">
        <v>1274</v>
      </c>
      <c r="C67" s="10">
        <f t="shared" si="0"/>
        <v>-3.524266461322458E-3</v>
      </c>
      <c r="D67" s="10">
        <f t="shared" si="1"/>
        <v>-4.983194253211462E-3</v>
      </c>
      <c r="E67" s="10">
        <f t="shared" si="2"/>
        <v>-5.3885246788120972E-3</v>
      </c>
      <c r="F67" s="10">
        <f t="shared" si="3"/>
        <v>-4.4500321738825833E-3</v>
      </c>
      <c r="G67" s="10">
        <f t="shared" si="4"/>
        <v>-5.1171587725135359E-3</v>
      </c>
      <c r="H67" s="10">
        <f t="shared" si="5"/>
        <v>-4.850931325301973E-3</v>
      </c>
      <c r="I67" s="10">
        <f t="shared" si="6"/>
        <v>-4.3472006815082672E-3</v>
      </c>
      <c r="J67" s="10">
        <f t="shared" si="7"/>
        <v>-3.2319868593710366E-3</v>
      </c>
      <c r="K67" s="10">
        <f t="shared" si="8"/>
        <v>-4.5004057556781258E-3</v>
      </c>
      <c r="L67" s="10">
        <f t="shared" si="9"/>
        <v>-5.4485567285191376E-3</v>
      </c>
      <c r="N67" s="10">
        <f t="shared" si="10"/>
        <v>3.524266461322458E-3</v>
      </c>
      <c r="O67" s="10">
        <f t="shared" si="11"/>
        <v>4.983194253211462E-3</v>
      </c>
      <c r="P67" s="10">
        <f t="shared" si="12"/>
        <v>5.3885246788122898E-3</v>
      </c>
      <c r="Q67" s="10">
        <f t="shared" si="13"/>
        <v>4.4500321738827377E-3</v>
      </c>
      <c r="R67" s="10">
        <f t="shared" si="14"/>
        <v>5.1171587725135359E-3</v>
      </c>
      <c r="S67" s="10">
        <f t="shared" si="15"/>
        <v>4.8509313253017952E-3</v>
      </c>
      <c r="T67" s="10">
        <f t="shared" si="16"/>
        <v>4.3472006815082672E-3</v>
      </c>
      <c r="U67" s="10">
        <f t="shared" si="17"/>
        <v>3.2319868593710366E-3</v>
      </c>
      <c r="V67" s="10">
        <f t="shared" si="18"/>
        <v>4.5004057556781258E-3</v>
      </c>
      <c r="W67" s="10">
        <f t="shared" si="19"/>
        <v>5.4485567285191376E-3</v>
      </c>
    </row>
    <row r="68" spans="2:23" x14ac:dyDescent="0.25">
      <c r="B68" s="148" t="s">
        <v>1275</v>
      </c>
      <c r="C68" s="10">
        <f t="shared" si="0"/>
        <v>-8.4787576136593785E-4</v>
      </c>
      <c r="D68" s="10">
        <f t="shared" si="1"/>
        <v>-1.1988678120244309E-3</v>
      </c>
      <c r="E68" s="10">
        <f t="shared" si="2"/>
        <v>-1.2963830955543413E-3</v>
      </c>
      <c r="F68" s="10">
        <f t="shared" si="3"/>
        <v>-1.0705985086377355E-3</v>
      </c>
      <c r="G68" s="10">
        <f t="shared" si="4"/>
        <v>-1.2310972901430799E-3</v>
      </c>
      <c r="H68" s="10">
        <f t="shared" si="5"/>
        <v>-1.1670477064982373E-3</v>
      </c>
      <c r="I68" s="10">
        <f t="shared" si="6"/>
        <v>-1.0458590824775557E-3</v>
      </c>
      <c r="J68" s="10">
        <f t="shared" si="7"/>
        <v>-7.7755849314696502E-4</v>
      </c>
      <c r="K68" s="10">
        <f t="shared" si="8"/>
        <v>-1.082717495521004E-3</v>
      </c>
      <c r="L68" s="10">
        <f t="shared" si="9"/>
        <v>-1.3108257378488485E-3</v>
      </c>
      <c r="N68" s="10">
        <f t="shared" si="10"/>
        <v>8.4787576136614385E-4</v>
      </c>
      <c r="O68" s="10">
        <f t="shared" si="11"/>
        <v>1.1988678120244309E-3</v>
      </c>
      <c r="P68" s="10">
        <f t="shared" si="12"/>
        <v>1.2963830955543413E-3</v>
      </c>
      <c r="Q68" s="10">
        <f t="shared" si="13"/>
        <v>1.0705985086378895E-3</v>
      </c>
      <c r="R68" s="10">
        <f t="shared" si="14"/>
        <v>1.2310972901429466E-3</v>
      </c>
      <c r="S68" s="10">
        <f t="shared" si="15"/>
        <v>1.1670477064980598E-3</v>
      </c>
      <c r="T68" s="10">
        <f t="shared" si="16"/>
        <v>1.0458590824773183E-3</v>
      </c>
      <c r="U68" s="10">
        <f t="shared" si="17"/>
        <v>7.7755849314696502E-4</v>
      </c>
      <c r="V68" s="10">
        <f t="shared" si="18"/>
        <v>1.082717495521004E-3</v>
      </c>
      <c r="W68" s="10">
        <f t="shared" si="19"/>
        <v>1.3108257378491169E-3</v>
      </c>
    </row>
    <row r="69" spans="2:23" x14ac:dyDescent="0.25">
      <c r="B69" s="148" t="s">
        <v>1073</v>
      </c>
      <c r="C69" s="10">
        <f t="shared" si="0"/>
        <v>-1.1023483118237228E-4</v>
      </c>
      <c r="D69" s="10">
        <f t="shared" si="1"/>
        <v>-4.0651920857846377E-5</v>
      </c>
      <c r="E69" s="10">
        <f t="shared" si="2"/>
        <v>-3.3880826138617017E-5</v>
      </c>
      <c r="F69" s="10">
        <f t="shared" si="3"/>
        <v>-1.2149090031617845E-3</v>
      </c>
      <c r="G69" s="10">
        <f t="shared" si="4"/>
        <v>-4.5690058788023011E-5</v>
      </c>
      <c r="H69" s="10">
        <f t="shared" si="5"/>
        <v>-4.517836585014466E-5</v>
      </c>
      <c r="I69" s="10">
        <f t="shared" si="6"/>
        <v>-7.766809850867778E-5</v>
      </c>
      <c r="J69" s="10">
        <f t="shared" si="7"/>
        <v>-1.1793990508861515E-4</v>
      </c>
      <c r="K69" s="10">
        <f t="shared" si="8"/>
        <v>-7.138188400226329E-5</v>
      </c>
      <c r="L69" s="10">
        <f t="shared" si="9"/>
        <v>-3.4326785748609213E-5</v>
      </c>
      <c r="N69" s="10">
        <f t="shared" si="10"/>
        <v>1.1023483118257837E-4</v>
      </c>
      <c r="O69" s="10">
        <f t="shared" si="11"/>
        <v>4.0651920857846377E-5</v>
      </c>
      <c r="P69" s="10">
        <f t="shared" si="12"/>
        <v>3.3880826138617017E-5</v>
      </c>
      <c r="Q69" s="10">
        <f t="shared" si="13"/>
        <v>1.2149090031617845E-3</v>
      </c>
      <c r="R69" s="10">
        <f t="shared" si="14"/>
        <v>4.5690058788156246E-5</v>
      </c>
      <c r="S69" s="10">
        <f t="shared" si="15"/>
        <v>4.517836584996696E-5</v>
      </c>
      <c r="T69" s="10">
        <f t="shared" si="16"/>
        <v>7.766809850867778E-5</v>
      </c>
      <c r="U69" s="10">
        <f t="shared" si="17"/>
        <v>1.1793990508861515E-4</v>
      </c>
      <c r="V69" s="10">
        <f t="shared" si="18"/>
        <v>7.138188400245495E-5</v>
      </c>
      <c r="W69" s="10">
        <f t="shared" si="19"/>
        <v>3.4326785748877797E-5</v>
      </c>
    </row>
    <row r="70" spans="2:23" x14ac:dyDescent="0.25">
      <c r="B70" s="148" t="s">
        <v>546</v>
      </c>
      <c r="C70" s="10">
        <f t="shared" si="0"/>
        <v>-7.5462086135880416E-2</v>
      </c>
      <c r="D70" s="10">
        <f t="shared" si="1"/>
        <v>-0.10670085196298185</v>
      </c>
      <c r="E70" s="10">
        <f t="shared" si="2"/>
        <v>-0.11537984369809989</v>
      </c>
      <c r="F70" s="10">
        <f t="shared" si="3"/>
        <v>-9.5284710988329274E-2</v>
      </c>
      <c r="G70" s="10">
        <f t="shared" si="4"/>
        <v>-0.10956931897751243</v>
      </c>
      <c r="H70" s="10">
        <f t="shared" si="5"/>
        <v>-0.10386881966121504</v>
      </c>
      <c r="I70" s="10">
        <f t="shared" si="6"/>
        <v>-9.3082868698537477E-2</v>
      </c>
      <c r="J70" s="10">
        <f t="shared" si="7"/>
        <v>-6.9203754440397738E-2</v>
      </c>
      <c r="K70" s="10">
        <f t="shared" si="8"/>
        <v>-9.6363317163583262E-2</v>
      </c>
      <c r="L70" s="10">
        <f t="shared" si="9"/>
        <v>-0.11666525833845616</v>
      </c>
      <c r="N70" s="10">
        <f t="shared" si="10"/>
        <v>7.5462086135880319E-2</v>
      </c>
      <c r="O70" s="10">
        <f t="shared" si="11"/>
        <v>0.10670085196298208</v>
      </c>
      <c r="P70" s="10">
        <f t="shared" si="12"/>
        <v>0.11537984369809989</v>
      </c>
      <c r="Q70" s="10">
        <f t="shared" si="13"/>
        <v>9.5284710988329427E-2</v>
      </c>
      <c r="R70" s="10">
        <f t="shared" si="14"/>
        <v>0.10956931897751243</v>
      </c>
      <c r="S70" s="10">
        <f t="shared" si="15"/>
        <v>0.10386881966121504</v>
      </c>
      <c r="T70" s="10">
        <f t="shared" si="16"/>
        <v>9.3082868698537241E-2</v>
      </c>
      <c r="U70" s="10">
        <f t="shared" si="17"/>
        <v>6.9203754440398058E-2</v>
      </c>
      <c r="V70" s="10">
        <f t="shared" si="18"/>
        <v>9.6363317163583262E-2</v>
      </c>
      <c r="W70" s="10">
        <f t="shared" si="19"/>
        <v>0.11666525833845616</v>
      </c>
    </row>
    <row r="71" spans="2:23" x14ac:dyDescent="0.25">
      <c r="B71" s="148" t="s">
        <v>1096</v>
      </c>
      <c r="C71" s="10">
        <f t="shared" si="0"/>
        <v>-9.2817217977350338E-6</v>
      </c>
      <c r="D71" s="10">
        <f t="shared" si="1"/>
        <v>-1.3124042472360461E-5</v>
      </c>
      <c r="E71" s="10">
        <f t="shared" si="2"/>
        <v>-1.4191545252912135E-5</v>
      </c>
      <c r="F71" s="10">
        <f t="shared" si="3"/>
        <v>-1.1719874499451525E-5</v>
      </c>
      <c r="G71" s="10">
        <f t="shared" si="4"/>
        <v>-1.3476859551595098E-5</v>
      </c>
      <c r="H71" s="10">
        <f t="shared" si="5"/>
        <v>-1.2775706807389049E-5</v>
      </c>
      <c r="I71" s="10">
        <f t="shared" si="6"/>
        <v>-1.1449051247242874E-5</v>
      </c>
      <c r="J71" s="10">
        <f t="shared" si="7"/>
        <v>-8.5119565195112974E-6</v>
      </c>
      <c r="K71" s="10">
        <f t="shared" si="8"/>
        <v>-1.1852541418027012E-5</v>
      </c>
      <c r="L71" s="10">
        <f t="shared" si="9"/>
        <v>-1.4349649298199812E-5</v>
      </c>
      <c r="N71" s="10">
        <f t="shared" si="10"/>
        <v>9.2817217977350338E-6</v>
      </c>
      <c r="O71" s="10">
        <f t="shared" si="11"/>
        <v>1.3124042472360461E-5</v>
      </c>
      <c r="P71" s="10">
        <f t="shared" si="12"/>
        <v>1.4191545252719564E-5</v>
      </c>
      <c r="Q71" s="10">
        <f t="shared" si="13"/>
        <v>1.171987449929757E-5</v>
      </c>
      <c r="R71" s="10">
        <f t="shared" si="14"/>
        <v>1.3476859551461858E-5</v>
      </c>
      <c r="S71" s="10">
        <f t="shared" si="15"/>
        <v>1.2775706807566752E-5</v>
      </c>
      <c r="T71" s="10">
        <f t="shared" si="16"/>
        <v>1.1449051247242874E-5</v>
      </c>
      <c r="U71" s="10">
        <f t="shared" si="17"/>
        <v>8.5119565197273213E-6</v>
      </c>
      <c r="V71" s="10">
        <f t="shared" si="18"/>
        <v>1.1852541418027012E-5</v>
      </c>
      <c r="W71" s="10">
        <f t="shared" si="19"/>
        <v>1.4349649298199812E-5</v>
      </c>
    </row>
    <row r="72" spans="2:23" x14ac:dyDescent="0.25">
      <c r="B72" s="148" t="s">
        <v>538</v>
      </c>
      <c r="C72" s="10">
        <f t="shared" si="0"/>
        <v>-9.7792305788181074E-5</v>
      </c>
      <c r="D72" s="10">
        <f t="shared" si="1"/>
        <v>-1.3827503157334156E-4</v>
      </c>
      <c r="E72" s="10">
        <f t="shared" si="2"/>
        <v>-1.4952225063604205E-4</v>
      </c>
      <c r="F72" s="10">
        <f t="shared" si="3"/>
        <v>-1.2348070496136967E-4</v>
      </c>
      <c r="G72" s="10">
        <f t="shared" si="4"/>
        <v>-1.4199231554724468E-4</v>
      </c>
      <c r="H72" s="10">
        <f t="shared" si="5"/>
        <v>-1.3460496382087207E-4</v>
      </c>
      <c r="I72" s="10">
        <f t="shared" si="6"/>
        <v>-1.2062730869952289E-4</v>
      </c>
      <c r="J72" s="10">
        <f t="shared" si="7"/>
        <v>-8.9682051775444595E-5</v>
      </c>
      <c r="K72" s="10">
        <f t="shared" si="8"/>
        <v>-1.2487848483096626E-4</v>
      </c>
      <c r="L72" s="10">
        <f t="shared" si="9"/>
        <v>-1.5118803630395118E-4</v>
      </c>
      <c r="N72" s="10">
        <f t="shared" si="10"/>
        <v>9.7792305788181074E-5</v>
      </c>
      <c r="O72" s="10">
        <f t="shared" si="11"/>
        <v>1.3827503157334156E-4</v>
      </c>
      <c r="P72" s="10">
        <f t="shared" si="12"/>
        <v>1.4952225063584947E-4</v>
      </c>
      <c r="Q72" s="10">
        <f t="shared" si="13"/>
        <v>1.2348070496136967E-4</v>
      </c>
      <c r="R72" s="10">
        <f t="shared" si="14"/>
        <v>1.4199231554724468E-4</v>
      </c>
      <c r="S72" s="10">
        <f t="shared" si="15"/>
        <v>1.3460496382087207E-4</v>
      </c>
      <c r="T72" s="10">
        <f t="shared" si="16"/>
        <v>1.2062730869928538E-4</v>
      </c>
      <c r="U72" s="10">
        <f t="shared" si="17"/>
        <v>8.9682051775660622E-5</v>
      </c>
      <c r="V72" s="10">
        <f t="shared" si="18"/>
        <v>1.2487848483096626E-4</v>
      </c>
      <c r="W72" s="10">
        <f t="shared" si="19"/>
        <v>1.5118803630421977E-4</v>
      </c>
    </row>
    <row r="73" spans="2:23" x14ac:dyDescent="0.25">
      <c r="B73" s="148" t="s">
        <v>559</v>
      </c>
      <c r="C73" s="10">
        <f t="shared" si="0"/>
        <v>-6.5882536924964012E-4</v>
      </c>
      <c r="D73" s="10">
        <f t="shared" si="1"/>
        <v>-6.57271411122211E-4</v>
      </c>
      <c r="E73" s="10">
        <f t="shared" si="2"/>
        <v>-2.0378619285896913E-4</v>
      </c>
      <c r="F73" s="10">
        <f t="shared" si="3"/>
        <v>-6.8428150166406122E-4</v>
      </c>
      <c r="G73" s="10">
        <f t="shared" si="4"/>
        <v>-6.4260856411461344E-4</v>
      </c>
      <c r="H73" s="10">
        <f t="shared" si="5"/>
        <v>-6.8402269579854297E-4</v>
      </c>
      <c r="I73" s="10">
        <f t="shared" si="6"/>
        <v>-1.7491726366447116E-3</v>
      </c>
      <c r="J73" s="10">
        <f t="shared" si="7"/>
        <v>-4.6334323347046758E-4</v>
      </c>
      <c r="K73" s="10">
        <f t="shared" si="8"/>
        <v>-1.5013904103582316E-3</v>
      </c>
      <c r="L73" s="10">
        <f t="shared" si="9"/>
        <v>-1.467044185756868E-4</v>
      </c>
      <c r="N73" s="10">
        <f t="shared" si="10"/>
        <v>6.5882536924943402E-4</v>
      </c>
      <c r="O73" s="10">
        <f t="shared" si="11"/>
        <v>6.5727141112233232E-4</v>
      </c>
      <c r="P73" s="10">
        <f t="shared" si="12"/>
        <v>2.0378619285877655E-4</v>
      </c>
      <c r="Q73" s="10">
        <f t="shared" si="13"/>
        <v>6.8428150166390726E-4</v>
      </c>
      <c r="R73" s="10">
        <f t="shared" si="14"/>
        <v>6.426085641144802E-4</v>
      </c>
      <c r="S73" s="10">
        <f t="shared" si="15"/>
        <v>6.8402269579854297E-4</v>
      </c>
      <c r="T73" s="10">
        <f t="shared" si="16"/>
        <v>1.7491726366447116E-3</v>
      </c>
      <c r="U73" s="10">
        <f t="shared" si="17"/>
        <v>4.6334323347046758E-4</v>
      </c>
      <c r="V73" s="10">
        <f t="shared" si="18"/>
        <v>1.5013904103582316E-3</v>
      </c>
      <c r="W73" s="10">
        <f t="shared" si="19"/>
        <v>1.467044185756868E-4</v>
      </c>
    </row>
    <row r="74" spans="2:23" x14ac:dyDescent="0.25">
      <c r="B74" s="148" t="s">
        <v>558</v>
      </c>
      <c r="C74" s="10">
        <f t="shared" si="0"/>
        <v>-2.0508052041053201E-2</v>
      </c>
      <c r="D74" s="10">
        <f t="shared" si="1"/>
        <v>-1.7567934169021401E-2</v>
      </c>
      <c r="E74" s="10">
        <f t="shared" si="2"/>
        <v>-8.1792227541240062E-3</v>
      </c>
      <c r="F74" s="10">
        <f t="shared" si="3"/>
        <v>-1.8859080257140858E-2</v>
      </c>
      <c r="G74" s="10">
        <f t="shared" si="4"/>
        <v>-1.1837645805485256E-2</v>
      </c>
      <c r="H74" s="10">
        <f t="shared" si="5"/>
        <v>-2.0326136234002801E-2</v>
      </c>
      <c r="I74" s="10">
        <f t="shared" si="6"/>
        <v>-1.091842691402121E-2</v>
      </c>
      <c r="J74" s="10">
        <f t="shared" si="7"/>
        <v>-5.6336914323599198E-2</v>
      </c>
      <c r="K74" s="10">
        <f t="shared" si="8"/>
        <v>-1.6806091737562572E-2</v>
      </c>
      <c r="L74" s="10">
        <f t="shared" si="9"/>
        <v>-6.5586913051112602E-3</v>
      </c>
      <c r="N74" s="10">
        <f t="shared" si="10"/>
        <v>2.050805204105341E-2</v>
      </c>
      <c r="O74" s="10">
        <f t="shared" si="11"/>
        <v>1.7567934169021523E-2</v>
      </c>
      <c r="P74" s="10">
        <f t="shared" si="12"/>
        <v>8.1792227541241987E-3</v>
      </c>
      <c r="Q74" s="10">
        <f t="shared" si="13"/>
        <v>1.8859080257140705E-2</v>
      </c>
      <c r="R74" s="10">
        <f t="shared" si="14"/>
        <v>1.1837645805485256E-2</v>
      </c>
      <c r="S74" s="10">
        <f t="shared" si="15"/>
        <v>2.0326136234002982E-2</v>
      </c>
      <c r="T74" s="10">
        <f t="shared" si="16"/>
        <v>1.0918426914020972E-2</v>
      </c>
      <c r="U74" s="10">
        <f t="shared" si="17"/>
        <v>5.6336914323599739E-2</v>
      </c>
      <c r="V74" s="10">
        <f t="shared" si="18"/>
        <v>1.6806091737562767E-2</v>
      </c>
      <c r="W74" s="10">
        <f t="shared" si="19"/>
        <v>6.5586913051112602E-3</v>
      </c>
    </row>
    <row r="75" spans="2:23" x14ac:dyDescent="0.25">
      <c r="B75" s="148" t="s">
        <v>1045</v>
      </c>
      <c r="C75" s="10">
        <f t="shared" si="0"/>
        <v>-3.8668725405557191E-4</v>
      </c>
      <c r="D75" s="10">
        <f t="shared" si="1"/>
        <v>-2.5517982820976446E-4</v>
      </c>
      <c r="E75" s="10">
        <f t="shared" si="2"/>
        <v>-2.5602769323461005E-4</v>
      </c>
      <c r="F75" s="10">
        <f t="shared" si="3"/>
        <v>-3.1129268528267611E-4</v>
      </c>
      <c r="G75" s="10">
        <f t="shared" si="4"/>
        <v>-2.9203695813001009E-4</v>
      </c>
      <c r="H75" s="10">
        <f t="shared" si="5"/>
        <v>-2.6959606715493318E-4</v>
      </c>
      <c r="I75" s="10">
        <f t="shared" si="6"/>
        <v>-2.6100317764829445E-4</v>
      </c>
      <c r="J75" s="10">
        <f t="shared" si="7"/>
        <v>-3.0337376117706339E-4</v>
      </c>
      <c r="K75" s="10">
        <f t="shared" si="8"/>
        <v>-2.70361845366641E-4</v>
      </c>
      <c r="L75" s="10">
        <f t="shared" si="9"/>
        <v>-2.7389087365135395E-4</v>
      </c>
      <c r="N75" s="10">
        <f t="shared" si="10"/>
        <v>3.8668725405557191E-4</v>
      </c>
      <c r="O75" s="10">
        <f t="shared" si="11"/>
        <v>2.5517982820976446E-4</v>
      </c>
      <c r="P75" s="10">
        <f t="shared" si="12"/>
        <v>2.560276932344175E-4</v>
      </c>
      <c r="Q75" s="10">
        <f t="shared" si="13"/>
        <v>3.1129268528283006E-4</v>
      </c>
      <c r="R75" s="10">
        <f t="shared" si="14"/>
        <v>2.9203695812987684E-4</v>
      </c>
      <c r="S75" s="10">
        <f t="shared" si="15"/>
        <v>2.6959606715511088E-4</v>
      </c>
      <c r="T75" s="10">
        <f t="shared" si="16"/>
        <v>2.6100317764805696E-4</v>
      </c>
      <c r="U75" s="10">
        <f t="shared" si="17"/>
        <v>3.0337376117706339E-4</v>
      </c>
      <c r="V75" s="10">
        <f t="shared" si="18"/>
        <v>2.7036184536683268E-4</v>
      </c>
      <c r="W75" s="10">
        <f t="shared" si="19"/>
        <v>2.7389087365162256E-4</v>
      </c>
    </row>
    <row r="76" spans="2:23" s="31" customFormat="1" x14ac:dyDescent="0.25">
      <c r="B76" s="148" t="s">
        <v>1079</v>
      </c>
      <c r="C76" s="10">
        <f t="shared" si="0"/>
        <v>-6.5423865445338847E-5</v>
      </c>
      <c r="D76" s="10">
        <f t="shared" si="1"/>
        <v>-9.2507145497490928E-5</v>
      </c>
      <c r="E76" s="10">
        <f t="shared" si="2"/>
        <v>-1.0003162853997391E-4</v>
      </c>
      <c r="F76" s="10">
        <f t="shared" si="3"/>
        <v>-8.2609618020082045E-5</v>
      </c>
      <c r="G76" s="10">
        <f t="shared" si="4"/>
        <v>-9.4994039374979113E-5</v>
      </c>
      <c r="H76" s="10">
        <f t="shared" si="5"/>
        <v>-9.0051839664675459E-5</v>
      </c>
      <c r="I76" s="10">
        <f t="shared" si="6"/>
        <v>-8.0700672202726326E-5</v>
      </c>
      <c r="J76" s="10">
        <f t="shared" si="7"/>
        <v>-5.9998038096380458E-5</v>
      </c>
      <c r="K76" s="10">
        <f t="shared" si="8"/>
        <v>-8.3544744371435501E-5</v>
      </c>
      <c r="L76" s="10">
        <f t="shared" si="9"/>
        <v>-1.0114605299841623E-4</v>
      </c>
      <c r="N76" s="10">
        <f t="shared" si="10"/>
        <v>6.5423865445132754E-5</v>
      </c>
      <c r="O76" s="10">
        <f t="shared" si="11"/>
        <v>9.2507145497612304E-5</v>
      </c>
      <c r="P76" s="10">
        <f t="shared" si="12"/>
        <v>1.0003162854016648E-4</v>
      </c>
      <c r="Q76" s="10">
        <f t="shared" si="13"/>
        <v>8.2609618020236002E-5</v>
      </c>
      <c r="R76" s="10">
        <f t="shared" si="14"/>
        <v>9.4994039374979113E-5</v>
      </c>
      <c r="S76" s="10">
        <f t="shared" si="15"/>
        <v>9.0051839664675459E-5</v>
      </c>
      <c r="T76" s="10">
        <f t="shared" si="16"/>
        <v>8.0700672202845073E-5</v>
      </c>
      <c r="U76" s="10">
        <f t="shared" si="17"/>
        <v>5.9998038096380458E-5</v>
      </c>
      <c r="V76" s="10">
        <f t="shared" si="18"/>
        <v>8.3544744371627161E-5</v>
      </c>
      <c r="W76" s="10">
        <f t="shared" si="19"/>
        <v>1.0114605299841623E-4</v>
      </c>
    </row>
    <row r="77" spans="2:23" s="31" customFormat="1" x14ac:dyDescent="0.25">
      <c r="B77" s="148" t="s">
        <v>1135</v>
      </c>
      <c r="C77" s="10">
        <f t="shared" si="0"/>
        <v>0</v>
      </c>
      <c r="D77" s="10">
        <f t="shared" si="1"/>
        <v>0</v>
      </c>
      <c r="E77" s="10">
        <f t="shared" si="2"/>
        <v>0</v>
      </c>
      <c r="F77" s="10">
        <f t="shared" si="3"/>
        <v>0</v>
      </c>
      <c r="G77" s="10">
        <f t="shared" si="4"/>
        <v>0</v>
      </c>
      <c r="H77" s="10">
        <f t="shared" si="5"/>
        <v>0</v>
      </c>
      <c r="I77" s="10">
        <f t="shared" si="6"/>
        <v>0</v>
      </c>
      <c r="J77" s="10">
        <f t="shared" si="7"/>
        <v>0</v>
      </c>
      <c r="K77" s="10">
        <f t="shared" si="8"/>
        <v>0</v>
      </c>
      <c r="L77" s="10">
        <f t="shared" si="9"/>
        <v>0</v>
      </c>
      <c r="N77" s="10">
        <f t="shared" si="10"/>
        <v>0</v>
      </c>
      <c r="O77" s="10">
        <f t="shared" si="11"/>
        <v>0</v>
      </c>
      <c r="P77" s="10">
        <f t="shared" si="12"/>
        <v>0</v>
      </c>
      <c r="Q77" s="10">
        <f t="shared" si="13"/>
        <v>0</v>
      </c>
      <c r="R77" s="10">
        <f t="shared" si="14"/>
        <v>0</v>
      </c>
      <c r="S77" s="10">
        <f t="shared" si="15"/>
        <v>0</v>
      </c>
      <c r="T77" s="10">
        <f t="shared" si="16"/>
        <v>0</v>
      </c>
      <c r="U77" s="10">
        <f t="shared" si="17"/>
        <v>0</v>
      </c>
      <c r="V77" s="10">
        <f t="shared" si="18"/>
        <v>0</v>
      </c>
      <c r="W77" s="10">
        <f t="shared" si="19"/>
        <v>0</v>
      </c>
    </row>
    <row r="78" spans="2:23" s="31" customFormat="1" x14ac:dyDescent="0.25">
      <c r="B78" s="148" t="s">
        <v>1138</v>
      </c>
      <c r="C78" s="10">
        <f t="shared" si="0"/>
        <v>8.2353171156179252E-4</v>
      </c>
      <c r="D78" s="10">
        <f t="shared" si="1"/>
        <v>8.2158926390285471E-4</v>
      </c>
      <c r="E78" s="10">
        <f t="shared" si="2"/>
        <v>2.547327410736151E-4</v>
      </c>
      <c r="F78" s="10">
        <f t="shared" si="3"/>
        <v>8.5535187707996103E-4</v>
      </c>
      <c r="G78" s="10">
        <f t="shared" si="4"/>
        <v>8.0326070514316692E-4</v>
      </c>
      <c r="H78" s="10">
        <f t="shared" si="5"/>
        <v>8.5502836974817866E-4</v>
      </c>
      <c r="I78" s="10">
        <f t="shared" si="6"/>
        <v>2.1864657958059488E-3</v>
      </c>
      <c r="J78" s="10">
        <f t="shared" si="7"/>
        <v>5.7917904183792243E-4</v>
      </c>
      <c r="K78" s="10">
        <f t="shared" si="8"/>
        <v>1.8767380129476458E-3</v>
      </c>
      <c r="L78" s="10">
        <f t="shared" si="9"/>
        <v>1.8338052321967567E-4</v>
      </c>
      <c r="N78" s="10">
        <f t="shared" si="10"/>
        <v>-5.4902114104140112E-4</v>
      </c>
      <c r="O78" s="10">
        <f t="shared" si="11"/>
        <v>-5.47726175935196E-4</v>
      </c>
      <c r="P78" s="10">
        <f t="shared" si="12"/>
        <v>-1.6982182738241007E-4</v>
      </c>
      <c r="Q78" s="10">
        <f t="shared" si="13"/>
        <v>-5.7023458472007659E-4</v>
      </c>
      <c r="R78" s="10">
        <f t="shared" si="14"/>
        <v>-5.3550713676224449E-4</v>
      </c>
      <c r="S78" s="10">
        <f t="shared" si="15"/>
        <v>-5.7001891316545248E-4</v>
      </c>
      <c r="T78" s="10">
        <f t="shared" si="16"/>
        <v>-1.4576438638705929E-3</v>
      </c>
      <c r="U78" s="10">
        <f t="shared" si="17"/>
        <v>-3.8611936122542564E-4</v>
      </c>
      <c r="V78" s="10">
        <f t="shared" si="18"/>
        <v>-1.2511586752985584E-3</v>
      </c>
      <c r="W78" s="10">
        <f t="shared" si="19"/>
        <v>-1.2225368214645045E-4</v>
      </c>
    </row>
    <row r="79" spans="2:23" s="31" customFormat="1" x14ac:dyDescent="0.25">
      <c r="B79" s="148" t="s">
        <v>1153</v>
      </c>
      <c r="C79" s="10">
        <f t="shared" si="0"/>
        <v>-6.5882536924964012E-4</v>
      </c>
      <c r="D79" s="10">
        <f t="shared" si="1"/>
        <v>-6.57271411122211E-4</v>
      </c>
      <c r="E79" s="10">
        <f t="shared" si="2"/>
        <v>-2.0378619285896913E-4</v>
      </c>
      <c r="F79" s="10">
        <f t="shared" si="3"/>
        <v>-6.8428150166406122E-4</v>
      </c>
      <c r="G79" s="10">
        <f t="shared" si="4"/>
        <v>-6.4260856411461344E-4</v>
      </c>
      <c r="H79" s="10">
        <f t="shared" si="5"/>
        <v>-6.8402269579854297E-4</v>
      </c>
      <c r="I79" s="10">
        <f t="shared" si="6"/>
        <v>-1.7491726366447116E-3</v>
      </c>
      <c r="J79" s="10">
        <f t="shared" si="7"/>
        <v>-4.6334323347046758E-4</v>
      </c>
      <c r="K79" s="10">
        <f t="shared" si="8"/>
        <v>-1.5013904103582316E-3</v>
      </c>
      <c r="L79" s="10">
        <f t="shared" si="9"/>
        <v>-1.467044185756868E-4</v>
      </c>
      <c r="N79" s="10">
        <f t="shared" si="10"/>
        <v>6.5882536924943402E-4</v>
      </c>
      <c r="O79" s="10">
        <f t="shared" si="11"/>
        <v>6.5727141112233232E-4</v>
      </c>
      <c r="P79" s="10">
        <f t="shared" si="12"/>
        <v>2.0378619285877655E-4</v>
      </c>
      <c r="Q79" s="10">
        <f t="shared" si="13"/>
        <v>6.8428150166390726E-4</v>
      </c>
      <c r="R79" s="10">
        <f t="shared" si="14"/>
        <v>6.426085641144802E-4</v>
      </c>
      <c r="S79" s="10">
        <f t="shared" si="15"/>
        <v>6.8402269579854297E-4</v>
      </c>
      <c r="T79" s="10">
        <f t="shared" si="16"/>
        <v>1.7491726366447116E-3</v>
      </c>
      <c r="U79" s="10">
        <f t="shared" si="17"/>
        <v>4.6334323347046758E-4</v>
      </c>
      <c r="V79" s="10">
        <f t="shared" si="18"/>
        <v>1.5013904103582316E-3</v>
      </c>
      <c r="W79" s="10">
        <f t="shared" si="19"/>
        <v>1.467044185756868E-4</v>
      </c>
    </row>
    <row r="80" spans="2:23" s="31" customFormat="1" x14ac:dyDescent="0.25">
      <c r="B80" s="148" t="s">
        <v>1252</v>
      </c>
      <c r="C80" s="10">
        <f t="shared" si="0"/>
        <v>0</v>
      </c>
      <c r="D80" s="10">
        <f t="shared" si="1"/>
        <v>0</v>
      </c>
      <c r="E80" s="10">
        <f t="shared" si="2"/>
        <v>0</v>
      </c>
      <c r="F80" s="10">
        <f t="shared" si="3"/>
        <v>0</v>
      </c>
      <c r="G80" s="10">
        <f t="shared" si="4"/>
        <v>0</v>
      </c>
      <c r="H80" s="10">
        <f t="shared" si="5"/>
        <v>0</v>
      </c>
      <c r="I80" s="10">
        <f t="shared" si="6"/>
        <v>0</v>
      </c>
      <c r="J80" s="10">
        <f t="shared" si="7"/>
        <v>0</v>
      </c>
      <c r="K80" s="10">
        <f t="shared" si="8"/>
        <v>0</v>
      </c>
      <c r="L80" s="10">
        <f t="shared" si="9"/>
        <v>0</v>
      </c>
      <c r="N80" s="10">
        <f t="shared" si="10"/>
        <v>0</v>
      </c>
      <c r="O80" s="10">
        <f t="shared" si="11"/>
        <v>0</v>
      </c>
      <c r="P80" s="10">
        <f t="shared" si="12"/>
        <v>0</v>
      </c>
      <c r="Q80" s="10">
        <f t="shared" si="13"/>
        <v>0</v>
      </c>
      <c r="R80" s="10">
        <f t="shared" si="14"/>
        <v>0</v>
      </c>
      <c r="S80" s="10">
        <f t="shared" si="15"/>
        <v>0</v>
      </c>
      <c r="T80" s="10">
        <f t="shared" si="16"/>
        <v>0</v>
      </c>
      <c r="U80" s="10">
        <f t="shared" si="17"/>
        <v>0</v>
      </c>
      <c r="V80" s="10">
        <f t="shared" si="18"/>
        <v>0</v>
      </c>
      <c r="W80" s="10">
        <f t="shared" si="19"/>
        <v>0</v>
      </c>
    </row>
    <row r="81" spans="2:23" s="31" customFormat="1" x14ac:dyDescent="0.25">
      <c r="B81" s="148" t="s">
        <v>1257</v>
      </c>
      <c r="C81" s="10">
        <f t="shared" si="0"/>
        <v>-3.0993619339173136E-4</v>
      </c>
      <c r="D81" s="10">
        <f t="shared" si="1"/>
        <v>-4.3823935412435309E-4</v>
      </c>
      <c r="E81" s="10">
        <f t="shared" si="2"/>
        <v>-4.7388551497957147E-4</v>
      </c>
      <c r="F81" s="10">
        <f t="shared" si="3"/>
        <v>-3.9135123509539878E-4</v>
      </c>
      <c r="G81" s="10">
        <f t="shared" si="4"/>
        <v>-4.5002065772833065E-4</v>
      </c>
      <c r="H81" s="10">
        <f t="shared" si="5"/>
        <v>-4.2660769435820019E-4</v>
      </c>
      <c r="I81" s="10">
        <f t="shared" si="6"/>
        <v>-3.8230787766015508E-4</v>
      </c>
      <c r="J81" s="10">
        <f t="shared" si="7"/>
        <v>-2.8423211334271611E-4</v>
      </c>
      <c r="K81" s="10">
        <f t="shared" si="8"/>
        <v>-3.9578126226857686E-4</v>
      </c>
      <c r="L81" s="10">
        <f t="shared" si="9"/>
        <v>-4.7916494125777986E-4</v>
      </c>
      <c r="N81" s="10">
        <f t="shared" si="10"/>
        <v>3.0993619339173136E-4</v>
      </c>
      <c r="O81" s="10">
        <f t="shared" si="11"/>
        <v>4.3823935412435309E-4</v>
      </c>
      <c r="P81" s="10">
        <f t="shared" si="12"/>
        <v>4.7388551497937886E-4</v>
      </c>
      <c r="Q81" s="10">
        <f t="shared" si="13"/>
        <v>3.9135123509539878E-4</v>
      </c>
      <c r="R81" s="10">
        <f t="shared" si="14"/>
        <v>4.5002065772819746E-4</v>
      </c>
      <c r="S81" s="10">
        <f t="shared" si="15"/>
        <v>4.2660769435820019E-4</v>
      </c>
      <c r="T81" s="10">
        <f t="shared" si="16"/>
        <v>3.8230787765991753E-4</v>
      </c>
      <c r="U81" s="10">
        <f t="shared" si="17"/>
        <v>2.8423211334314817E-4</v>
      </c>
      <c r="V81" s="10">
        <f t="shared" si="18"/>
        <v>3.9578126226876855E-4</v>
      </c>
      <c r="W81" s="10">
        <f t="shared" si="19"/>
        <v>4.7916494125777986E-4</v>
      </c>
    </row>
    <row r="82" spans="2:23" s="31" customFormat="1" x14ac:dyDescent="0.25">
      <c r="B82" s="148" t="s">
        <v>1283</v>
      </c>
      <c r="C82" s="10">
        <f t="shared" si="0"/>
        <v>-1.3771429084947358E-2</v>
      </c>
      <c r="D82" s="10">
        <f t="shared" si="1"/>
        <v>-1.9472337585072441E-2</v>
      </c>
      <c r="E82" s="10">
        <f t="shared" si="2"/>
        <v>-2.1056207384189823E-2</v>
      </c>
      <c r="F82" s="10">
        <f t="shared" si="3"/>
        <v>-1.7388952617777648E-2</v>
      </c>
      <c r="G82" s="10">
        <f t="shared" si="4"/>
        <v>-1.9995817548268586E-2</v>
      </c>
      <c r="H82" s="10">
        <f t="shared" si="5"/>
        <v>-1.8955506763037547E-2</v>
      </c>
      <c r="I82" s="10">
        <f t="shared" si="6"/>
        <v>-1.6987128118843182E-2</v>
      </c>
      <c r="J82" s="10">
        <f t="shared" si="7"/>
        <v>-1.2629316859488416E-2</v>
      </c>
      <c r="K82" s="10">
        <f t="shared" si="8"/>
        <v>-1.7585792504053174E-2</v>
      </c>
      <c r="L82" s="10">
        <f t="shared" si="9"/>
        <v>-2.1290788714641674E-2</v>
      </c>
      <c r="N82" s="10">
        <f t="shared" si="10"/>
        <v>1.3771429084947358E-2</v>
      </c>
      <c r="O82" s="10">
        <f t="shared" si="11"/>
        <v>1.9472337585072441E-2</v>
      </c>
      <c r="P82" s="10">
        <f t="shared" si="12"/>
        <v>2.1056207384189823E-2</v>
      </c>
      <c r="Q82" s="10">
        <f t="shared" si="13"/>
        <v>1.73889526177778E-2</v>
      </c>
      <c r="R82" s="10">
        <f t="shared" si="14"/>
        <v>1.9995817548268586E-2</v>
      </c>
      <c r="S82" s="10">
        <f t="shared" si="15"/>
        <v>1.8955506763037547E-2</v>
      </c>
      <c r="T82" s="10">
        <f t="shared" si="16"/>
        <v>1.6987128118842943E-2</v>
      </c>
      <c r="U82" s="10">
        <f t="shared" si="17"/>
        <v>1.2629316859488848E-2</v>
      </c>
      <c r="V82" s="10">
        <f t="shared" si="18"/>
        <v>1.7585792504053174E-2</v>
      </c>
      <c r="W82" s="10">
        <f t="shared" si="19"/>
        <v>2.1290788714641674E-2</v>
      </c>
    </row>
    <row r="83" spans="2:23" x14ac:dyDescent="0.25">
      <c r="C83" s="10"/>
      <c r="D83" s="10"/>
      <c r="E83" s="10"/>
      <c r="F83" s="10"/>
      <c r="G83" s="10"/>
      <c r="H83" s="10"/>
      <c r="I83" s="10"/>
      <c r="J83" s="10"/>
      <c r="K83" s="10"/>
      <c r="L83" s="10"/>
      <c r="N83" s="31"/>
      <c r="O83" s="31"/>
      <c r="P83" s="31"/>
      <c r="Q83" s="31"/>
      <c r="R83" s="31"/>
      <c r="S83" s="31"/>
      <c r="T83" s="31"/>
      <c r="U83" s="31"/>
      <c r="V83" s="31"/>
      <c r="W83" s="31"/>
    </row>
    <row r="84" spans="2:23" x14ac:dyDescent="0.25">
      <c r="C84" s="10"/>
      <c r="D84" s="10"/>
      <c r="E84" s="10"/>
      <c r="F84" s="10"/>
      <c r="G84" s="10"/>
      <c r="H84" s="10"/>
      <c r="I84" s="10"/>
      <c r="J84" s="10"/>
      <c r="K84" s="10"/>
      <c r="L84" s="10"/>
    </row>
    <row r="85" spans="2:23" x14ac:dyDescent="0.25">
      <c r="C85" s="798" t="s">
        <v>1227</v>
      </c>
      <c r="D85" s="798"/>
      <c r="E85" s="798"/>
      <c r="F85" s="798"/>
      <c r="G85" s="798"/>
      <c r="H85" s="798"/>
      <c r="I85" s="798"/>
      <c r="J85" s="798"/>
      <c r="K85" s="798"/>
      <c r="L85" s="798"/>
    </row>
    <row r="86" spans="2:23" x14ac:dyDescent="0.25">
      <c r="C86" s="69" t="s">
        <v>449</v>
      </c>
      <c r="D86" s="69" t="s">
        <v>450</v>
      </c>
      <c r="E86" s="69" t="s">
        <v>451</v>
      </c>
      <c r="F86" s="69" t="s">
        <v>452</v>
      </c>
      <c r="G86" s="69" t="s">
        <v>1218</v>
      </c>
      <c r="H86" s="69" t="s">
        <v>1219</v>
      </c>
      <c r="I86" s="69" t="s">
        <v>455</v>
      </c>
      <c r="J86" s="69" t="s">
        <v>1220</v>
      </c>
      <c r="K86" s="69" t="s">
        <v>1221</v>
      </c>
      <c r="L86" s="69" t="s">
        <v>458</v>
      </c>
      <c r="N86" s="148" t="s">
        <v>190</v>
      </c>
      <c r="O86" t="s">
        <v>1228</v>
      </c>
    </row>
    <row r="87" spans="2:23" x14ac:dyDescent="0.25">
      <c r="B87" s="148" t="s">
        <v>415</v>
      </c>
      <c r="C87" s="346">
        <f t="shared" ref="C87:C116" si="20">MAX(C53,N53,)</f>
        <v>7.4767229268091421E-5</v>
      </c>
      <c r="D87" s="346">
        <f t="shared" ref="D87:D116" si="21">MAX(D53,O53,)</f>
        <v>1.0571834772062725E-4</v>
      </c>
      <c r="E87" s="346">
        <f t="shared" ref="E87:E116" si="22">MAX(E53,P53,)</f>
        <v>1.1431742307228194E-4</v>
      </c>
      <c r="F87" s="346">
        <f t="shared" ref="F87:F116" si="23">MAX(F53,Q53,)</f>
        <v>9.4407326871288628E-5</v>
      </c>
      <c r="G87" s="346">
        <f t="shared" ref="G87:G116" si="24">MAX(G53,R53,)</f>
        <v>1.0856040181551239E-4</v>
      </c>
      <c r="H87" s="346">
        <f t="shared" ref="H87:H116" si="25">MAX(H53,S53,)</f>
        <v>1.0291239284667735E-4</v>
      </c>
      <c r="I87" s="346">
        <f t="shared" ref="I87:I116" si="26">MAX(I53,T53,)</f>
        <v>9.2225759203078489E-5</v>
      </c>
      <c r="J87" s="346">
        <f t="shared" ref="J87:J116" si="27">MAX(J53,U53,)</f>
        <v>6.8566524455208205E-5</v>
      </c>
      <c r="K87" s="346">
        <f t="shared" ref="K87:K116" si="28">MAX(K53,V53,)</f>
        <v>9.5476001212608578E-5</v>
      </c>
      <c r="L87" s="346">
        <f t="shared" ref="L87:L116" si="29">MAX(L53,W53,)</f>
        <v>1.1559100158092533E-4</v>
      </c>
      <c r="N87" s="148" t="s">
        <v>416</v>
      </c>
      <c r="O87" s="346">
        <v>0.24907607419576799</v>
      </c>
    </row>
    <row r="88" spans="2:23" x14ac:dyDescent="0.25">
      <c r="B88" s="389" t="s">
        <v>314</v>
      </c>
      <c r="C88" s="346">
        <f t="shared" si="20"/>
        <v>0</v>
      </c>
      <c r="D88" s="346">
        <f t="shared" si="21"/>
        <v>0</v>
      </c>
      <c r="E88" s="346">
        <f t="shared" si="22"/>
        <v>0</v>
      </c>
      <c r="F88" s="346">
        <f t="shared" si="23"/>
        <v>0</v>
      </c>
      <c r="G88" s="346">
        <f t="shared" si="24"/>
        <v>0</v>
      </c>
      <c r="H88" s="346">
        <f t="shared" si="25"/>
        <v>0</v>
      </c>
      <c r="I88" s="346">
        <f t="shared" si="26"/>
        <v>0</v>
      </c>
      <c r="J88" s="346">
        <f t="shared" si="27"/>
        <v>0</v>
      </c>
      <c r="K88" s="346">
        <f t="shared" si="28"/>
        <v>0</v>
      </c>
      <c r="L88" s="346">
        <f t="shared" si="29"/>
        <v>0</v>
      </c>
      <c r="N88" s="148" t="s">
        <v>198</v>
      </c>
      <c r="O88" s="346">
        <v>0.24907607419576783</v>
      </c>
    </row>
    <row r="89" spans="2:23" x14ac:dyDescent="0.25">
      <c r="B89" s="148" t="s">
        <v>416</v>
      </c>
      <c r="C89" s="346">
        <f t="shared" si="20"/>
        <v>0.24917646828843809</v>
      </c>
      <c r="D89" s="346">
        <f t="shared" si="21"/>
        <v>0.24917841073609739</v>
      </c>
      <c r="E89" s="346">
        <f t="shared" si="22"/>
        <v>0.24974526725892682</v>
      </c>
      <c r="F89" s="346">
        <f t="shared" si="23"/>
        <v>0.24914464812292003</v>
      </c>
      <c r="G89" s="346">
        <f t="shared" si="24"/>
        <v>0.24919673929485614</v>
      </c>
      <c r="H89" s="346">
        <f t="shared" si="25"/>
        <v>0.24914497163025226</v>
      </c>
      <c r="I89" s="346">
        <f t="shared" si="26"/>
        <v>0.24781353420419369</v>
      </c>
      <c r="J89" s="346">
        <f t="shared" si="27"/>
        <v>0.24942082095816301</v>
      </c>
      <c r="K89" s="346">
        <f t="shared" si="28"/>
        <v>0.24812326198705278</v>
      </c>
      <c r="L89" s="346">
        <f t="shared" si="29"/>
        <v>0.24981661947678013</v>
      </c>
      <c r="N89" s="148" t="s">
        <v>275</v>
      </c>
      <c r="O89" s="346">
        <v>0.21665943478242172</v>
      </c>
    </row>
    <row r="90" spans="2:23" x14ac:dyDescent="0.25">
      <c r="B90" s="148" t="s">
        <v>578</v>
      </c>
      <c r="C90" s="346">
        <f t="shared" si="20"/>
        <v>0</v>
      </c>
      <c r="D90" s="346">
        <f t="shared" si="21"/>
        <v>0</v>
      </c>
      <c r="E90" s="346">
        <f t="shared" si="22"/>
        <v>0</v>
      </c>
      <c r="F90" s="346">
        <f t="shared" si="23"/>
        <v>0</v>
      </c>
      <c r="G90" s="346">
        <f t="shared" si="24"/>
        <v>0</v>
      </c>
      <c r="H90" s="346">
        <f t="shared" si="25"/>
        <v>0</v>
      </c>
      <c r="I90" s="346">
        <f t="shared" si="26"/>
        <v>0</v>
      </c>
      <c r="J90" s="346">
        <f t="shared" si="27"/>
        <v>0</v>
      </c>
      <c r="K90" s="346">
        <f t="shared" si="28"/>
        <v>0</v>
      </c>
      <c r="L90" s="346">
        <f t="shared" si="29"/>
        <v>0</v>
      </c>
      <c r="N90" s="148" t="s">
        <v>546</v>
      </c>
      <c r="O90" s="346">
        <v>9.8158083006499391E-2</v>
      </c>
    </row>
    <row r="91" spans="2:23" x14ac:dyDescent="0.25">
      <c r="B91" s="148" t="s">
        <v>121</v>
      </c>
      <c r="C91" s="346">
        <f t="shared" si="20"/>
        <v>7.4767229268091421E-5</v>
      </c>
      <c r="D91" s="346">
        <f t="shared" si="21"/>
        <v>1.0571834772062725E-4</v>
      </c>
      <c r="E91" s="346">
        <f t="shared" si="22"/>
        <v>1.1431742307228194E-4</v>
      </c>
      <c r="F91" s="346">
        <f t="shared" si="23"/>
        <v>9.4407326871288628E-5</v>
      </c>
      <c r="G91" s="346">
        <f t="shared" si="24"/>
        <v>1.0856040181551239E-4</v>
      </c>
      <c r="H91" s="346">
        <f t="shared" si="25"/>
        <v>1.0291239284667735E-4</v>
      </c>
      <c r="I91" s="346">
        <f t="shared" si="26"/>
        <v>9.2225759203078489E-5</v>
      </c>
      <c r="J91" s="346">
        <f t="shared" si="27"/>
        <v>6.8566524455208205E-5</v>
      </c>
      <c r="K91" s="346">
        <f t="shared" si="28"/>
        <v>9.5476001212608578E-5</v>
      </c>
      <c r="L91" s="346">
        <f t="shared" si="29"/>
        <v>1.1559100158092533E-4</v>
      </c>
      <c r="N91" s="148" t="s">
        <v>1202</v>
      </c>
      <c r="O91" s="346">
        <v>2.0025274157330977E-2</v>
      </c>
    </row>
    <row r="92" spans="2:23" x14ac:dyDescent="0.25">
      <c r="B92" s="148" t="s">
        <v>198</v>
      </c>
      <c r="C92" s="346">
        <f t="shared" si="20"/>
        <v>0.2491764682884379</v>
      </c>
      <c r="D92" s="346">
        <f t="shared" si="21"/>
        <v>0.24917841073609689</v>
      </c>
      <c r="E92" s="346">
        <f t="shared" si="22"/>
        <v>0.24974526725892643</v>
      </c>
      <c r="F92" s="346">
        <f t="shared" si="23"/>
        <v>0.24914464812291989</v>
      </c>
      <c r="G92" s="346">
        <f t="shared" si="24"/>
        <v>0.24919673929485614</v>
      </c>
      <c r="H92" s="346">
        <f t="shared" si="25"/>
        <v>0.24914497163025209</v>
      </c>
      <c r="I92" s="346">
        <f t="shared" si="26"/>
        <v>0.24781353420419369</v>
      </c>
      <c r="J92" s="346">
        <f t="shared" si="27"/>
        <v>0.24942082095816279</v>
      </c>
      <c r="K92" s="346">
        <f t="shared" si="28"/>
        <v>0.24812326198705259</v>
      </c>
      <c r="L92" s="346">
        <f t="shared" si="29"/>
        <v>0.24981661947678013</v>
      </c>
      <c r="N92" s="148" t="s">
        <v>558</v>
      </c>
      <c r="O92" s="346">
        <v>1.878981955411228E-2</v>
      </c>
    </row>
    <row r="93" spans="2:23" x14ac:dyDescent="0.25">
      <c r="B93" s="148" t="s">
        <v>1203</v>
      </c>
      <c r="C93" s="346">
        <f t="shared" si="20"/>
        <v>2.1363443004072408E-3</v>
      </c>
      <c r="D93" s="346">
        <f t="shared" si="21"/>
        <v>1.1452603050460097E-3</v>
      </c>
      <c r="E93" s="346">
        <f t="shared" si="22"/>
        <v>6.0333278531741704E-4</v>
      </c>
      <c r="F93" s="346">
        <f t="shared" si="23"/>
        <v>1.3235627738629825E-3</v>
      </c>
      <c r="G93" s="346">
        <f t="shared" si="24"/>
        <v>9.1308152395071077E-4</v>
      </c>
      <c r="H93" s="346">
        <f t="shared" si="25"/>
        <v>1.3187102016506988E-3</v>
      </c>
      <c r="I93" s="346">
        <f t="shared" si="26"/>
        <v>3.0146706935756159E-3</v>
      </c>
      <c r="J93" s="346">
        <f t="shared" si="27"/>
        <v>1.5459756824738285E-3</v>
      </c>
      <c r="K93" s="346">
        <f t="shared" si="28"/>
        <v>3.4307841742824796E-3</v>
      </c>
      <c r="L93" s="346">
        <f t="shared" si="29"/>
        <v>5.4853568495785915E-4</v>
      </c>
      <c r="N93" s="148" t="s">
        <v>1273</v>
      </c>
      <c r="O93" s="346">
        <v>1.8424940173119318E-2</v>
      </c>
    </row>
    <row r="94" spans="2:23" x14ac:dyDescent="0.25">
      <c r="B94" s="148" t="s">
        <v>1202</v>
      </c>
      <c r="C94" s="346">
        <f t="shared" si="20"/>
        <v>5.0904492868538057E-2</v>
      </c>
      <c r="D94" s="346">
        <f t="shared" si="21"/>
        <v>9.9632845326021076E-3</v>
      </c>
      <c r="E94" s="346">
        <f t="shared" si="22"/>
        <v>8.2589170639412422E-3</v>
      </c>
      <c r="F94" s="346">
        <f t="shared" si="23"/>
        <v>2.413962118906688E-2</v>
      </c>
      <c r="G94" s="346">
        <f t="shared" si="24"/>
        <v>1.2440321306699772E-2</v>
      </c>
      <c r="H94" s="346">
        <f t="shared" si="25"/>
        <v>1.1079437158833095E-2</v>
      </c>
      <c r="I94" s="346">
        <f t="shared" si="26"/>
        <v>2.9623897837272414E-2</v>
      </c>
      <c r="J94" s="346">
        <f t="shared" si="27"/>
        <v>2.9611732016290034E-2</v>
      </c>
      <c r="K94" s="346">
        <f t="shared" si="28"/>
        <v>1.6603198961435188E-2</v>
      </c>
      <c r="L94" s="346">
        <f t="shared" si="29"/>
        <v>7.627838638631014E-3</v>
      </c>
      <c r="N94" s="148" t="s">
        <v>1283</v>
      </c>
      <c r="O94" s="346">
        <v>1.7913327718032022E-2</v>
      </c>
    </row>
    <row r="95" spans="2:23" x14ac:dyDescent="0.25">
      <c r="B95" s="148" t="s">
        <v>1201</v>
      </c>
      <c r="C95" s="346">
        <f t="shared" si="20"/>
        <v>5.8020506013050331E-3</v>
      </c>
      <c r="D95" s="346">
        <f t="shared" si="21"/>
        <v>2.2250546363070342E-3</v>
      </c>
      <c r="E95" s="346">
        <f t="shared" si="22"/>
        <v>8.8064431657884699E-4</v>
      </c>
      <c r="F95" s="346">
        <f t="shared" si="23"/>
        <v>3.1309429584848287E-3</v>
      </c>
      <c r="G95" s="346">
        <f t="shared" si="24"/>
        <v>1.2605028624244172E-3</v>
      </c>
      <c r="H95" s="346">
        <f t="shared" si="25"/>
        <v>2.5506909002601394E-3</v>
      </c>
      <c r="I95" s="346">
        <f t="shared" si="26"/>
        <v>7.0742288052009529E-3</v>
      </c>
      <c r="J95" s="346">
        <f t="shared" si="27"/>
        <v>2.2552009885890702E-3</v>
      </c>
      <c r="K95" s="346">
        <f t="shared" si="28"/>
        <v>8.7695490745473195E-3</v>
      </c>
      <c r="L95" s="346">
        <f t="shared" si="29"/>
        <v>1.2678613970172246E-3</v>
      </c>
      <c r="N95" s="148" t="s">
        <v>978</v>
      </c>
      <c r="O95" s="346">
        <v>1.3165645571995066E-2</v>
      </c>
    </row>
    <row r="96" spans="2:23" x14ac:dyDescent="0.25">
      <c r="B96" s="148" t="s">
        <v>1164</v>
      </c>
      <c r="C96" s="346">
        <f t="shared" si="20"/>
        <v>9.0898351658745178E-4</v>
      </c>
      <c r="D96" s="346">
        <f t="shared" si="21"/>
        <v>4.7110974198858379E-4</v>
      </c>
      <c r="E96" s="346">
        <f t="shared" si="22"/>
        <v>2.7139845186952412E-4</v>
      </c>
      <c r="F96" s="346">
        <f t="shared" si="23"/>
        <v>6.0186527871058753E-4</v>
      </c>
      <c r="G96" s="346">
        <f t="shared" si="24"/>
        <v>3.8622849193003383E-4</v>
      </c>
      <c r="H96" s="346">
        <f t="shared" si="25"/>
        <v>5.0235083916013367E-4</v>
      </c>
      <c r="I96" s="346">
        <f t="shared" si="26"/>
        <v>1.0065560347921113E-3</v>
      </c>
      <c r="J96" s="346">
        <f t="shared" si="27"/>
        <v>6.1579927085098215E-4</v>
      </c>
      <c r="K96" s="346">
        <f t="shared" si="28"/>
        <v>1.1178299763349316E-3</v>
      </c>
      <c r="L96" s="346">
        <f t="shared" si="29"/>
        <v>2.0940578566854367E-4</v>
      </c>
      <c r="N96" s="148" t="s">
        <v>1274</v>
      </c>
      <c r="O96" s="346">
        <v>4.5842257690120848E-3</v>
      </c>
    </row>
    <row r="97" spans="2:15" x14ac:dyDescent="0.25">
      <c r="B97" s="148" t="s">
        <v>1273</v>
      </c>
      <c r="C97" s="346">
        <f t="shared" si="20"/>
        <v>1.4164747107992311E-2</v>
      </c>
      <c r="D97" s="346">
        <f t="shared" si="21"/>
        <v>2.0028476042147539E-2</v>
      </c>
      <c r="E97" s="346">
        <f t="shared" si="22"/>
        <v>2.1657581853759204E-2</v>
      </c>
      <c r="F97" s="346">
        <f t="shared" si="23"/>
        <v>1.7885588691220634E-2</v>
      </c>
      <c r="G97" s="346">
        <f t="shared" si="24"/>
        <v>2.0566906821483173E-2</v>
      </c>
      <c r="H97" s="346">
        <f t="shared" si="25"/>
        <v>1.9496884306345739E-2</v>
      </c>
      <c r="I97" s="346">
        <f t="shared" si="26"/>
        <v>1.7472287909282985E-2</v>
      </c>
      <c r="J97" s="346">
        <f t="shared" si="27"/>
        <v>1.2990015659078801E-2</v>
      </c>
      <c r="K97" s="346">
        <f t="shared" si="28"/>
        <v>1.8088050410527978E-2</v>
      </c>
      <c r="L97" s="346">
        <f t="shared" si="29"/>
        <v>2.18988629293548E-2</v>
      </c>
      <c r="N97" s="148" t="s">
        <v>1201</v>
      </c>
      <c r="O97" s="346">
        <v>3.5216726540714866E-3</v>
      </c>
    </row>
    <row r="98" spans="2:15" x14ac:dyDescent="0.25">
      <c r="B98" s="148" t="s">
        <v>275</v>
      </c>
      <c r="C98" s="346">
        <f t="shared" si="20"/>
        <v>0.17434883564091322</v>
      </c>
      <c r="D98" s="346">
        <f t="shared" si="21"/>
        <v>0.23187170931509524</v>
      </c>
      <c r="E98" s="346">
        <f t="shared" si="22"/>
        <v>0.23718505045411942</v>
      </c>
      <c r="F98" s="346">
        <f t="shared" si="23"/>
        <v>0.21113102161881095</v>
      </c>
      <c r="G98" s="346">
        <f t="shared" si="24"/>
        <v>0.23038945899011515</v>
      </c>
      <c r="H98" s="346">
        <f t="shared" si="25"/>
        <v>0.22977451229805942</v>
      </c>
      <c r="I98" s="346">
        <f t="shared" si="26"/>
        <v>0.19681725736750602</v>
      </c>
      <c r="J98" s="346">
        <f t="shared" si="27"/>
        <v>0.20673751112904723</v>
      </c>
      <c r="K98" s="346">
        <f t="shared" si="28"/>
        <v>0.21063233189879993</v>
      </c>
      <c r="L98" s="346">
        <f t="shared" si="29"/>
        <v>0.23770665911175085</v>
      </c>
      <c r="N98" s="148" t="s">
        <v>1203</v>
      </c>
      <c r="O98" s="346">
        <v>1.5980258125524844E-3</v>
      </c>
    </row>
    <row r="99" spans="2:15" x14ac:dyDescent="0.25">
      <c r="B99" s="148" t="s">
        <v>978</v>
      </c>
      <c r="C99" s="346">
        <f t="shared" si="20"/>
        <v>1.0121500438456795E-2</v>
      </c>
      <c r="D99" s="346">
        <f t="shared" si="21"/>
        <v>1.4311461228124472E-2</v>
      </c>
      <c r="E99" s="346">
        <f t="shared" si="22"/>
        <v>1.5475548031849791E-2</v>
      </c>
      <c r="F99" s="346">
        <f t="shared" si="23"/>
        <v>1.2780248909499033E-2</v>
      </c>
      <c r="G99" s="346">
        <f t="shared" si="24"/>
        <v>1.4696199997378489E-2</v>
      </c>
      <c r="H99" s="346">
        <f t="shared" si="25"/>
        <v>1.3931609336242523E-2</v>
      </c>
      <c r="I99" s="346">
        <f t="shared" si="26"/>
        <v>1.248492249006471E-2</v>
      </c>
      <c r="J99" s="346">
        <f t="shared" si="27"/>
        <v>9.282089414412666E-3</v>
      </c>
      <c r="K99" s="346">
        <f t="shared" si="28"/>
        <v>1.292491908010766E-2</v>
      </c>
      <c r="L99" s="346">
        <f t="shared" si="29"/>
        <v>1.5647956793814526E-2</v>
      </c>
      <c r="N99" s="148" t="s">
        <v>1275</v>
      </c>
      <c r="O99" s="346">
        <v>1.1028830983218214E-3</v>
      </c>
    </row>
    <row r="100" spans="2:15" x14ac:dyDescent="0.25">
      <c r="B100" s="148" t="s">
        <v>979</v>
      </c>
      <c r="C100" s="346">
        <f t="shared" si="20"/>
        <v>3.0778244702186195E-4</v>
      </c>
      <c r="D100" s="346">
        <f t="shared" si="21"/>
        <v>4.3519402918901369E-4</v>
      </c>
      <c r="E100" s="346">
        <f t="shared" si="22"/>
        <v>4.7059248489974144E-4</v>
      </c>
      <c r="F100" s="346">
        <f t="shared" si="23"/>
        <v>3.8863173566334959E-4</v>
      </c>
      <c r="G100" s="346">
        <f t="shared" si="24"/>
        <v>4.4689346452310116E-4</v>
      </c>
      <c r="H100" s="346">
        <f t="shared" si="25"/>
        <v>4.2364319781750518E-4</v>
      </c>
      <c r="I100" s="346">
        <f t="shared" si="26"/>
        <v>3.7965122051157287E-4</v>
      </c>
      <c r="J100" s="346">
        <f t="shared" si="27"/>
        <v>2.8225698460560607E-4</v>
      </c>
      <c r="K100" s="346">
        <f t="shared" si="28"/>
        <v>3.9303097858093503E-4</v>
      </c>
      <c r="L100" s="346">
        <f t="shared" si="29"/>
        <v>4.7583522444888756E-4</v>
      </c>
      <c r="N100" s="148" t="s">
        <v>1138</v>
      </c>
      <c r="O100" s="346">
        <v>9.2392580423207636E-4</v>
      </c>
    </row>
    <row r="101" spans="2:15" x14ac:dyDescent="0.25">
      <c r="B101" s="148" t="s">
        <v>1274</v>
      </c>
      <c r="C101" s="346">
        <f t="shared" si="20"/>
        <v>3.524266461322458E-3</v>
      </c>
      <c r="D101" s="346">
        <f t="shared" si="21"/>
        <v>4.983194253211462E-3</v>
      </c>
      <c r="E101" s="346">
        <f t="shared" si="22"/>
        <v>5.3885246788122898E-3</v>
      </c>
      <c r="F101" s="346">
        <f t="shared" si="23"/>
        <v>4.4500321738827377E-3</v>
      </c>
      <c r="G101" s="346">
        <f t="shared" si="24"/>
        <v>5.1171587725135359E-3</v>
      </c>
      <c r="H101" s="346">
        <f t="shared" si="25"/>
        <v>4.8509313253017952E-3</v>
      </c>
      <c r="I101" s="346">
        <f t="shared" si="26"/>
        <v>4.3472006815082672E-3</v>
      </c>
      <c r="J101" s="346">
        <f t="shared" si="27"/>
        <v>3.2319868593710366E-3</v>
      </c>
      <c r="K101" s="346">
        <f t="shared" si="28"/>
        <v>4.5004057556781258E-3</v>
      </c>
      <c r="L101" s="346">
        <f t="shared" si="29"/>
        <v>5.4485567285191376E-3</v>
      </c>
      <c r="N101" s="148" t="s">
        <v>559</v>
      </c>
      <c r="O101" s="346">
        <v>7.3914064338565703E-4</v>
      </c>
    </row>
    <row r="102" spans="2:15" x14ac:dyDescent="0.25">
      <c r="B102" s="148" t="s">
        <v>1275</v>
      </c>
      <c r="C102" s="346">
        <f t="shared" si="20"/>
        <v>8.4787576136614385E-4</v>
      </c>
      <c r="D102" s="346">
        <f t="shared" si="21"/>
        <v>1.1988678120244309E-3</v>
      </c>
      <c r="E102" s="346">
        <f t="shared" si="22"/>
        <v>1.2963830955543413E-3</v>
      </c>
      <c r="F102" s="346">
        <f t="shared" si="23"/>
        <v>1.0705985086378895E-3</v>
      </c>
      <c r="G102" s="346">
        <f t="shared" si="24"/>
        <v>1.2310972901429466E-3</v>
      </c>
      <c r="H102" s="346">
        <f t="shared" si="25"/>
        <v>1.1670477064980598E-3</v>
      </c>
      <c r="I102" s="346">
        <f t="shared" si="26"/>
        <v>1.0458590824773183E-3</v>
      </c>
      <c r="J102" s="346">
        <f t="shared" si="27"/>
        <v>7.7755849314696502E-4</v>
      </c>
      <c r="K102" s="346">
        <f t="shared" si="28"/>
        <v>1.082717495521004E-3</v>
      </c>
      <c r="L102" s="346">
        <f t="shared" si="29"/>
        <v>1.3108257378491169E-3</v>
      </c>
      <c r="N102" s="148" t="s">
        <v>1153</v>
      </c>
      <c r="O102" s="346">
        <v>7.3914064338565703E-4</v>
      </c>
    </row>
    <row r="103" spans="2:15" x14ac:dyDescent="0.25">
      <c r="B103" s="148" t="s">
        <v>1073</v>
      </c>
      <c r="C103" s="346">
        <f t="shared" si="20"/>
        <v>1.1023483118257837E-4</v>
      </c>
      <c r="D103" s="346">
        <f t="shared" si="21"/>
        <v>4.0651920857846377E-5</v>
      </c>
      <c r="E103" s="346">
        <f t="shared" si="22"/>
        <v>3.3880826138617017E-5</v>
      </c>
      <c r="F103" s="346">
        <f t="shared" si="23"/>
        <v>1.2149090031617845E-3</v>
      </c>
      <c r="G103" s="346">
        <f t="shared" si="24"/>
        <v>4.5690058788156246E-5</v>
      </c>
      <c r="H103" s="346">
        <f t="shared" si="25"/>
        <v>4.517836584996696E-5</v>
      </c>
      <c r="I103" s="346">
        <f t="shared" si="26"/>
        <v>7.766809850867778E-5</v>
      </c>
      <c r="J103" s="346">
        <f t="shared" si="27"/>
        <v>1.1793990508861515E-4</v>
      </c>
      <c r="K103" s="346">
        <f t="shared" si="28"/>
        <v>7.138188400245495E-5</v>
      </c>
      <c r="L103" s="346">
        <f t="shared" si="29"/>
        <v>3.4326785748877797E-5</v>
      </c>
      <c r="N103" s="148" t="s">
        <v>1164</v>
      </c>
      <c r="O103" s="346">
        <v>6.0915273878928838E-4</v>
      </c>
    </row>
    <row r="104" spans="2:15" x14ac:dyDescent="0.25">
      <c r="B104" s="148" t="s">
        <v>546</v>
      </c>
      <c r="C104" s="346">
        <f t="shared" si="20"/>
        <v>7.5462086135880319E-2</v>
      </c>
      <c r="D104" s="346">
        <f t="shared" si="21"/>
        <v>0.10670085196298208</v>
      </c>
      <c r="E104" s="346">
        <f t="shared" si="22"/>
        <v>0.11537984369809989</v>
      </c>
      <c r="F104" s="346">
        <f t="shared" si="23"/>
        <v>9.5284710988329427E-2</v>
      </c>
      <c r="G104" s="346">
        <f t="shared" si="24"/>
        <v>0.10956931897751243</v>
      </c>
      <c r="H104" s="346">
        <f t="shared" si="25"/>
        <v>0.10386881966121504</v>
      </c>
      <c r="I104" s="346">
        <f t="shared" si="26"/>
        <v>9.3082868698537241E-2</v>
      </c>
      <c r="J104" s="346">
        <f t="shared" si="27"/>
        <v>6.9203754440398058E-2</v>
      </c>
      <c r="K104" s="346">
        <f t="shared" si="28"/>
        <v>9.6363317163583262E-2</v>
      </c>
      <c r="L104" s="346">
        <f t="shared" si="29"/>
        <v>0.11666525833845616</v>
      </c>
      <c r="N104" s="148" t="s">
        <v>1257</v>
      </c>
      <c r="O104" s="346">
        <v>4.0315268442068743E-4</v>
      </c>
    </row>
    <row r="105" spans="2:15" x14ac:dyDescent="0.25">
      <c r="B105" s="148" t="s">
        <v>1096</v>
      </c>
      <c r="C105" s="346">
        <f t="shared" si="20"/>
        <v>9.2817217977350338E-6</v>
      </c>
      <c r="D105" s="346">
        <f t="shared" si="21"/>
        <v>1.3124042472360461E-5</v>
      </c>
      <c r="E105" s="346">
        <f t="shared" si="22"/>
        <v>1.4191545252719564E-5</v>
      </c>
      <c r="F105" s="346">
        <f t="shared" si="23"/>
        <v>1.171987449929757E-5</v>
      </c>
      <c r="G105" s="346">
        <f t="shared" si="24"/>
        <v>1.3476859551461858E-5</v>
      </c>
      <c r="H105" s="346">
        <f t="shared" si="25"/>
        <v>1.2775706807566752E-5</v>
      </c>
      <c r="I105" s="346">
        <f t="shared" si="26"/>
        <v>1.1449051247242874E-5</v>
      </c>
      <c r="J105" s="346">
        <f t="shared" si="27"/>
        <v>8.5119565197273213E-6</v>
      </c>
      <c r="K105" s="346">
        <f t="shared" si="28"/>
        <v>1.1852541418027012E-5</v>
      </c>
      <c r="L105" s="346">
        <f t="shared" si="29"/>
        <v>1.4349649298199812E-5</v>
      </c>
      <c r="N105" s="148" t="s">
        <v>979</v>
      </c>
      <c r="O105" s="346">
        <v>4.0035117672615743E-4</v>
      </c>
    </row>
    <row r="106" spans="2:15" x14ac:dyDescent="0.25">
      <c r="B106" s="148" t="s">
        <v>538</v>
      </c>
      <c r="C106" s="346">
        <f t="shared" si="20"/>
        <v>9.7792305788181074E-5</v>
      </c>
      <c r="D106" s="346">
        <f t="shared" si="21"/>
        <v>1.3827503157334156E-4</v>
      </c>
      <c r="E106" s="346">
        <f t="shared" si="22"/>
        <v>1.4952225063584947E-4</v>
      </c>
      <c r="F106" s="346">
        <f t="shared" si="23"/>
        <v>1.2348070496136967E-4</v>
      </c>
      <c r="G106" s="346">
        <f t="shared" si="24"/>
        <v>1.4199231554724468E-4</v>
      </c>
      <c r="H106" s="346">
        <f t="shared" si="25"/>
        <v>1.3460496382087207E-4</v>
      </c>
      <c r="I106" s="346">
        <f t="shared" si="26"/>
        <v>1.2062730869928538E-4</v>
      </c>
      <c r="J106" s="346">
        <f t="shared" si="27"/>
        <v>8.9682051775660622E-5</v>
      </c>
      <c r="K106" s="346">
        <f t="shared" si="28"/>
        <v>1.2487848483096626E-4</v>
      </c>
      <c r="L106" s="346">
        <f t="shared" si="29"/>
        <v>1.5118803630421977E-4</v>
      </c>
      <c r="N106" s="148" t="s">
        <v>1045</v>
      </c>
      <c r="O106" s="346">
        <v>2.8794501439111472E-4</v>
      </c>
    </row>
    <row r="107" spans="2:15" x14ac:dyDescent="0.25">
      <c r="B107" s="148" t="s">
        <v>559</v>
      </c>
      <c r="C107" s="346">
        <f t="shared" si="20"/>
        <v>6.5882536924943402E-4</v>
      </c>
      <c r="D107" s="346">
        <f t="shared" si="21"/>
        <v>6.5727141112233232E-4</v>
      </c>
      <c r="E107" s="346">
        <f t="shared" si="22"/>
        <v>2.0378619285877655E-4</v>
      </c>
      <c r="F107" s="346">
        <f t="shared" si="23"/>
        <v>6.8428150166390726E-4</v>
      </c>
      <c r="G107" s="346">
        <f t="shared" si="24"/>
        <v>6.426085641144802E-4</v>
      </c>
      <c r="H107" s="346">
        <f t="shared" si="25"/>
        <v>6.8402269579854297E-4</v>
      </c>
      <c r="I107" s="346">
        <f t="shared" si="26"/>
        <v>1.7491726366447116E-3</v>
      </c>
      <c r="J107" s="346">
        <f t="shared" si="27"/>
        <v>4.6334323347046758E-4</v>
      </c>
      <c r="K107" s="346">
        <f t="shared" si="28"/>
        <v>1.5013904103582316E-3</v>
      </c>
      <c r="L107" s="346">
        <f t="shared" si="29"/>
        <v>1.467044185756868E-4</v>
      </c>
      <c r="N107" s="148" t="s">
        <v>1073</v>
      </c>
      <c r="O107" s="346">
        <v>1.791861679327575E-4</v>
      </c>
    </row>
    <row r="108" spans="2:15" x14ac:dyDescent="0.25">
      <c r="B108" s="148" t="s">
        <v>558</v>
      </c>
      <c r="C108" s="346">
        <f t="shared" si="20"/>
        <v>2.050805204105341E-2</v>
      </c>
      <c r="D108" s="346">
        <f t="shared" si="21"/>
        <v>1.7567934169021523E-2</v>
      </c>
      <c r="E108" s="346">
        <f t="shared" si="22"/>
        <v>8.1792227541241987E-3</v>
      </c>
      <c r="F108" s="346">
        <f t="shared" si="23"/>
        <v>1.8859080257140705E-2</v>
      </c>
      <c r="G108" s="346">
        <f t="shared" si="24"/>
        <v>1.1837645805485256E-2</v>
      </c>
      <c r="H108" s="346">
        <f t="shared" si="25"/>
        <v>2.0326136234002982E-2</v>
      </c>
      <c r="I108" s="346">
        <f t="shared" si="26"/>
        <v>1.0918426914020972E-2</v>
      </c>
      <c r="J108" s="346">
        <f t="shared" si="27"/>
        <v>5.6336914323599739E-2</v>
      </c>
      <c r="K108" s="346">
        <f t="shared" si="28"/>
        <v>1.6806091737562767E-2</v>
      </c>
      <c r="L108" s="346">
        <f t="shared" si="29"/>
        <v>6.5586913051112602E-3</v>
      </c>
      <c r="N108" s="148" t="s">
        <v>538</v>
      </c>
      <c r="O108" s="346">
        <v>1.2720434539369906E-4</v>
      </c>
    </row>
    <row r="109" spans="2:15" x14ac:dyDescent="0.25">
      <c r="B109" s="148" t="s">
        <v>1045</v>
      </c>
      <c r="C109" s="346">
        <f t="shared" si="20"/>
        <v>3.8668725405557191E-4</v>
      </c>
      <c r="D109" s="346">
        <f t="shared" si="21"/>
        <v>2.5517982820976446E-4</v>
      </c>
      <c r="E109" s="346">
        <f t="shared" si="22"/>
        <v>2.560276932344175E-4</v>
      </c>
      <c r="F109" s="346">
        <f t="shared" si="23"/>
        <v>3.1129268528283006E-4</v>
      </c>
      <c r="G109" s="346">
        <f t="shared" si="24"/>
        <v>2.9203695812987684E-4</v>
      </c>
      <c r="H109" s="346">
        <f t="shared" si="25"/>
        <v>2.6959606715511088E-4</v>
      </c>
      <c r="I109" s="346">
        <f t="shared" si="26"/>
        <v>2.6100317764805696E-4</v>
      </c>
      <c r="J109" s="346">
        <f t="shared" si="27"/>
        <v>3.0337376117706339E-4</v>
      </c>
      <c r="K109" s="346">
        <f t="shared" si="28"/>
        <v>2.7036184536683268E-4</v>
      </c>
      <c r="L109" s="346">
        <f t="shared" si="29"/>
        <v>2.7389087365162256E-4</v>
      </c>
      <c r="N109" s="148" t="s">
        <v>415</v>
      </c>
      <c r="O109" s="346">
        <v>9.7254240804629954E-5</v>
      </c>
    </row>
    <row r="110" spans="2:15" x14ac:dyDescent="0.25">
      <c r="B110" s="148" t="s">
        <v>1079</v>
      </c>
      <c r="C110" s="346">
        <f t="shared" si="20"/>
        <v>6.5423865445132754E-5</v>
      </c>
      <c r="D110" s="346">
        <f t="shared" si="21"/>
        <v>9.2507145497612304E-5</v>
      </c>
      <c r="E110" s="346">
        <f t="shared" si="22"/>
        <v>1.0003162854016648E-4</v>
      </c>
      <c r="F110" s="346">
        <f t="shared" si="23"/>
        <v>8.2609618020236002E-5</v>
      </c>
      <c r="G110" s="346">
        <f t="shared" si="24"/>
        <v>9.4994039374979113E-5</v>
      </c>
      <c r="H110" s="346">
        <f t="shared" si="25"/>
        <v>9.0051839664675459E-5</v>
      </c>
      <c r="I110" s="346">
        <f t="shared" si="26"/>
        <v>8.0700672202845073E-5</v>
      </c>
      <c r="J110" s="346">
        <f t="shared" si="27"/>
        <v>5.9998038096380458E-5</v>
      </c>
      <c r="K110" s="346">
        <f t="shared" si="28"/>
        <v>8.3544744371627161E-5</v>
      </c>
      <c r="L110" s="346">
        <f t="shared" si="29"/>
        <v>1.0114605299841623E-4</v>
      </c>
      <c r="N110" s="148" t="s">
        <v>121</v>
      </c>
      <c r="O110" s="346">
        <v>9.7254240804629954E-5</v>
      </c>
    </row>
    <row r="111" spans="2:15" x14ac:dyDescent="0.25">
      <c r="B111" s="148" t="s">
        <v>1135</v>
      </c>
      <c r="C111" s="346">
        <f t="shared" si="20"/>
        <v>0</v>
      </c>
      <c r="D111" s="346">
        <f t="shared" si="21"/>
        <v>0</v>
      </c>
      <c r="E111" s="346">
        <f t="shared" si="22"/>
        <v>0</v>
      </c>
      <c r="F111" s="346">
        <f t="shared" si="23"/>
        <v>0</v>
      </c>
      <c r="G111" s="346">
        <f t="shared" si="24"/>
        <v>0</v>
      </c>
      <c r="H111" s="346">
        <f t="shared" si="25"/>
        <v>0</v>
      </c>
      <c r="I111" s="346">
        <f t="shared" si="26"/>
        <v>0</v>
      </c>
      <c r="J111" s="346">
        <f t="shared" si="27"/>
        <v>0</v>
      </c>
      <c r="K111" s="346">
        <f t="shared" si="28"/>
        <v>0</v>
      </c>
      <c r="L111" s="346">
        <f t="shared" si="29"/>
        <v>0</v>
      </c>
      <c r="N111" s="148" t="s">
        <v>1079</v>
      </c>
      <c r="O111" s="346">
        <v>8.5100764421207087E-5</v>
      </c>
    </row>
    <row r="112" spans="2:15" x14ac:dyDescent="0.25">
      <c r="B112" s="148" t="s">
        <v>1138</v>
      </c>
      <c r="C112" s="346">
        <f t="shared" si="20"/>
        <v>8.2353171156179252E-4</v>
      </c>
      <c r="D112" s="346">
        <f t="shared" si="21"/>
        <v>8.2158926390285471E-4</v>
      </c>
      <c r="E112" s="346">
        <f t="shared" si="22"/>
        <v>2.547327410736151E-4</v>
      </c>
      <c r="F112" s="346">
        <f t="shared" si="23"/>
        <v>8.5535187707996103E-4</v>
      </c>
      <c r="G112" s="346">
        <f t="shared" si="24"/>
        <v>8.0326070514316692E-4</v>
      </c>
      <c r="H112" s="346">
        <f t="shared" si="25"/>
        <v>8.5502836974817866E-4</v>
      </c>
      <c r="I112" s="346">
        <f t="shared" si="26"/>
        <v>2.1864657958059488E-3</v>
      </c>
      <c r="J112" s="346">
        <f t="shared" si="27"/>
        <v>5.7917904183792243E-4</v>
      </c>
      <c r="K112" s="346">
        <f t="shared" si="28"/>
        <v>1.8767380129476458E-3</v>
      </c>
      <c r="L112" s="346">
        <f t="shared" si="29"/>
        <v>1.8338052321967567E-4</v>
      </c>
      <c r="N112" s="148" t="s">
        <v>1096</v>
      </c>
      <c r="O112" s="346">
        <v>1.2073294886433825E-5</v>
      </c>
    </row>
    <row r="113" spans="2:15" x14ac:dyDescent="0.25">
      <c r="B113" s="148" t="s">
        <v>1153</v>
      </c>
      <c r="C113" s="346">
        <f t="shared" si="20"/>
        <v>6.5882536924943402E-4</v>
      </c>
      <c r="D113" s="346">
        <f t="shared" si="21"/>
        <v>6.5727141112233232E-4</v>
      </c>
      <c r="E113" s="346">
        <f t="shared" si="22"/>
        <v>2.0378619285877655E-4</v>
      </c>
      <c r="F113" s="346">
        <f t="shared" si="23"/>
        <v>6.8428150166390726E-4</v>
      </c>
      <c r="G113" s="346">
        <f t="shared" si="24"/>
        <v>6.426085641144802E-4</v>
      </c>
      <c r="H113" s="346">
        <f t="shared" si="25"/>
        <v>6.8402269579854297E-4</v>
      </c>
      <c r="I113" s="346">
        <f t="shared" si="26"/>
        <v>1.7491726366447116E-3</v>
      </c>
      <c r="J113" s="346">
        <f t="shared" si="27"/>
        <v>4.6334323347046758E-4</v>
      </c>
      <c r="K113" s="346">
        <f t="shared" si="28"/>
        <v>1.5013904103582316E-3</v>
      </c>
      <c r="L113" s="346">
        <f t="shared" si="29"/>
        <v>1.467044185756868E-4</v>
      </c>
      <c r="N113" s="389" t="s">
        <v>314</v>
      </c>
      <c r="O113" s="346">
        <v>0</v>
      </c>
    </row>
    <row r="114" spans="2:15" x14ac:dyDescent="0.25">
      <c r="B114" s="148" t="s">
        <v>1252</v>
      </c>
      <c r="C114" s="346">
        <f t="shared" si="20"/>
        <v>0</v>
      </c>
      <c r="D114" s="346">
        <f t="shared" si="21"/>
        <v>0</v>
      </c>
      <c r="E114" s="346">
        <f t="shared" si="22"/>
        <v>0</v>
      </c>
      <c r="F114" s="346">
        <f t="shared" si="23"/>
        <v>0</v>
      </c>
      <c r="G114" s="346">
        <f t="shared" si="24"/>
        <v>0</v>
      </c>
      <c r="H114" s="346">
        <f t="shared" si="25"/>
        <v>0</v>
      </c>
      <c r="I114" s="346">
        <f t="shared" si="26"/>
        <v>0</v>
      </c>
      <c r="J114" s="346">
        <f t="shared" si="27"/>
        <v>0</v>
      </c>
      <c r="K114" s="346">
        <f t="shared" si="28"/>
        <v>0</v>
      </c>
      <c r="L114" s="346">
        <f t="shared" si="29"/>
        <v>0</v>
      </c>
      <c r="N114" s="148" t="s">
        <v>578</v>
      </c>
      <c r="O114" s="346">
        <v>0</v>
      </c>
    </row>
    <row r="115" spans="2:15" x14ac:dyDescent="0.25">
      <c r="B115" s="148" t="s">
        <v>1257</v>
      </c>
      <c r="C115" s="346">
        <f t="shared" si="20"/>
        <v>3.0993619339173136E-4</v>
      </c>
      <c r="D115" s="346">
        <f t="shared" si="21"/>
        <v>4.3823935412435309E-4</v>
      </c>
      <c r="E115" s="346">
        <f t="shared" si="22"/>
        <v>4.7388551497937886E-4</v>
      </c>
      <c r="F115" s="346">
        <f t="shared" si="23"/>
        <v>3.9135123509539878E-4</v>
      </c>
      <c r="G115" s="346">
        <f t="shared" si="24"/>
        <v>4.5002065772819746E-4</v>
      </c>
      <c r="H115" s="346">
        <f t="shared" si="25"/>
        <v>4.2660769435820019E-4</v>
      </c>
      <c r="I115" s="346">
        <f t="shared" si="26"/>
        <v>3.8230787765991753E-4</v>
      </c>
      <c r="J115" s="346">
        <f t="shared" si="27"/>
        <v>2.8423211334314817E-4</v>
      </c>
      <c r="K115" s="346">
        <f t="shared" si="28"/>
        <v>3.9578126226876855E-4</v>
      </c>
      <c r="L115" s="346">
        <f t="shared" si="29"/>
        <v>4.7916494125777986E-4</v>
      </c>
      <c r="N115" s="148" t="s">
        <v>1135</v>
      </c>
      <c r="O115" s="346">
        <v>0</v>
      </c>
    </row>
    <row r="116" spans="2:15" x14ac:dyDescent="0.25">
      <c r="B116" s="148" t="s">
        <v>1283</v>
      </c>
      <c r="C116" s="346">
        <f t="shared" si="20"/>
        <v>1.3771429084947358E-2</v>
      </c>
      <c r="D116" s="346">
        <f t="shared" si="21"/>
        <v>1.9472337585072441E-2</v>
      </c>
      <c r="E116" s="346">
        <f t="shared" si="22"/>
        <v>2.1056207384189823E-2</v>
      </c>
      <c r="F116" s="346">
        <f t="shared" si="23"/>
        <v>1.73889526177778E-2</v>
      </c>
      <c r="G116" s="346">
        <f t="shared" si="24"/>
        <v>1.9995817548268586E-2</v>
      </c>
      <c r="H116" s="346">
        <f t="shared" si="25"/>
        <v>1.8955506763037547E-2</v>
      </c>
      <c r="I116" s="346">
        <f t="shared" si="26"/>
        <v>1.6987128118842943E-2</v>
      </c>
      <c r="J116" s="346">
        <f t="shared" si="27"/>
        <v>1.2629316859488848E-2</v>
      </c>
      <c r="K116" s="346">
        <f t="shared" si="28"/>
        <v>1.7585792504053174E-2</v>
      </c>
      <c r="L116" s="346">
        <f t="shared" si="29"/>
        <v>2.1290788714641674E-2</v>
      </c>
      <c r="N116" s="148" t="s">
        <v>1252</v>
      </c>
      <c r="O116" s="346">
        <v>0</v>
      </c>
    </row>
    <row r="117" spans="2:15" x14ac:dyDescent="0.25">
      <c r="B117" s="31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</row>
    <row r="118" spans="2:15" x14ac:dyDescent="0.25"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</row>
    <row r="159" spans="4:37" ht="15.75" thickBot="1" x14ac:dyDescent="0.3">
      <c r="D159" s="799" t="s">
        <v>2325</v>
      </c>
      <c r="E159" s="799"/>
      <c r="F159" s="799"/>
      <c r="G159" s="799"/>
      <c r="H159" s="799"/>
      <c r="I159" s="799"/>
      <c r="J159" s="568"/>
      <c r="M159"/>
    </row>
    <row r="160" spans="4:37" ht="15.75" thickBot="1" x14ac:dyDescent="0.3">
      <c r="D160" s="790" t="s">
        <v>2320</v>
      </c>
      <c r="E160" s="791"/>
      <c r="F160" s="791"/>
      <c r="G160" s="791" t="s">
        <v>2321</v>
      </c>
      <c r="H160" s="791"/>
      <c r="I160" s="792"/>
      <c r="M160"/>
      <c r="AH160" s="31"/>
      <c r="AI160" s="31" t="s">
        <v>2357</v>
      </c>
      <c r="AJ160" s="31"/>
      <c r="AK160" s="31"/>
    </row>
    <row r="161" spans="1:37" ht="15.75" thickBot="1" x14ac:dyDescent="0.3">
      <c r="C161" s="573" t="s">
        <v>2328</v>
      </c>
      <c r="D161" s="572" t="s">
        <v>304</v>
      </c>
      <c r="E161" s="572" t="s">
        <v>116</v>
      </c>
      <c r="F161" s="572" t="s">
        <v>305</v>
      </c>
      <c r="G161" s="574">
        <v>-0.2</v>
      </c>
      <c r="H161" s="572" t="s">
        <v>116</v>
      </c>
      <c r="I161" s="575">
        <v>20</v>
      </c>
      <c r="M161"/>
      <c r="P161" s="793" t="s">
        <v>625</v>
      </c>
      <c r="Q161" s="796"/>
      <c r="R161" s="797"/>
      <c r="AH161" s="31"/>
      <c r="AI161" s="793" t="s">
        <v>625</v>
      </c>
      <c r="AJ161" s="794"/>
      <c r="AK161" s="795"/>
    </row>
    <row r="162" spans="1:37" ht="30" x14ac:dyDescent="0.25">
      <c r="A162" s="37">
        <v>4080.4926583661372</v>
      </c>
      <c r="B162" t="s">
        <v>2344</v>
      </c>
      <c r="C162" t="s">
        <v>2322</v>
      </c>
      <c r="D162" s="32">
        <f t="shared" ref="D162:D167" si="30">E162*0.8</f>
        <v>0.35119831470596596</v>
      </c>
      <c r="E162" s="32">
        <v>0.43899789338245743</v>
      </c>
      <c r="F162" s="32">
        <f t="shared" ref="F162:F167" si="31">E162*1.2</f>
        <v>0.52679747205894889</v>
      </c>
      <c r="G162">
        <v>4896.0082742919785</v>
      </c>
      <c r="H162" s="34">
        <f>Figures!$F$181</f>
        <v>4239.2093596354671</v>
      </c>
      <c r="I162">
        <v>3264.0199428383594</v>
      </c>
      <c r="J162" s="10">
        <f>ABS(G162-H162)/H162</f>
        <v>0.15493429527457689</v>
      </c>
      <c r="K162" s="10">
        <f>(I162-H162)/I162</f>
        <v>-0.29876944193824156</v>
      </c>
      <c r="P162" s="154" t="s">
        <v>2331</v>
      </c>
      <c r="Q162" s="154" t="s">
        <v>2330</v>
      </c>
      <c r="R162" s="154" t="s">
        <v>2336</v>
      </c>
      <c r="S162" s="743" t="s">
        <v>2332</v>
      </c>
      <c r="T162" s="743"/>
      <c r="U162" s="743"/>
      <c r="V162" s="743"/>
      <c r="W162" s="743"/>
      <c r="X162" s="743" t="s">
        <v>2331</v>
      </c>
      <c r="Y162" s="743"/>
      <c r="Z162" s="743"/>
      <c r="AA162" s="743"/>
      <c r="AB162" s="743" t="s">
        <v>2336</v>
      </c>
      <c r="AC162" s="743"/>
      <c r="AD162" s="743"/>
      <c r="AE162" s="743"/>
      <c r="AH162" s="31"/>
      <c r="AI162" s="154" t="s">
        <v>2359</v>
      </c>
      <c r="AJ162" s="154" t="s">
        <v>2358</v>
      </c>
      <c r="AK162" s="154" t="s">
        <v>2336</v>
      </c>
    </row>
    <row r="163" spans="1:37" x14ac:dyDescent="0.25">
      <c r="A163">
        <f>MIN(G162:I175)</f>
        <v>3264.0199428383594</v>
      </c>
      <c r="B163" t="s">
        <v>2345</v>
      </c>
      <c r="C163" t="s">
        <v>2323</v>
      </c>
      <c r="D163" s="32">
        <f t="shared" si="30"/>
        <v>4.9491525423728824</v>
      </c>
      <c r="E163" s="32">
        <v>6.1864406779661021</v>
      </c>
      <c r="F163" s="32">
        <f t="shared" si="31"/>
        <v>7.4237288135593218</v>
      </c>
      <c r="G163">
        <v>4858.7089675145371</v>
      </c>
      <c r="H163" s="34">
        <f>Figures!$F$181</f>
        <v>4239.2093596354671</v>
      </c>
      <c r="I163">
        <v>3288.8861473566521</v>
      </c>
      <c r="J163" s="10">
        <f t="shared" ref="J163:J175" si="32">(G163-H163)/H163</f>
        <v>0.14613564825973616</v>
      </c>
      <c r="K163" s="10">
        <f t="shared" ref="K163:K175" si="33">(I163-H163)/I163</f>
        <v>-0.28894986621613822</v>
      </c>
      <c r="L163" s="31">
        <v>46.428848158563902</v>
      </c>
      <c r="O163" s="211" t="s">
        <v>978</v>
      </c>
      <c r="P163" s="31">
        <v>131.77426046209001</v>
      </c>
      <c r="Q163" s="31">
        <v>151.91887557418099</v>
      </c>
      <c r="R163" s="31">
        <v>151.15464485804401</v>
      </c>
      <c r="S163" s="31" t="s">
        <v>964</v>
      </c>
      <c r="T163" s="31">
        <v>181846071.79046199</v>
      </c>
      <c r="U163" s="31">
        <v>369361644.001441</v>
      </c>
      <c r="V163" s="31">
        <v>254708430.71438301</v>
      </c>
      <c r="W163" s="31">
        <v>477157264.05044001</v>
      </c>
      <c r="X163" s="31">
        <v>119372604.42382801</v>
      </c>
      <c r="Y163" s="31">
        <v>293005293.92547899</v>
      </c>
      <c r="Z163" s="31">
        <v>393683851.08656001</v>
      </c>
      <c r="AA163" s="31">
        <v>306874672.42519301</v>
      </c>
      <c r="AB163" s="31">
        <v>154284823.19307601</v>
      </c>
      <c r="AC163" s="31">
        <v>361948874.829575</v>
      </c>
      <c r="AD163" s="31">
        <v>365209478.73941201</v>
      </c>
      <c r="AE163" s="31">
        <v>395175709.24858803</v>
      </c>
      <c r="AH163" s="211" t="s">
        <v>978</v>
      </c>
      <c r="AI163" s="31">
        <v>144.88949296824401</v>
      </c>
      <c r="AJ163" s="31">
        <v>156.244189412781</v>
      </c>
      <c r="AK163" s="31">
        <v>151.15464485804401</v>
      </c>
    </row>
    <row r="164" spans="1:37" x14ac:dyDescent="0.25">
      <c r="A164">
        <f>MAX(G162:I175)</f>
        <v>4896.0082742919785</v>
      </c>
      <c r="B164" s="31" t="s">
        <v>2346</v>
      </c>
      <c r="C164" t="s">
        <v>2324</v>
      </c>
      <c r="D164" s="32">
        <f t="shared" si="30"/>
        <v>0.54400000000000004</v>
      </c>
      <c r="E164" s="90">
        <v>0.68</v>
      </c>
      <c r="F164" s="90">
        <f t="shared" si="31"/>
        <v>0.81600000000000006</v>
      </c>
      <c r="G164">
        <v>4563.4021952000066</v>
      </c>
      <c r="H164" s="34">
        <f>Figures!$F$181</f>
        <v>4239.2093596354671</v>
      </c>
      <c r="I164">
        <v>3481.206618501441</v>
      </c>
      <c r="J164" s="10">
        <f t="shared" si="32"/>
        <v>7.6474834824486512E-2</v>
      </c>
      <c r="K164" s="10">
        <f t="shared" si="33"/>
        <v>-0.21774138228552617</v>
      </c>
      <c r="L164" s="31">
        <v>5.4897984562921902</v>
      </c>
      <c r="N164" s="31"/>
      <c r="O164" s="211" t="s">
        <v>979</v>
      </c>
      <c r="P164" s="31">
        <v>35.096937082053699</v>
      </c>
      <c r="Q164" s="31">
        <v>3.5083912585227299</v>
      </c>
      <c r="R164" s="31">
        <v>13.092434025286799</v>
      </c>
      <c r="S164" s="31" t="s">
        <v>963</v>
      </c>
      <c r="T164" s="31">
        <v>918039.25081423996</v>
      </c>
      <c r="U164" s="31">
        <v>3192794.0790691399</v>
      </c>
      <c r="V164" s="31">
        <v>2954138.0764490599</v>
      </c>
      <c r="W164" s="31">
        <v>2398553.8556462298</v>
      </c>
      <c r="X164" s="31">
        <v>6472284.8552956702</v>
      </c>
      <c r="Y164" s="31">
        <v>25293574.233206298</v>
      </c>
      <c r="Z164" s="31">
        <v>44626986.702437699</v>
      </c>
      <c r="AA164" s="31">
        <v>18277539.0719916</v>
      </c>
      <c r="AB164" s="31">
        <v>2594290.7766070901</v>
      </c>
      <c r="AC164" s="31">
        <v>11104166.455609901</v>
      </c>
      <c r="AD164" s="31">
        <v>13788663.205611899</v>
      </c>
      <c r="AE164" s="31">
        <v>7828376.3267085096</v>
      </c>
      <c r="AH164" s="211" t="s">
        <v>979</v>
      </c>
      <c r="AI164" s="31">
        <v>13.142675114318299</v>
      </c>
      <c r="AJ164" s="31">
        <v>13.511751262140599</v>
      </c>
      <c r="AK164" s="31">
        <v>13.092434025286799</v>
      </c>
    </row>
    <row r="165" spans="1:37" x14ac:dyDescent="0.25">
      <c r="C165" t="s">
        <v>2342</v>
      </c>
      <c r="D165" s="31">
        <f t="shared" si="30"/>
        <v>1.6</v>
      </c>
      <c r="E165" s="31">
        <v>2</v>
      </c>
      <c r="F165" s="31">
        <f t="shared" si="31"/>
        <v>2.4</v>
      </c>
      <c r="G165">
        <v>3915.269250579212</v>
      </c>
      <c r="H165" s="34">
        <f>Figures!$F$181</f>
        <v>4239.2093596354671</v>
      </c>
      <c r="I165">
        <v>3918.2907618242248</v>
      </c>
      <c r="J165" s="10">
        <f t="shared" si="32"/>
        <v>-7.6415218399147652E-2</v>
      </c>
      <c r="K165" s="10">
        <f t="shared" si="33"/>
        <v>-8.1902701284432847E-2</v>
      </c>
      <c r="L165" s="31">
        <v>44.509610272558497</v>
      </c>
      <c r="N165" s="31"/>
      <c r="O165" s="211" t="s">
        <v>2304</v>
      </c>
      <c r="P165" s="31">
        <v>672.65102779874201</v>
      </c>
      <c r="Q165" s="31">
        <v>1316.81081938639</v>
      </c>
      <c r="R165" s="31">
        <v>970.58721720450399</v>
      </c>
      <c r="S165" s="31" t="s">
        <v>2310</v>
      </c>
      <c r="T165" s="31">
        <v>220292779.25868201</v>
      </c>
      <c r="U165" s="31">
        <v>1915902847.1101401</v>
      </c>
      <c r="V165" s="31">
        <v>8665064345.4983101</v>
      </c>
      <c r="W165" s="31">
        <v>320234593.58661598</v>
      </c>
      <c r="X165" s="31">
        <v>102698392.915599</v>
      </c>
      <c r="Y165" s="31">
        <v>949398350.21457803</v>
      </c>
      <c r="Z165" s="31">
        <v>4494618331.4428501</v>
      </c>
      <c r="AA165" s="31">
        <v>134347565.538423</v>
      </c>
      <c r="AB165" s="31">
        <v>152775343.696632</v>
      </c>
      <c r="AC165" s="31">
        <v>1370712034.60395</v>
      </c>
      <c r="AD165" s="31">
        <v>6460785256.92698</v>
      </c>
      <c r="AE165" s="31">
        <v>213093533.489604</v>
      </c>
      <c r="AH165" s="211" t="s">
        <v>2304</v>
      </c>
      <c r="AI165" s="31">
        <v>994.07294755585895</v>
      </c>
      <c r="AJ165" s="31">
        <v>949.49997747506404</v>
      </c>
      <c r="AK165" s="31">
        <v>970.58721720450399</v>
      </c>
    </row>
    <row r="166" spans="1:37" x14ac:dyDescent="0.25">
      <c r="C166" t="s">
        <v>2339</v>
      </c>
      <c r="D166">
        <f t="shared" si="30"/>
        <v>2.5142857142857142</v>
      </c>
      <c r="E166">
        <v>3.1428571428571428</v>
      </c>
      <c r="F166">
        <f t="shared" si="31"/>
        <v>3.7714285714285714</v>
      </c>
      <c r="G166">
        <v>3910.528295036861</v>
      </c>
      <c r="H166" s="34">
        <f>Figures!$F$181</f>
        <v>4239.2093596354671</v>
      </c>
      <c r="I166">
        <v>3922.8337668269578</v>
      </c>
      <c r="J166" s="10">
        <f t="shared" si="32"/>
        <v>-7.7533576833504078E-2</v>
      </c>
      <c r="K166" s="10">
        <f t="shared" si="33"/>
        <v>-8.0649757704215536E-2</v>
      </c>
      <c r="L166" s="31">
        <v>19.636439985202401</v>
      </c>
      <c r="N166" s="31"/>
      <c r="O166" s="531" t="s">
        <v>2303</v>
      </c>
      <c r="P166" s="31">
        <v>324.601947747167</v>
      </c>
      <c r="Q166" s="31">
        <v>1036.3217295105401</v>
      </c>
      <c r="R166" s="31">
        <v>606.116387496828</v>
      </c>
      <c r="S166" s="31" t="s">
        <v>2000</v>
      </c>
      <c r="T166" s="31">
        <v>152545316.90801501</v>
      </c>
      <c r="U166" s="31">
        <v>1203026694.3771701</v>
      </c>
      <c r="V166" s="31">
        <v>7305834315.78578</v>
      </c>
      <c r="W166" s="31">
        <v>91139075.1483652</v>
      </c>
      <c r="X166" s="31">
        <v>49615827.458281599</v>
      </c>
      <c r="Y166" s="31">
        <v>391567157.14091802</v>
      </c>
      <c r="Z166" s="31">
        <v>2272778707.5530801</v>
      </c>
      <c r="AA166" s="31">
        <v>27554966.624890599</v>
      </c>
      <c r="AB166" s="31">
        <v>88794754.071968898</v>
      </c>
      <c r="AC166" s="31">
        <v>712320184.18678296</v>
      </c>
      <c r="AD166" s="31">
        <v>4265580100.0192499</v>
      </c>
      <c r="AE166" s="31">
        <v>52430663.255613796</v>
      </c>
      <c r="AH166" s="531" t="s">
        <v>2303</v>
      </c>
      <c r="AI166" s="31">
        <v>625.901127508478</v>
      </c>
      <c r="AJ166" s="31">
        <v>584.28827824227801</v>
      </c>
      <c r="AK166" s="31">
        <v>606.116387496828</v>
      </c>
    </row>
    <row r="167" spans="1:37" x14ac:dyDescent="0.25">
      <c r="C167" t="s">
        <v>2338</v>
      </c>
      <c r="D167" s="246">
        <f t="shared" si="30"/>
        <v>20224.524967367252</v>
      </c>
      <c r="E167" s="246">
        <v>25280.656209209064</v>
      </c>
      <c r="F167" s="246">
        <f t="shared" si="31"/>
        <v>30336.787451050877</v>
      </c>
      <c r="G167">
        <v>3890.1482988858043</v>
      </c>
      <c r="H167" s="34">
        <f>Figures!$F$181</f>
        <v>4239.2093596354671</v>
      </c>
      <c r="I167">
        <v>3943.4822519538066</v>
      </c>
      <c r="J167" s="10">
        <f t="shared" si="32"/>
        <v>-8.234107616229619E-2</v>
      </c>
      <c r="K167" s="10">
        <f t="shared" si="33"/>
        <v>-7.4991362655465715E-2</v>
      </c>
      <c r="L167" s="31">
        <v>0.20622565441725399</v>
      </c>
      <c r="N167" s="31"/>
      <c r="O167" s="531" t="s">
        <v>1763</v>
      </c>
      <c r="P167" s="31">
        <v>8.8412748113498303</v>
      </c>
      <c r="Q167" s="31">
        <v>13.0403309063942</v>
      </c>
      <c r="R167" s="31">
        <v>11.478940588362599</v>
      </c>
      <c r="S167" s="31" t="s">
        <v>2298</v>
      </c>
      <c r="T167" s="31">
        <v>2488130.3329614499</v>
      </c>
      <c r="U167" s="31">
        <v>31100156.2763437</v>
      </c>
      <c r="V167" s="31">
        <v>75062337.6228991</v>
      </c>
      <c r="W167" s="31">
        <v>1485142.5552839499</v>
      </c>
      <c r="X167" s="31">
        <v>887268.83575955499</v>
      </c>
      <c r="Y167" s="31">
        <v>15397160.469212901</v>
      </c>
      <c r="Z167" s="31">
        <v>57751259.941300601</v>
      </c>
      <c r="AA167" s="31">
        <v>635773.28919496399</v>
      </c>
      <c r="AB167" s="31">
        <v>2216163.8055133801</v>
      </c>
      <c r="AC167" s="31">
        <v>16466899.321840299</v>
      </c>
      <c r="AD167" s="31">
        <v>77551216.754226804</v>
      </c>
      <c r="AE167" s="31">
        <v>714327.68691536901</v>
      </c>
      <c r="AH167" s="531" t="s">
        <v>1763</v>
      </c>
      <c r="AI167" s="31">
        <v>11.5548059992457</v>
      </c>
      <c r="AJ167" s="31">
        <v>16.847070308370199</v>
      </c>
      <c r="AK167" s="31">
        <v>11.478940588362599</v>
      </c>
    </row>
    <row r="168" spans="1:37" x14ac:dyDescent="0.25">
      <c r="C168" t="s">
        <v>2343</v>
      </c>
      <c r="D168">
        <v>1</v>
      </c>
      <c r="E168" s="31">
        <v>2</v>
      </c>
      <c r="F168">
        <v>3</v>
      </c>
      <c r="G168">
        <v>3899.368414826642</v>
      </c>
      <c r="H168" s="34">
        <f>Figures!$F$181</f>
        <v>4239.2093596354671</v>
      </c>
      <c r="I168">
        <v>3944.6742188289686</v>
      </c>
      <c r="J168" s="10">
        <f t="shared" si="32"/>
        <v>-8.0166114946974038E-2</v>
      </c>
      <c r="K168" s="10">
        <f t="shared" si="33"/>
        <v>-7.4666531243722162E-2</v>
      </c>
      <c r="L168" s="31">
        <v>0.39788967079321402</v>
      </c>
      <c r="N168" s="31"/>
      <c r="O168" s="531" t="s">
        <v>2305</v>
      </c>
      <c r="P168" s="31">
        <v>15.4408382597549</v>
      </c>
      <c r="Q168" s="31">
        <v>11.9544561302134</v>
      </c>
      <c r="R168" s="31">
        <v>17.8804765050286</v>
      </c>
      <c r="S168" s="31" t="s">
        <v>2311</v>
      </c>
      <c r="T168" s="31">
        <v>753067.30597511004</v>
      </c>
      <c r="U168" s="31">
        <v>28737606.207756601</v>
      </c>
      <c r="V168" s="31">
        <v>69368746.232174397</v>
      </c>
      <c r="W168" s="31">
        <v>2105287.5057220799</v>
      </c>
      <c r="X168" s="31">
        <v>3084980.7744102702</v>
      </c>
      <c r="Y168" s="31">
        <v>25678367.661456</v>
      </c>
      <c r="Z168" s="31">
        <v>100739696.73803499</v>
      </c>
      <c r="AA168" s="31">
        <v>906878.76030042302</v>
      </c>
      <c r="AB168" s="31">
        <v>3413914.9408829198</v>
      </c>
      <c r="AC168" s="31">
        <v>35215723.427944899</v>
      </c>
      <c r="AD168" s="31">
        <v>111221010.52439301</v>
      </c>
      <c r="AE168" s="31">
        <v>1163923.0944720199</v>
      </c>
      <c r="AH168" s="531" t="s">
        <v>2305</v>
      </c>
      <c r="AI168" s="31">
        <v>18.986045049698799</v>
      </c>
      <c r="AJ168" s="31">
        <v>14.1191739512295</v>
      </c>
      <c r="AK168" s="31">
        <v>17.8804765050286</v>
      </c>
    </row>
    <row r="169" spans="1:37" x14ac:dyDescent="0.25">
      <c r="C169" t="s">
        <v>2340</v>
      </c>
      <c r="D169">
        <f>E169*0.8</f>
        <v>5.7142857142857153</v>
      </c>
      <c r="E169" s="31">
        <v>7.1428571428571432</v>
      </c>
      <c r="F169">
        <f>E169*1.2</f>
        <v>8.5714285714285712</v>
      </c>
      <c r="G169">
        <v>3800.9232492502697</v>
      </c>
      <c r="H169" s="34">
        <f>Figures!$F$181</f>
        <v>4239.2093596354671</v>
      </c>
      <c r="I169">
        <v>4026.5220302793159</v>
      </c>
      <c r="J169" s="10">
        <f t="shared" si="32"/>
        <v>-0.10338864472192191</v>
      </c>
      <c r="K169" s="10">
        <f t="shared" si="33"/>
        <v>-5.2821598331450642E-2</v>
      </c>
      <c r="L169" s="31">
        <v>1.0072956849207699</v>
      </c>
      <c r="N169" s="31"/>
      <c r="O169" s="211" t="s">
        <v>2306</v>
      </c>
      <c r="P169" s="31">
        <v>76.300741545720797</v>
      </c>
      <c r="Q169" s="31">
        <v>30.879670220256301</v>
      </c>
      <c r="R169" s="31">
        <v>62.003546583126798</v>
      </c>
      <c r="S169" s="31" t="s">
        <v>2312</v>
      </c>
      <c r="T169" s="31">
        <v>519541.21599665901</v>
      </c>
      <c r="U169" s="31">
        <v>24189065.222648099</v>
      </c>
      <c r="V169" s="31">
        <v>55836917.309143499</v>
      </c>
      <c r="W169" s="31">
        <v>2749216.68376046</v>
      </c>
      <c r="X169" s="31">
        <v>5284211.3829156002</v>
      </c>
      <c r="Y169" s="31">
        <v>43937196.280855797</v>
      </c>
      <c r="Z169" s="31">
        <v>154750092.73681399</v>
      </c>
      <c r="AA169" s="31">
        <v>1841917.1797771701</v>
      </c>
      <c r="AB169" s="31">
        <v>3995949.2877005399</v>
      </c>
      <c r="AC169" s="31">
        <v>42053082.933516398</v>
      </c>
      <c r="AD169" s="31">
        <v>118069969.320161</v>
      </c>
      <c r="AE169" s="31">
        <v>3129200.3221625998</v>
      </c>
      <c r="AH169" s="211" t="s">
        <v>2306</v>
      </c>
      <c r="AI169" s="31">
        <v>65.072735945477703</v>
      </c>
      <c r="AJ169" s="31">
        <v>54.878692594464702</v>
      </c>
      <c r="AK169" s="31">
        <v>62.003546583126798</v>
      </c>
    </row>
    <row r="170" spans="1:37" x14ac:dyDescent="0.25">
      <c r="C170" t="s">
        <v>2327</v>
      </c>
      <c r="D170" s="246">
        <v>1119560.552154596</v>
      </c>
      <c r="E170" s="246">
        <v>1399450.690193245</v>
      </c>
      <c r="F170" s="31">
        <v>1679340.8282318942</v>
      </c>
      <c r="G170">
        <v>3770.7635529538093</v>
      </c>
      <c r="H170" s="34">
        <f>Figures!$F$181</f>
        <v>4239.2093596354671</v>
      </c>
      <c r="I170">
        <v>4062.8669978858011</v>
      </c>
      <c r="J170" s="10">
        <f t="shared" si="32"/>
        <v>-0.11050310728742584</v>
      </c>
      <c r="K170" s="10">
        <f t="shared" si="33"/>
        <v>-4.3403429608064814E-2</v>
      </c>
      <c r="L170" s="31">
        <v>1257.0976362246199</v>
      </c>
      <c r="N170" s="31"/>
      <c r="O170" s="531" t="s">
        <v>1761</v>
      </c>
      <c r="P170" s="31">
        <v>134.344735537525</v>
      </c>
      <c r="Q170" s="31">
        <v>4.5388148984195498</v>
      </c>
      <c r="R170" s="31">
        <v>31.790665212800199</v>
      </c>
      <c r="S170" s="31" t="s">
        <v>2313</v>
      </c>
      <c r="T170" s="31">
        <v>0</v>
      </c>
      <c r="U170" s="31">
        <v>11279798.8211562</v>
      </c>
      <c r="V170" s="31">
        <v>0</v>
      </c>
      <c r="W170" s="31">
        <v>963188.43013592297</v>
      </c>
      <c r="X170" s="31">
        <v>1021296.2209354599</v>
      </c>
      <c r="Y170" s="31">
        <v>143603278.11779401</v>
      </c>
      <c r="Z170" s="31">
        <v>203638619.914552</v>
      </c>
      <c r="AA170" s="31">
        <v>14117938.547894699</v>
      </c>
      <c r="AB170" s="31">
        <v>0</v>
      </c>
      <c r="AC170" s="31">
        <v>50491732.824383698</v>
      </c>
      <c r="AD170" s="31">
        <v>31575498.7905261</v>
      </c>
      <c r="AE170" s="31">
        <v>3684824.2898013801</v>
      </c>
      <c r="AH170" s="531" t="s">
        <v>1761</v>
      </c>
      <c r="AI170" s="31">
        <v>32.471477082251603</v>
      </c>
      <c r="AJ170" s="31">
        <v>26.509829194956598</v>
      </c>
      <c r="AK170" s="31">
        <v>31.790665212800199</v>
      </c>
    </row>
    <row r="171" spans="1:37" x14ac:dyDescent="0.25">
      <c r="C171" t="s">
        <v>2326</v>
      </c>
      <c r="D171">
        <v>2312598373.8954363</v>
      </c>
      <c r="E171">
        <v>2890747967.3692946</v>
      </c>
      <c r="F171">
        <v>3468897560.8431544</v>
      </c>
      <c r="G171">
        <v>3745.6940086847653</v>
      </c>
      <c r="H171" s="34">
        <f>Figures!$F$181</f>
        <v>4239.2093596354671</v>
      </c>
      <c r="I171">
        <v>4087.9365421548455</v>
      </c>
      <c r="J171" s="10">
        <f t="shared" si="32"/>
        <v>-0.11641683839675697</v>
      </c>
      <c r="K171" s="10">
        <f t="shared" si="33"/>
        <v>-3.7004688287280069E-2</v>
      </c>
      <c r="L171" s="31">
        <v>735.33121511597597</v>
      </c>
      <c r="N171" s="31"/>
      <c r="O171" s="531" t="s">
        <v>1762</v>
      </c>
      <c r="P171" s="31">
        <v>90.204504736301402</v>
      </c>
      <c r="Q171" s="31">
        <v>3.4576467394689301</v>
      </c>
      <c r="R171" s="31">
        <v>24.435379809594</v>
      </c>
      <c r="S171" s="31" t="s">
        <v>2309</v>
      </c>
      <c r="T171" s="31">
        <v>0</v>
      </c>
      <c r="U171" s="31">
        <v>27141660.427163601</v>
      </c>
      <c r="V171" s="31">
        <v>0</v>
      </c>
      <c r="W171" s="31">
        <v>2060863.4708261399</v>
      </c>
      <c r="X171" s="31">
        <v>1279888.4436959401</v>
      </c>
      <c r="Y171" s="31">
        <v>286935289.62162501</v>
      </c>
      <c r="Z171" s="31">
        <v>448464967.00694603</v>
      </c>
      <c r="AA171" s="31">
        <v>25167262.6454923</v>
      </c>
      <c r="AB171" s="31">
        <v>0</v>
      </c>
      <c r="AC171" s="31">
        <v>114701849.793092</v>
      </c>
      <c r="AD171" s="31">
        <v>83981900.131013393</v>
      </c>
      <c r="AE171" s="31">
        <v>7692093.7098586299</v>
      </c>
      <c r="AH171" s="531" t="s">
        <v>1762</v>
      </c>
      <c r="AI171" s="31">
        <v>25.755425140096602</v>
      </c>
      <c r="AJ171" s="31">
        <v>18.766228767659701</v>
      </c>
      <c r="AK171" s="31">
        <v>24.435379809594</v>
      </c>
    </row>
    <row r="172" spans="1:37" x14ac:dyDescent="0.25">
      <c r="C172" s="31" t="s">
        <v>2463</v>
      </c>
      <c r="D172">
        <v>0.8</v>
      </c>
      <c r="E172" s="90">
        <v>1</v>
      </c>
      <c r="F172">
        <v>1.2</v>
      </c>
      <c r="G172">
        <v>3772.9909211311483</v>
      </c>
      <c r="H172" s="34">
        <f>Figures!$F$181</f>
        <v>4239.2093596354671</v>
      </c>
      <c r="I172">
        <v>4172.1038929493625</v>
      </c>
      <c r="J172" s="10">
        <f t="shared" si="32"/>
        <v>-0.10997768662796339</v>
      </c>
      <c r="K172" s="10">
        <f t="shared" si="33"/>
        <v>-1.6084323019738153E-2</v>
      </c>
      <c r="L172" s="31">
        <v>631.61959219900905</v>
      </c>
      <c r="N172" s="31"/>
      <c r="O172" s="31" t="s">
        <v>552</v>
      </c>
      <c r="P172" s="31">
        <v>1071.68043816161</v>
      </c>
      <c r="Q172" s="31">
        <v>1071.68043816161</v>
      </c>
      <c r="R172" s="31">
        <v>1071.68043816161</v>
      </c>
      <c r="S172" s="31" t="s">
        <v>964</v>
      </c>
      <c r="T172">
        <f t="shared" ref="T172:T180" si="34">SUM(T163:W163)</f>
        <v>1283073410.556726</v>
      </c>
      <c r="X172">
        <f t="shared" ref="X172:X180" si="35">SUM(X163:AA163)</f>
        <v>1112936421.8610601</v>
      </c>
      <c r="AB172" s="31">
        <f t="shared" ref="AB172:AB180" si="36">SUM(AB163:AE163)</f>
        <v>1276618886.0106511</v>
      </c>
      <c r="AC172" s="31"/>
      <c r="AD172" s="31"/>
      <c r="AE172" s="31"/>
      <c r="AH172" s="31" t="s">
        <v>552</v>
      </c>
      <c r="AI172" s="31">
        <v>1071.68043816161</v>
      </c>
      <c r="AJ172" s="31">
        <v>1071.68043816161</v>
      </c>
      <c r="AK172" s="31">
        <v>1071.68043816161</v>
      </c>
    </row>
    <row r="173" spans="1:37" x14ac:dyDescent="0.25">
      <c r="C173" s="31" t="s">
        <v>2329</v>
      </c>
      <c r="D173" s="31">
        <v>24</v>
      </c>
      <c r="E173" s="31">
        <v>30</v>
      </c>
      <c r="F173" s="31">
        <f>E173*1.2</f>
        <v>36</v>
      </c>
      <c r="G173">
        <v>3366.2160909886734</v>
      </c>
      <c r="H173" s="34">
        <f>Figures!$F$181</f>
        <v>4239.2093596354671</v>
      </c>
      <c r="I173">
        <v>4463.6202439983663</v>
      </c>
      <c r="J173" s="10">
        <f t="shared" si="32"/>
        <v>-0.20593303953307535</v>
      </c>
      <c r="K173" s="10">
        <f t="shared" si="33"/>
        <v>5.0275532436845301E-2</v>
      </c>
      <c r="L173" s="31">
        <v>1.8738491283660299</v>
      </c>
      <c r="N173" s="31"/>
      <c r="O173" s="31" t="s">
        <v>998</v>
      </c>
      <c r="P173" s="31">
        <v>0.83282183482934602</v>
      </c>
      <c r="Q173" s="31">
        <v>0.83282183482934602</v>
      </c>
      <c r="R173" s="31">
        <v>0.83282183482934602</v>
      </c>
      <c r="S173" s="31" t="s">
        <v>963</v>
      </c>
      <c r="T173" s="31">
        <f t="shared" si="34"/>
        <v>9463525.2619786691</v>
      </c>
      <c r="X173" s="31">
        <f t="shared" si="35"/>
        <v>94670384.862931252</v>
      </c>
      <c r="AB173" s="31">
        <f t="shared" si="36"/>
        <v>35315496.764537401</v>
      </c>
      <c r="AH173" s="31" t="s">
        <v>998</v>
      </c>
      <c r="AI173" s="31">
        <v>0.83282183482934602</v>
      </c>
      <c r="AJ173" s="31">
        <v>0.83282183482934602</v>
      </c>
      <c r="AK173" s="31">
        <v>0.83282183482934602</v>
      </c>
    </row>
    <row r="174" spans="1:37" x14ac:dyDescent="0.25">
      <c r="C174" s="31" t="s">
        <v>2341</v>
      </c>
      <c r="D174" s="31">
        <f>E174*0.8</f>
        <v>6.5142857142857142</v>
      </c>
      <c r="E174" s="31">
        <v>8.1428571428571423</v>
      </c>
      <c r="F174" s="31">
        <f>E174*1.2</f>
        <v>9.7714285714285705</v>
      </c>
      <c r="G174">
        <v>3280.4976503196795</v>
      </c>
      <c r="H174" s="34">
        <f>Figures!$F$181</f>
        <v>4239.2093596354671</v>
      </c>
      <c r="I174">
        <v>4543.2465387016873</v>
      </c>
      <c r="J174" s="10">
        <f t="shared" si="32"/>
        <v>-0.22615342342946421</v>
      </c>
      <c r="K174" s="10">
        <f t="shared" si="33"/>
        <v>6.6920686886849906E-2</v>
      </c>
      <c r="L174" s="31">
        <v>1.1485474573755901</v>
      </c>
      <c r="N174" s="31"/>
      <c r="O174" s="31" t="s">
        <v>1286</v>
      </c>
      <c r="P174" s="31">
        <v>0.69148828130396001</v>
      </c>
      <c r="Q174" s="31">
        <v>0.69148828130396001</v>
      </c>
      <c r="R174" s="31">
        <v>0.69148828130396001</v>
      </c>
      <c r="S174" s="31" t="s">
        <v>2310</v>
      </c>
      <c r="T174" s="31">
        <f t="shared" si="34"/>
        <v>11121494565.453749</v>
      </c>
      <c r="X174" s="31">
        <f t="shared" si="35"/>
        <v>5681062640.1114492</v>
      </c>
      <c r="AB174" s="31">
        <f t="shared" si="36"/>
        <v>8197366168.7171659</v>
      </c>
      <c r="AH174" s="31" t="s">
        <v>1286</v>
      </c>
      <c r="AI174" s="31">
        <v>0.69148828130396001</v>
      </c>
      <c r="AJ174" s="31">
        <v>0.69148828130396001</v>
      </c>
      <c r="AK174" s="31">
        <v>0.69148828130396001</v>
      </c>
    </row>
    <row r="175" spans="1:37" x14ac:dyDescent="0.25">
      <c r="C175" s="31" t="s">
        <v>2464</v>
      </c>
      <c r="D175" s="31">
        <v>0.8</v>
      </c>
      <c r="E175" s="90">
        <v>1</v>
      </c>
      <c r="F175" s="31">
        <v>1.2</v>
      </c>
      <c r="G175">
        <v>3518.8404051435141</v>
      </c>
      <c r="H175" s="34">
        <f>Figures!$F$181</f>
        <v>4239.2093596354671</v>
      </c>
      <c r="I175">
        <v>4589.5937182696407</v>
      </c>
      <c r="J175" s="10">
        <f t="shared" si="32"/>
        <v>-0.16993002547859493</v>
      </c>
      <c r="K175" s="10">
        <f t="shared" si="33"/>
        <v>7.634321906085291E-2</v>
      </c>
      <c r="L175" s="31">
        <v>1.52172663142972</v>
      </c>
      <c r="N175" s="31"/>
      <c r="O175" s="31" t="s">
        <v>1282</v>
      </c>
      <c r="P175" s="31">
        <v>0.91616252008096899</v>
      </c>
      <c r="Q175" s="31">
        <v>0.91616252008096899</v>
      </c>
      <c r="R175" s="31">
        <v>0.91616252008096899</v>
      </c>
      <c r="S175" s="31" t="s">
        <v>2000</v>
      </c>
      <c r="T175" s="31">
        <f t="shared" si="34"/>
        <v>8752545402.2193298</v>
      </c>
      <c r="X175" s="31">
        <f t="shared" si="35"/>
        <v>2741516658.7771707</v>
      </c>
      <c r="AB175" s="31">
        <f t="shared" si="36"/>
        <v>5119125701.5336151</v>
      </c>
      <c r="AH175" s="31" t="s">
        <v>1282</v>
      </c>
      <c r="AI175" s="31">
        <v>0.91616252008096899</v>
      </c>
      <c r="AJ175" s="31">
        <v>0.91616252008096899</v>
      </c>
      <c r="AK175" s="31">
        <v>0.91616252008096899</v>
      </c>
    </row>
    <row r="176" spans="1:37" x14ac:dyDescent="0.25">
      <c r="C176" s="31"/>
      <c r="D176" s="31"/>
      <c r="F176" s="31"/>
      <c r="H176" s="31"/>
      <c r="K176" s="31"/>
      <c r="L176" s="31">
        <v>730.25861232998102</v>
      </c>
      <c r="N176" s="31"/>
      <c r="O176" s="31" t="s">
        <v>721</v>
      </c>
      <c r="P176" s="31">
        <v>730.25861232998102</v>
      </c>
      <c r="Q176" s="31">
        <v>730.25861232998102</v>
      </c>
      <c r="R176" s="31">
        <v>730.25861232998102</v>
      </c>
      <c r="S176" s="31" t="s">
        <v>2298</v>
      </c>
      <c r="T176" s="31">
        <f t="shared" si="34"/>
        <v>110135766.78748821</v>
      </c>
      <c r="X176" s="31">
        <f t="shared" si="35"/>
        <v>74671462.535468027</v>
      </c>
      <c r="AB176" s="31">
        <f t="shared" si="36"/>
        <v>96948607.568495855</v>
      </c>
      <c r="AH176" s="31" t="s">
        <v>721</v>
      </c>
      <c r="AI176" s="31">
        <v>730.25861232998102</v>
      </c>
      <c r="AJ176" s="31">
        <v>730.25861232998102</v>
      </c>
      <c r="AK176" s="31">
        <v>730.25861232998102</v>
      </c>
    </row>
    <row r="177" spans="8:37" x14ac:dyDescent="0.25">
      <c r="H177" s="31"/>
      <c r="K177" s="31"/>
      <c r="L177" s="31">
        <v>2.0966714736283101</v>
      </c>
      <c r="N177" s="31"/>
      <c r="O177" s="31" t="s">
        <v>1862</v>
      </c>
      <c r="P177" s="31">
        <v>0.93185398827924704</v>
      </c>
      <c r="Q177" s="31">
        <v>0.93185398827924704</v>
      </c>
      <c r="R177" s="31">
        <v>0.93185398827924704</v>
      </c>
      <c r="S177" s="31" t="s">
        <v>2311</v>
      </c>
      <c r="T177" s="31">
        <f t="shared" si="34"/>
        <v>100964707.25162819</v>
      </c>
      <c r="X177" s="31">
        <f t="shared" si="35"/>
        <v>130409923.93420169</v>
      </c>
      <c r="AB177" s="31">
        <f t="shared" si="36"/>
        <v>151014571.98769286</v>
      </c>
      <c r="AH177" s="31" t="s">
        <v>1862</v>
      </c>
      <c r="AI177" s="31">
        <v>0.93185398827924704</v>
      </c>
      <c r="AJ177" s="31">
        <v>0.93185398827924704</v>
      </c>
      <c r="AK177" s="31">
        <v>0.93185398827924704</v>
      </c>
    </row>
    <row r="178" spans="8:37" x14ac:dyDescent="0.25">
      <c r="H178" s="31"/>
      <c r="K178" s="31"/>
      <c r="L178" s="31">
        <v>1.0265977798802099</v>
      </c>
      <c r="N178" s="31"/>
      <c r="O178" s="31" t="s">
        <v>1863</v>
      </c>
      <c r="P178" s="31">
        <v>0.45626567994675898</v>
      </c>
      <c r="Q178" s="31">
        <v>0.45626567994675898</v>
      </c>
      <c r="R178" s="31">
        <v>0.45626567994675898</v>
      </c>
      <c r="S178" s="31" t="s">
        <v>2312</v>
      </c>
      <c r="T178" s="31">
        <f t="shared" si="34"/>
        <v>83294740.431548715</v>
      </c>
      <c r="X178" s="31">
        <f t="shared" si="35"/>
        <v>205813417.58036256</v>
      </c>
      <c r="AB178" s="31">
        <f t="shared" si="36"/>
        <v>167248201.86354053</v>
      </c>
      <c r="AH178" s="31" t="s">
        <v>1863</v>
      </c>
      <c r="AI178" s="31">
        <v>0.45626567994675898</v>
      </c>
      <c r="AJ178" s="31">
        <v>0.45626567994675898</v>
      </c>
      <c r="AK178" s="31">
        <v>0.45626567994675898</v>
      </c>
    </row>
    <row r="179" spans="8:37" x14ac:dyDescent="0.25">
      <c r="H179" s="31"/>
      <c r="K179" s="31"/>
      <c r="L179" s="31">
        <v>0.188953706904364</v>
      </c>
      <c r="N179" s="31"/>
      <c r="O179" s="31" t="s">
        <v>1864</v>
      </c>
      <c r="P179" s="31">
        <v>8.3979425290828594E-2</v>
      </c>
      <c r="Q179" s="31">
        <v>8.3979425290828594E-2</v>
      </c>
      <c r="R179" s="31">
        <v>8.3979425290828594E-2</v>
      </c>
      <c r="S179" s="31" t="s">
        <v>2313</v>
      </c>
      <c r="T179" s="31">
        <f t="shared" si="34"/>
        <v>12242987.251292123</v>
      </c>
      <c r="X179" s="31">
        <f t="shared" si="35"/>
        <v>362381132.80117619</v>
      </c>
      <c r="AB179" s="31">
        <f t="shared" si="36"/>
        <v>85752055.904711172</v>
      </c>
      <c r="AH179" s="31" t="s">
        <v>1864</v>
      </c>
      <c r="AI179" s="31">
        <v>8.3979425290828594E-2</v>
      </c>
      <c r="AJ179" s="31">
        <v>8.3979425290828594E-2</v>
      </c>
      <c r="AK179" s="31">
        <v>8.3979425290828594E-2</v>
      </c>
    </row>
    <row r="180" spans="8:37" x14ac:dyDescent="0.25">
      <c r="H180" s="31"/>
      <c r="K180" s="31"/>
      <c r="L180" s="31">
        <v>3.8982274507707499</v>
      </c>
      <c r="N180" s="31"/>
      <c r="O180" s="31" t="s">
        <v>616</v>
      </c>
      <c r="P180" s="31">
        <v>1.7325455336758899</v>
      </c>
      <c r="Q180" s="31">
        <v>1.7325455336758899</v>
      </c>
      <c r="R180" s="31">
        <v>1.7325455336758899</v>
      </c>
      <c r="S180" s="31" t="s">
        <v>2309</v>
      </c>
      <c r="T180" s="31">
        <f t="shared" si="34"/>
        <v>29202523.897989742</v>
      </c>
      <c r="X180" s="31">
        <f t="shared" si="35"/>
        <v>761847407.71775937</v>
      </c>
      <c r="AB180" s="31">
        <f t="shared" si="36"/>
        <v>206375843.63396403</v>
      </c>
      <c r="AH180" s="31" t="s">
        <v>616</v>
      </c>
      <c r="AI180" s="31">
        <v>1.7325455336758899</v>
      </c>
      <c r="AJ180" s="31">
        <v>1.7325455336758899</v>
      </c>
      <c r="AK180" s="31">
        <v>1.7325455336758899</v>
      </c>
    </row>
    <row r="181" spans="8:37" x14ac:dyDescent="0.25">
      <c r="H181" s="31"/>
      <c r="K181" s="31"/>
      <c r="L181" s="31">
        <v>133.33488267000399</v>
      </c>
      <c r="N181" s="31"/>
      <c r="O181" s="31" t="s">
        <v>1210</v>
      </c>
      <c r="P181" s="31">
        <v>59.259947853335198</v>
      </c>
      <c r="Q181" s="31">
        <v>59.259947853335198</v>
      </c>
      <c r="R181" s="31">
        <v>59.259947853335198</v>
      </c>
      <c r="AD181" s="261" t="s">
        <v>2337</v>
      </c>
      <c r="AH181" s="31" t="s">
        <v>1210</v>
      </c>
      <c r="AI181" s="31">
        <v>59.259947853335198</v>
      </c>
      <c r="AJ181" s="31">
        <v>59.259947853335198</v>
      </c>
      <c r="AK181" s="31">
        <v>59.259947853335198</v>
      </c>
    </row>
    <row r="182" spans="8:37" x14ac:dyDescent="0.25">
      <c r="H182" s="31"/>
      <c r="K182" s="31"/>
      <c r="L182" s="31">
        <v>1.21403570948813</v>
      </c>
      <c r="N182" s="31"/>
      <c r="O182" s="31" t="s">
        <v>2177</v>
      </c>
      <c r="P182" s="31">
        <v>0.539571426439167</v>
      </c>
      <c r="Q182" s="31">
        <v>0.539571426439167</v>
      </c>
      <c r="R182" s="31">
        <v>0.539571426439167</v>
      </c>
      <c r="AD182" t="s">
        <v>2334</v>
      </c>
      <c r="AH182" s="31" t="s">
        <v>2177</v>
      </c>
      <c r="AI182" s="31">
        <v>0.539571426439167</v>
      </c>
      <c r="AJ182" s="31">
        <v>0.539571426439167</v>
      </c>
      <c r="AK182" s="31">
        <v>0.539571426439167</v>
      </c>
    </row>
    <row r="183" spans="8:37" x14ac:dyDescent="0.25">
      <c r="K183" s="31"/>
      <c r="L183" s="31">
        <v>8.1186921675606306E-3</v>
      </c>
      <c r="N183" s="31"/>
      <c r="O183" s="31" t="s">
        <v>2314</v>
      </c>
      <c r="P183" s="31">
        <v>3.6083076300269501E-3</v>
      </c>
      <c r="Q183" s="31">
        <v>3.6083076300269501E-3</v>
      </c>
      <c r="R183" s="31">
        <v>3.6083076300269501E-3</v>
      </c>
      <c r="AD183" t="s">
        <v>2333</v>
      </c>
      <c r="AH183" s="31" t="s">
        <v>2314</v>
      </c>
      <c r="AI183" s="31">
        <v>3.6083076300269501E-3</v>
      </c>
      <c r="AJ183" s="31">
        <v>3.6083076300269501E-3</v>
      </c>
      <c r="AK183" s="31">
        <v>3.6083076300269501E-3</v>
      </c>
    </row>
    <row r="184" spans="8:37" x14ac:dyDescent="0.25">
      <c r="K184" s="31"/>
      <c r="L184" s="31">
        <v>0.19628999064819699</v>
      </c>
      <c r="N184" s="31"/>
      <c r="O184" s="31" t="s">
        <v>2178</v>
      </c>
      <c r="P184" s="31">
        <v>8.7239995843643101E-2</v>
      </c>
      <c r="Q184" s="31">
        <v>8.7239995843643101E-2</v>
      </c>
      <c r="R184" s="31">
        <v>8.7239995843643101E-2</v>
      </c>
      <c r="AD184" t="s">
        <v>2335</v>
      </c>
      <c r="AH184" s="31" t="s">
        <v>2178</v>
      </c>
      <c r="AI184" s="31">
        <v>8.7239995843643101E-2</v>
      </c>
      <c r="AJ184" s="31">
        <v>8.7239995843643101E-2</v>
      </c>
      <c r="AK184" s="31">
        <v>8.7239995843643101E-2</v>
      </c>
    </row>
    <row r="185" spans="8:37" x14ac:dyDescent="0.25">
      <c r="K185" s="31"/>
      <c r="L185" s="31">
        <v>7.3918207234744404</v>
      </c>
      <c r="N185" s="31"/>
      <c r="O185" s="31" t="s">
        <v>999</v>
      </c>
      <c r="P185" s="31">
        <v>7.3918207234744404</v>
      </c>
      <c r="Q185" s="31">
        <v>7.3918207234744404</v>
      </c>
      <c r="R185" s="31">
        <v>7.3918207234744404</v>
      </c>
      <c r="AH185" s="31" t="s">
        <v>999</v>
      </c>
      <c r="AI185" s="31">
        <v>7.3918207234744404</v>
      </c>
      <c r="AJ185" s="31">
        <v>7.3918207234744404</v>
      </c>
      <c r="AK185" s="31">
        <v>7.3918207234744404</v>
      </c>
    </row>
    <row r="186" spans="8:37" x14ac:dyDescent="0.25">
      <c r="K186" s="31"/>
      <c r="L186" s="31">
        <v>51.770824548788497</v>
      </c>
      <c r="N186" s="31"/>
      <c r="O186" s="31" t="s">
        <v>1077</v>
      </c>
      <c r="P186" s="31">
        <v>70.129942026203807</v>
      </c>
      <c r="Q186" s="31">
        <v>70.129942026203807</v>
      </c>
      <c r="R186" s="31">
        <v>70.129942026203807</v>
      </c>
      <c r="AH186" s="31" t="s">
        <v>1077</v>
      </c>
      <c r="AI186" s="31">
        <v>70.129942026203807</v>
      </c>
      <c r="AJ186" s="31">
        <v>70.129942026203807</v>
      </c>
      <c r="AK186" s="31">
        <v>70.129942026203807</v>
      </c>
    </row>
    <row r="187" spans="8:37" x14ac:dyDescent="0.25">
      <c r="K187" s="31"/>
      <c r="L187" s="31">
        <v>51.770824548788497</v>
      </c>
      <c r="N187" s="31"/>
      <c r="O187" s="31" t="s">
        <v>2095</v>
      </c>
      <c r="P187" s="31">
        <v>70.129942026203807</v>
      </c>
      <c r="Q187" s="31">
        <v>70.129942026203807</v>
      </c>
      <c r="R187" s="31">
        <v>70.129942026203807</v>
      </c>
      <c r="AH187" s="31" t="s">
        <v>2095</v>
      </c>
      <c r="AI187" s="31">
        <v>70.129942026203807</v>
      </c>
      <c r="AJ187" s="31">
        <v>70.129942026203807</v>
      </c>
      <c r="AK187" s="31">
        <v>70.129942026203807</v>
      </c>
    </row>
    <row r="188" spans="8:37" x14ac:dyDescent="0.25">
      <c r="K188" s="31"/>
      <c r="L188" s="31">
        <v>64.508744573048403</v>
      </c>
      <c r="N188" s="31"/>
      <c r="O188" s="31" t="s">
        <v>1078</v>
      </c>
      <c r="P188" s="31">
        <v>87.385019584296799</v>
      </c>
      <c r="Q188" s="31">
        <v>87.385019584296799</v>
      </c>
      <c r="R188" s="31">
        <v>87.385019584296799</v>
      </c>
      <c r="AH188" s="31" t="s">
        <v>1078</v>
      </c>
      <c r="AI188" s="31">
        <v>87.385019584296799</v>
      </c>
      <c r="AJ188" s="31">
        <v>87.385019584296799</v>
      </c>
      <c r="AK188" s="31">
        <v>87.385019584296799</v>
      </c>
    </row>
    <row r="189" spans="8:37" x14ac:dyDescent="0.25">
      <c r="K189" s="31"/>
      <c r="L189" s="31">
        <v>1.3033532362270901</v>
      </c>
      <c r="N189" s="31"/>
      <c r="O189" s="31" t="s">
        <v>1386</v>
      </c>
      <c r="P189" s="31">
        <v>0.60331251117064499</v>
      </c>
      <c r="Q189" s="31">
        <v>0.60331251117064499</v>
      </c>
      <c r="R189" s="31">
        <v>0.60331251117064499</v>
      </c>
      <c r="AH189" s="31" t="s">
        <v>1386</v>
      </c>
      <c r="AI189" s="31">
        <v>0.60331251117064499</v>
      </c>
      <c r="AJ189" s="31">
        <v>0.60331251117064499</v>
      </c>
      <c r="AK189" s="31">
        <v>0.60331251117064499</v>
      </c>
    </row>
    <row r="190" spans="8:37" x14ac:dyDescent="0.25">
      <c r="K190" s="31"/>
      <c r="L190" s="31">
        <v>43.6960854827879</v>
      </c>
      <c r="N190" s="31"/>
      <c r="O190" s="31" t="s">
        <v>2030</v>
      </c>
      <c r="P190" s="31">
        <v>82.754538489148402</v>
      </c>
      <c r="Q190" s="31">
        <v>76.551947839849902</v>
      </c>
      <c r="R190" s="31">
        <v>79.667958504907503</v>
      </c>
      <c r="AH190" s="31" t="s">
        <v>2030</v>
      </c>
      <c r="AI190" s="31">
        <v>80.0078437362682</v>
      </c>
      <c r="AJ190" s="31">
        <v>79.320607855256995</v>
      </c>
      <c r="AK190" s="31">
        <v>79.667958504907503</v>
      </c>
    </row>
    <row r="191" spans="8:37" x14ac:dyDescent="0.25">
      <c r="K191" s="31"/>
      <c r="L191" s="31">
        <v>0</v>
      </c>
      <c r="N191" s="31"/>
      <c r="O191" s="31" t="s">
        <v>2031</v>
      </c>
      <c r="P191" s="31">
        <v>616.37756635971402</v>
      </c>
      <c r="Q191" s="31">
        <v>0</v>
      </c>
      <c r="R191" s="31">
        <v>0</v>
      </c>
      <c r="AH191" s="31" t="s">
        <v>2031</v>
      </c>
      <c r="AI191" s="31">
        <v>0</v>
      </c>
      <c r="AJ191" s="31">
        <v>0</v>
      </c>
      <c r="AK191" s="31">
        <v>0</v>
      </c>
    </row>
    <row r="192" spans="8:37" x14ac:dyDescent="0.25">
      <c r="K192" s="31"/>
      <c r="L192" s="31">
        <v>0.11577019876518201</v>
      </c>
      <c r="N192" s="31"/>
      <c r="O192" s="31" t="s">
        <v>2098</v>
      </c>
      <c r="P192" s="31">
        <v>6.2919310922425504</v>
      </c>
      <c r="Q192" s="31">
        <v>12.7473538969214</v>
      </c>
      <c r="R192" s="31">
        <v>9.1704353680592607</v>
      </c>
      <c r="AH192" s="31" t="s">
        <v>2098</v>
      </c>
      <c r="AI192" s="31">
        <v>8.9287948761492704</v>
      </c>
      <c r="AJ192" s="31">
        <v>9.4084027848240108</v>
      </c>
      <c r="AK192" s="31">
        <v>9.1704353680592607</v>
      </c>
    </row>
    <row r="193" spans="1:37" x14ac:dyDescent="0.25">
      <c r="K193" s="31"/>
      <c r="L193">
        <f>SUM(L163:L192)</f>
        <v>3839.048487754877</v>
      </c>
      <c r="M193"/>
      <c r="N193" s="31"/>
      <c r="O193" s="31"/>
      <c r="P193" s="37">
        <f>SUM(P163:P192)</f>
        <v>4297.7948761314055</v>
      </c>
      <c r="Q193" s="37">
        <f>SUM(Q163:Q192)</f>
        <v>4764.8446085707528</v>
      </c>
      <c r="R193" s="37">
        <f>SUM(R163:R192)</f>
        <v>4080.4926583661372</v>
      </c>
      <c r="AH193" s="31"/>
      <c r="AI193" s="37">
        <f>SUM(AI163:AI192)</f>
        <v>4123.8979431856833</v>
      </c>
      <c r="AJ193" s="37">
        <f>SUM(AJ163:AJ192)</f>
        <v>4026.5087740586209</v>
      </c>
      <c r="AK193" s="37">
        <f>SUM(AK163:AK192)</f>
        <v>4080.4926583661372</v>
      </c>
    </row>
    <row r="194" spans="1:37" x14ac:dyDescent="0.25">
      <c r="M194"/>
      <c r="N194" s="31"/>
      <c r="O194" s="31"/>
      <c r="P194" s="31"/>
      <c r="Q194" s="31"/>
      <c r="R194" s="31"/>
      <c r="AJ194" s="31"/>
    </row>
    <row r="195" spans="1:37" x14ac:dyDescent="0.25">
      <c r="M195"/>
      <c r="N195" s="31"/>
      <c r="O195" s="31"/>
      <c r="P195" s="31"/>
      <c r="Q195" s="31"/>
      <c r="R195" s="31"/>
    </row>
    <row r="196" spans="1:37" x14ac:dyDescent="0.25">
      <c r="M196"/>
      <c r="N196" s="31"/>
      <c r="O196" s="31"/>
      <c r="P196" s="31"/>
      <c r="Q196" s="31"/>
      <c r="R196" s="31"/>
    </row>
    <row r="197" spans="1:37" x14ac:dyDescent="0.25">
      <c r="M197"/>
      <c r="N197" s="31"/>
      <c r="O197" s="31"/>
      <c r="P197" s="31"/>
      <c r="Q197" s="31"/>
      <c r="R197" s="31"/>
    </row>
    <row r="198" spans="1:37" x14ac:dyDescent="0.25">
      <c r="O198" s="31"/>
      <c r="P198" s="31"/>
      <c r="Q198" s="31"/>
      <c r="R198" s="31"/>
    </row>
    <row r="199" spans="1:37" x14ac:dyDescent="0.25">
      <c r="O199" s="31"/>
      <c r="P199" s="31"/>
      <c r="Q199" s="31"/>
      <c r="R199" s="31"/>
    </row>
    <row r="200" spans="1:37" x14ac:dyDescent="0.25">
      <c r="O200" s="31"/>
      <c r="P200" s="31"/>
      <c r="Q200" s="31"/>
      <c r="R200" s="31"/>
    </row>
    <row r="201" spans="1:37" x14ac:dyDescent="0.25">
      <c r="O201" s="31"/>
      <c r="P201" s="31"/>
      <c r="Q201" s="31"/>
      <c r="R201" s="31"/>
    </row>
    <row r="202" spans="1:37" x14ac:dyDescent="0.25">
      <c r="O202" s="31"/>
      <c r="P202" s="31"/>
      <c r="Q202" s="31"/>
      <c r="R202" s="31"/>
    </row>
    <row r="203" spans="1:37" x14ac:dyDescent="0.25">
      <c r="O203" s="31"/>
      <c r="P203" s="31"/>
      <c r="Q203" s="31"/>
      <c r="R203" s="31"/>
    </row>
    <row r="204" spans="1:37" x14ac:dyDescent="0.25">
      <c r="C204" t="s">
        <v>2347</v>
      </c>
      <c r="O204" s="31"/>
      <c r="P204" s="31"/>
      <c r="Q204" s="31"/>
      <c r="R204" s="31"/>
    </row>
    <row r="205" spans="1:37" ht="15.75" thickBot="1" x14ac:dyDescent="0.3">
      <c r="A205" s="603" t="s">
        <v>2280</v>
      </c>
      <c r="B205" s="603" t="s">
        <v>212</v>
      </c>
      <c r="C205" s="603" t="s">
        <v>2274</v>
      </c>
      <c r="D205" s="603" t="s">
        <v>2252</v>
      </c>
      <c r="E205" s="603" t="s">
        <v>2273</v>
      </c>
      <c r="F205" s="604">
        <v>-0.2</v>
      </c>
      <c r="G205" s="603" t="s">
        <v>116</v>
      </c>
      <c r="H205" s="605">
        <v>20</v>
      </c>
      <c r="I205" s="603"/>
      <c r="M205"/>
      <c r="N205" s="31"/>
      <c r="O205" s="31"/>
      <c r="P205" s="31"/>
      <c r="Q205" s="31"/>
      <c r="R205" s="31"/>
    </row>
    <row r="206" spans="1:37" ht="15.75" thickTop="1" x14ac:dyDescent="0.25">
      <c r="A206" s="31">
        <v>265</v>
      </c>
      <c r="B206" s="31" t="s">
        <v>2270</v>
      </c>
      <c r="C206" s="31" t="s">
        <v>2271</v>
      </c>
      <c r="D206" s="31" t="s">
        <v>2195</v>
      </c>
      <c r="E206" s="31">
        <v>722970</v>
      </c>
      <c r="F206">
        <v>2637.5843211396686</v>
      </c>
      <c r="G206" s="598">
        <v>2233.5747799364194</v>
      </c>
      <c r="H206">
        <v>2467.8249111713058</v>
      </c>
      <c r="M206"/>
      <c r="N206" s="31"/>
      <c r="O206" s="31"/>
      <c r="P206" s="31"/>
      <c r="Q206" s="31"/>
      <c r="R206" s="31"/>
    </row>
    <row r="207" spans="1:37" x14ac:dyDescent="0.25">
      <c r="A207" s="31">
        <v>750</v>
      </c>
      <c r="B207" s="31" t="s">
        <v>2276</v>
      </c>
      <c r="C207" s="31" t="s">
        <v>2275</v>
      </c>
      <c r="D207" s="31" t="s">
        <v>2209</v>
      </c>
      <c r="E207" s="31">
        <v>726060</v>
      </c>
      <c r="F207">
        <v>3182.0180088471143</v>
      </c>
      <c r="G207" s="598">
        <v>3261.7842376877384</v>
      </c>
      <c r="H207">
        <v>3777.9032281280329</v>
      </c>
      <c r="M207"/>
      <c r="N207" s="31"/>
      <c r="O207" s="31"/>
      <c r="P207" s="31"/>
      <c r="Q207" s="31"/>
      <c r="R207" s="31"/>
    </row>
    <row r="208" spans="1:37" ht="15.75" thickBot="1" x14ac:dyDescent="0.3">
      <c r="A208" s="31">
        <v>876</v>
      </c>
      <c r="B208" s="31" t="s">
        <v>2276</v>
      </c>
      <c r="C208" s="31" t="s">
        <v>2275</v>
      </c>
      <c r="D208" s="31" t="s">
        <v>2227</v>
      </c>
      <c r="E208" s="31">
        <v>726986</v>
      </c>
      <c r="F208">
        <v>2751.100041918633</v>
      </c>
      <c r="G208" s="598">
        <v>2748.6366595481845</v>
      </c>
      <c r="H208">
        <v>3301.5299444542839</v>
      </c>
      <c r="N208" s="31"/>
      <c r="O208" s="31"/>
      <c r="P208" s="31"/>
      <c r="Q208" s="31"/>
      <c r="R208" s="31"/>
      <c r="AI208" t="s">
        <v>2357</v>
      </c>
    </row>
    <row r="209" spans="1:37" ht="15.75" thickBot="1" x14ac:dyDescent="0.3">
      <c r="A209" s="31">
        <v>509</v>
      </c>
      <c r="B209" s="31" t="s">
        <v>2278</v>
      </c>
      <c r="C209" s="31" t="s">
        <v>2277</v>
      </c>
      <c r="D209" s="31" t="s">
        <v>2196</v>
      </c>
      <c r="E209" s="31">
        <v>724666</v>
      </c>
      <c r="F209" s="31">
        <v>3518.8404051435141</v>
      </c>
      <c r="G209" s="598">
        <v>3916.8152754198054</v>
      </c>
      <c r="H209" s="31">
        <v>4589.5937182696407</v>
      </c>
      <c r="N209" s="31"/>
      <c r="O209" s="31"/>
      <c r="P209" s="793" t="s">
        <v>2284</v>
      </c>
      <c r="Q209" s="794"/>
      <c r="R209" s="795"/>
      <c r="AI209" s="793" t="s">
        <v>2284</v>
      </c>
      <c r="AJ209" s="796"/>
      <c r="AK209" s="797"/>
    </row>
    <row r="210" spans="1:37" ht="30" x14ac:dyDescent="0.25">
      <c r="A210" s="31">
        <v>84</v>
      </c>
      <c r="B210" s="31" t="s">
        <v>2278</v>
      </c>
      <c r="C210" s="31" t="s">
        <v>2279</v>
      </c>
      <c r="D210" s="31" t="s">
        <v>2199</v>
      </c>
      <c r="E210" s="31">
        <v>722020</v>
      </c>
      <c r="F210">
        <v>4820.5317133539193</v>
      </c>
      <c r="G210" s="598">
        <v>3839.048487754877</v>
      </c>
      <c r="H210">
        <v>3161.9129308019114</v>
      </c>
      <c r="N210" s="31"/>
      <c r="O210" s="31"/>
      <c r="P210" s="154" t="s">
        <v>2331</v>
      </c>
      <c r="Q210" s="154" t="s">
        <v>2330</v>
      </c>
      <c r="R210" s="154" t="s">
        <v>2336</v>
      </c>
      <c r="AI210" s="154" t="s">
        <v>2359</v>
      </c>
      <c r="AJ210" s="154" t="s">
        <v>2358</v>
      </c>
      <c r="AK210" s="154" t="s">
        <v>2336</v>
      </c>
    </row>
    <row r="211" spans="1:37" x14ac:dyDescent="0.25">
      <c r="N211" s="31"/>
      <c r="O211" s="211" t="s">
        <v>978</v>
      </c>
      <c r="P211" s="31">
        <v>15.9749765275801</v>
      </c>
      <c r="Q211" s="31">
        <v>164.15236302963999</v>
      </c>
      <c r="R211" s="31">
        <v>46.428848158563902</v>
      </c>
      <c r="AH211" s="211" t="s">
        <v>978</v>
      </c>
      <c r="AI211" s="31">
        <v>43.558798246725097</v>
      </c>
      <c r="AJ211" s="31">
        <v>46.736336337692002</v>
      </c>
      <c r="AK211" s="31">
        <v>46.428848158563902</v>
      </c>
    </row>
    <row r="212" spans="1:37" x14ac:dyDescent="0.25">
      <c r="N212" s="31"/>
      <c r="O212" s="211" t="s">
        <v>979</v>
      </c>
      <c r="P212" s="31">
        <v>4.5158914972813404</v>
      </c>
      <c r="Q212" s="31">
        <v>7.1478592096331104</v>
      </c>
      <c r="R212" s="31">
        <v>5.4897984562921902</v>
      </c>
      <c r="AH212" s="211" t="s">
        <v>979</v>
      </c>
      <c r="AI212" s="31">
        <v>5.5385132815852796</v>
      </c>
      <c r="AJ212" s="31">
        <v>5.9023379594749601</v>
      </c>
      <c r="AK212" s="31">
        <v>5.4897984562921902</v>
      </c>
    </row>
    <row r="213" spans="1:37" x14ac:dyDescent="0.25">
      <c r="N213" s="31"/>
      <c r="O213" s="211" t="s">
        <v>2304</v>
      </c>
      <c r="P213" s="31">
        <v>12.3685741707987</v>
      </c>
      <c r="Q213" s="31">
        <v>117.99279689391</v>
      </c>
      <c r="R213" s="31">
        <v>44.509610272558497</v>
      </c>
      <c r="AH213" s="211" t="s">
        <v>2304</v>
      </c>
      <c r="AI213" s="31">
        <v>46.553373216043198</v>
      </c>
      <c r="AJ213" s="31">
        <v>41.737052539181903</v>
      </c>
      <c r="AK213" s="31">
        <v>44.509610272558497</v>
      </c>
    </row>
    <row r="214" spans="1:37" x14ac:dyDescent="0.25">
      <c r="N214" s="31"/>
      <c r="O214" s="531" t="s">
        <v>2303</v>
      </c>
      <c r="P214" s="31">
        <v>4.6248549474446197</v>
      </c>
      <c r="Q214" s="31">
        <v>61.167603247478198</v>
      </c>
      <c r="R214" s="31">
        <v>19.636439985202401</v>
      </c>
      <c r="AH214" s="531" t="s">
        <v>2303</v>
      </c>
      <c r="AI214" s="31">
        <v>20.953126651411701</v>
      </c>
      <c r="AJ214" s="31">
        <v>18.276635633846499</v>
      </c>
      <c r="AK214" s="31">
        <v>19.636439985202401</v>
      </c>
    </row>
    <row r="215" spans="1:37" x14ac:dyDescent="0.25">
      <c r="N215" s="31"/>
      <c r="O215" s="531" t="s">
        <v>1763</v>
      </c>
      <c r="P215" s="31">
        <v>0.420499160765683</v>
      </c>
      <c r="Q215" s="31">
        <v>0.52854754597693698</v>
      </c>
      <c r="R215" s="31">
        <v>0.20622565441725399</v>
      </c>
      <c r="AH215" s="531" t="s">
        <v>1763</v>
      </c>
      <c r="AI215" s="31">
        <v>0.220140494186055</v>
      </c>
      <c r="AJ215" s="31">
        <v>0.31095290749404603</v>
      </c>
      <c r="AK215" s="31">
        <v>0.20622565441725399</v>
      </c>
    </row>
    <row r="216" spans="1:37" x14ac:dyDescent="0.25">
      <c r="N216" s="31"/>
      <c r="O216" s="531" t="s">
        <v>2305</v>
      </c>
      <c r="P216" s="31">
        <v>0.13872412846585999</v>
      </c>
      <c r="Q216" s="31">
        <v>3.8837476488868302E-4</v>
      </c>
      <c r="R216" s="31">
        <v>0.39788967079321402</v>
      </c>
      <c r="AH216" s="531" t="s">
        <v>2305</v>
      </c>
      <c r="AI216" s="31">
        <v>0.43310042020155298</v>
      </c>
      <c r="AJ216" s="31">
        <v>0.33824752560320298</v>
      </c>
      <c r="AK216" s="31">
        <v>0.39788967079321402</v>
      </c>
    </row>
    <row r="217" spans="1:37" x14ac:dyDescent="0.25">
      <c r="N217" s="31"/>
      <c r="O217" s="211" t="s">
        <v>2306</v>
      </c>
      <c r="P217" s="31">
        <v>1.13605145899382</v>
      </c>
      <c r="Q217" s="31">
        <v>3.6433665455520101E-3</v>
      </c>
      <c r="R217" s="31">
        <v>1.0072956849207699</v>
      </c>
      <c r="AH217" s="211" t="s">
        <v>2306</v>
      </c>
      <c r="AI217" s="31">
        <v>1.0615189057064101</v>
      </c>
      <c r="AJ217" s="31">
        <v>0.87018343684803801</v>
      </c>
      <c r="AK217" s="31">
        <v>1.0072956849207699</v>
      </c>
    </row>
    <row r="218" spans="1:37" x14ac:dyDescent="0.25">
      <c r="N218" s="31"/>
      <c r="O218" s="531" t="s">
        <v>1761</v>
      </c>
      <c r="P218" s="31">
        <v>1764.0033846203801</v>
      </c>
      <c r="Q218" s="31">
        <v>633.45796164206604</v>
      </c>
      <c r="R218" s="31">
        <v>1257.0976362246199</v>
      </c>
      <c r="AH218" s="531" t="s">
        <v>1761</v>
      </c>
      <c r="AI218" s="31">
        <v>1268.02241525661</v>
      </c>
      <c r="AJ218" s="31">
        <v>1249.2624647979101</v>
      </c>
      <c r="AK218" s="31">
        <v>1257.0976362246199</v>
      </c>
    </row>
    <row r="219" spans="1:37" x14ac:dyDescent="0.25">
      <c r="N219" s="31"/>
      <c r="O219" s="531" t="s">
        <v>1762</v>
      </c>
      <c r="P219" s="31">
        <v>836.33360361921996</v>
      </c>
      <c r="Q219" s="31">
        <v>450.610009107753</v>
      </c>
      <c r="R219" s="31">
        <v>735.33121511597597</v>
      </c>
      <c r="AH219" s="531" t="s">
        <v>1762</v>
      </c>
      <c r="AI219" s="31">
        <v>767.40604297318998</v>
      </c>
      <c r="AJ219" s="31">
        <v>711.67709292476604</v>
      </c>
      <c r="AK219" s="31">
        <v>735.33121511597597</v>
      </c>
    </row>
    <row r="220" spans="1:37" x14ac:dyDescent="0.25">
      <c r="N220" s="31"/>
      <c r="O220" s="31" t="s">
        <v>552</v>
      </c>
      <c r="P220" s="31">
        <v>791.12827322319799</v>
      </c>
      <c r="Q220" s="31">
        <v>791.12827322319799</v>
      </c>
      <c r="R220" s="31">
        <v>791.12827322319799</v>
      </c>
      <c r="AH220" s="31" t="s">
        <v>552</v>
      </c>
      <c r="AI220" s="31">
        <v>791.12827322319799</v>
      </c>
      <c r="AJ220" s="31">
        <v>791.12827322319799</v>
      </c>
      <c r="AK220" s="31">
        <v>791.12827322319799</v>
      </c>
    </row>
    <row r="221" spans="1:37" x14ac:dyDescent="0.25">
      <c r="N221" s="31"/>
      <c r="O221" s="31" t="s">
        <v>998</v>
      </c>
      <c r="P221" s="31">
        <v>0.83282183482934602</v>
      </c>
      <c r="Q221" s="31">
        <v>0.83282183482934602</v>
      </c>
      <c r="R221" s="31">
        <v>0.83282183482934602</v>
      </c>
      <c r="AH221" s="31" t="s">
        <v>998</v>
      </c>
      <c r="AI221" s="31">
        <v>0.83282183482934602</v>
      </c>
      <c r="AJ221" s="31">
        <v>0.83282183482934602</v>
      </c>
      <c r="AK221" s="31">
        <v>0.83282183482934602</v>
      </c>
    </row>
    <row r="222" spans="1:37" s="31" customFormat="1" x14ac:dyDescent="0.25"/>
    <row r="223" spans="1:37" s="31" customFormat="1" x14ac:dyDescent="0.25"/>
    <row r="224" spans="1:37" s="31" customFormat="1" x14ac:dyDescent="0.25"/>
    <row r="225" spans="2:37" s="31" customFormat="1" ht="15.75" thickBot="1" x14ac:dyDescent="0.3"/>
    <row r="226" spans="2:37" ht="15.75" thickBot="1" x14ac:dyDescent="0.3">
      <c r="C226" s="787" t="s">
        <v>2281</v>
      </c>
      <c r="D226" s="788"/>
      <c r="E226" s="788"/>
      <c r="F226" s="788"/>
      <c r="G226" s="788"/>
      <c r="H226" s="789"/>
      <c r="K226" s="31"/>
      <c r="N226" s="31"/>
      <c r="O226" s="31" t="s">
        <v>1286</v>
      </c>
      <c r="P226" s="31">
        <v>0.51046553661137395</v>
      </c>
      <c r="Q226" s="31">
        <v>0.51046553661137395</v>
      </c>
      <c r="R226" s="31">
        <v>0.51046553661137395</v>
      </c>
      <c r="AH226" s="31" t="s">
        <v>1286</v>
      </c>
      <c r="AI226" s="31">
        <v>0.51046553661137395</v>
      </c>
      <c r="AJ226" s="31">
        <v>0.51046553661137395</v>
      </c>
      <c r="AK226" s="31">
        <v>0.51046553661137395</v>
      </c>
    </row>
    <row r="227" spans="2:37" ht="15.75" thickBot="1" x14ac:dyDescent="0.3">
      <c r="C227" s="790" t="s">
        <v>2320</v>
      </c>
      <c r="D227" s="791"/>
      <c r="E227" s="791"/>
      <c r="F227" s="791" t="s">
        <v>2321</v>
      </c>
      <c r="G227" s="791"/>
      <c r="H227" s="792"/>
      <c r="K227" s="31"/>
      <c r="N227" s="31"/>
      <c r="O227" s="31" t="s">
        <v>1282</v>
      </c>
      <c r="P227" s="31">
        <v>0.67632294730210296</v>
      </c>
      <c r="Q227" s="31">
        <v>0.67632294730210296</v>
      </c>
      <c r="R227" s="31">
        <v>0.67632294730210296</v>
      </c>
      <c r="AH227" s="31" t="s">
        <v>1282</v>
      </c>
      <c r="AI227" s="31">
        <v>0.67632294730210296</v>
      </c>
      <c r="AJ227" s="31">
        <v>0.67632294730210296</v>
      </c>
      <c r="AK227" s="31">
        <v>0.67632294730210296</v>
      </c>
    </row>
    <row r="228" spans="2:37" x14ac:dyDescent="0.25">
      <c r="C228" s="606" t="s">
        <v>304</v>
      </c>
      <c r="D228" s="606" t="s">
        <v>116</v>
      </c>
      <c r="E228" s="606" t="s">
        <v>305</v>
      </c>
      <c r="F228" s="607">
        <v>-0.2</v>
      </c>
      <c r="G228" s="606" t="s">
        <v>116</v>
      </c>
      <c r="H228" s="608">
        <v>20</v>
      </c>
      <c r="K228" s="31"/>
      <c r="O228" s="31" t="s">
        <v>721</v>
      </c>
      <c r="P228" s="31">
        <v>730.25861232998102</v>
      </c>
      <c r="Q228" s="31">
        <v>730.25861232998102</v>
      </c>
      <c r="R228" s="31">
        <v>730.25861232998102</v>
      </c>
      <c r="AH228" s="31" t="s">
        <v>721</v>
      </c>
      <c r="AI228" s="31">
        <v>730.25861232998102</v>
      </c>
      <c r="AJ228" s="31">
        <v>730.25861232998102</v>
      </c>
      <c r="AK228" s="31">
        <v>730.25861232998102</v>
      </c>
    </row>
    <row r="229" spans="2:37" x14ac:dyDescent="0.25">
      <c r="B229" s="69" t="s">
        <v>2327</v>
      </c>
      <c r="C229" s="388">
        <v>1119560.552154596</v>
      </c>
      <c r="D229" s="388">
        <v>1399450.690193245</v>
      </c>
      <c r="E229" s="69">
        <v>1679340.8282318942</v>
      </c>
      <c r="F229" s="69">
        <v>2087.5230574704237</v>
      </c>
      <c r="G229" s="61">
        <v>2233.5747799364194</v>
      </c>
      <c r="H229" s="69">
        <v>2379.6265024024156</v>
      </c>
      <c r="K229" s="31"/>
      <c r="M229" s="31">
        <v>164.15236302963999</v>
      </c>
      <c r="O229" s="31" t="s">
        <v>1862</v>
      </c>
      <c r="P229" s="31">
        <v>0.93185398827924704</v>
      </c>
      <c r="Q229" s="31">
        <v>0.93185398827924704</v>
      </c>
      <c r="R229" s="31">
        <v>0.93185398827924704</v>
      </c>
      <c r="AH229" s="31" t="s">
        <v>1862</v>
      </c>
      <c r="AI229" s="31">
        <v>0.93185398827924704</v>
      </c>
      <c r="AJ229" s="31">
        <v>0.93185398827924704</v>
      </c>
      <c r="AK229" s="31">
        <v>0.93185398827924704</v>
      </c>
    </row>
    <row r="230" spans="2:37" x14ac:dyDescent="0.25">
      <c r="B230" s="610" t="s">
        <v>2326</v>
      </c>
      <c r="C230" s="610">
        <v>2312598373.8954363</v>
      </c>
      <c r="D230" s="610">
        <v>2890747967.3692946</v>
      </c>
      <c r="E230" s="610">
        <v>3468897560.8431544</v>
      </c>
      <c r="F230" s="610">
        <v>2167.7141440961673</v>
      </c>
      <c r="G230" s="611">
        <v>2233.5747799364194</v>
      </c>
      <c r="H230" s="610">
        <v>2299.4354157766725</v>
      </c>
      <c r="K230" s="31"/>
      <c r="M230" s="31">
        <v>7.1478592096331104</v>
      </c>
      <c r="O230" s="31" t="s">
        <v>1863</v>
      </c>
      <c r="P230" s="31">
        <v>0.45626567994675898</v>
      </c>
      <c r="Q230" s="31">
        <v>0.45626567994675898</v>
      </c>
      <c r="R230" s="31">
        <v>0.45626567994675898</v>
      </c>
      <c r="AH230" s="31" t="s">
        <v>1863</v>
      </c>
      <c r="AI230" s="31">
        <v>0.45626567994675898</v>
      </c>
      <c r="AJ230" s="31">
        <v>0.45626567994675898</v>
      </c>
      <c r="AK230" s="31">
        <v>0.45626567994675898</v>
      </c>
    </row>
    <row r="231" spans="2:37" x14ac:dyDescent="0.25">
      <c r="B231" s="69" t="s">
        <v>2463</v>
      </c>
      <c r="C231" s="69">
        <v>0.8</v>
      </c>
      <c r="D231" s="458">
        <v>1</v>
      </c>
      <c r="E231" s="69">
        <v>1.2</v>
      </c>
      <c r="F231" s="69">
        <v>2708.2709965750328</v>
      </c>
      <c r="G231" s="61">
        <v>2233.5747799364194</v>
      </c>
      <c r="H231" s="69">
        <v>2111.4952449901866</v>
      </c>
      <c r="K231" s="31"/>
      <c r="M231" s="31">
        <v>117.99279689391</v>
      </c>
      <c r="O231" s="31" t="s">
        <v>1864</v>
      </c>
      <c r="P231" s="31">
        <v>8.3979425290828594E-2</v>
      </c>
      <c r="Q231" s="31">
        <v>8.3979425290828594E-2</v>
      </c>
      <c r="R231" s="31">
        <v>8.3979425290828594E-2</v>
      </c>
      <c r="AH231" s="31" t="s">
        <v>1864</v>
      </c>
      <c r="AI231" s="31">
        <v>8.3979425290828594E-2</v>
      </c>
      <c r="AJ231" s="31">
        <v>8.3979425290828594E-2</v>
      </c>
      <c r="AK231" s="31">
        <v>8.3979425290828594E-2</v>
      </c>
    </row>
    <row r="232" spans="2:37" x14ac:dyDescent="0.25">
      <c r="B232" s="69" t="s">
        <v>2329</v>
      </c>
      <c r="C232" s="69">
        <v>24</v>
      </c>
      <c r="D232" s="69">
        <v>30</v>
      </c>
      <c r="E232" s="69">
        <v>36</v>
      </c>
      <c r="F232" s="69">
        <v>1910.1272848746776</v>
      </c>
      <c r="G232" s="61">
        <v>2233.5747799364194</v>
      </c>
      <c r="H232" s="69">
        <v>2561.6693952829273</v>
      </c>
      <c r="K232" s="31"/>
      <c r="M232" s="31">
        <v>61.167603247478198</v>
      </c>
      <c r="O232" s="31" t="s">
        <v>616</v>
      </c>
      <c r="P232" s="31">
        <v>1.7325455336758899</v>
      </c>
      <c r="Q232" s="31">
        <v>1.7325455336758899</v>
      </c>
      <c r="R232" s="31">
        <v>1.7325455336758899</v>
      </c>
      <c r="AH232" s="31" t="s">
        <v>616</v>
      </c>
      <c r="AI232" s="31">
        <v>1.7325455336758899</v>
      </c>
      <c r="AJ232" s="31">
        <v>1.7325455336758899</v>
      </c>
      <c r="AK232" s="31">
        <v>1.7325455336758899</v>
      </c>
    </row>
    <row r="233" spans="2:37" x14ac:dyDescent="0.25">
      <c r="B233" s="69" t="s">
        <v>2464</v>
      </c>
      <c r="C233" s="69">
        <v>0.8</v>
      </c>
      <c r="D233" s="458">
        <v>1</v>
      </c>
      <c r="E233" s="69">
        <v>1.2</v>
      </c>
      <c r="F233" s="388">
        <v>2637.5843211396686</v>
      </c>
      <c r="G233" s="61">
        <v>2233.5747799364194</v>
      </c>
      <c r="H233" s="69">
        <v>2467.8249111713058</v>
      </c>
      <c r="K233" s="31"/>
      <c r="M233" s="31">
        <v>0.52854754597693698</v>
      </c>
      <c r="O233" s="31" t="s">
        <v>1210</v>
      </c>
      <c r="P233" s="31">
        <v>59.259947853335198</v>
      </c>
      <c r="Q233" s="31">
        <v>59.259947853335198</v>
      </c>
      <c r="R233" s="31">
        <v>59.259947853335198</v>
      </c>
      <c r="AH233" s="31" t="s">
        <v>1210</v>
      </c>
      <c r="AI233" s="31">
        <v>59.259947853335198</v>
      </c>
      <c r="AJ233" s="31">
        <v>59.259947853335198</v>
      </c>
      <c r="AK233" s="31">
        <v>59.259947853335198</v>
      </c>
    </row>
    <row r="234" spans="2:37" s="31" customFormat="1" x14ac:dyDescent="0.25">
      <c r="B234" s="53"/>
      <c r="C234" s="53"/>
      <c r="D234" s="90"/>
      <c r="E234" s="53"/>
      <c r="F234" s="609"/>
      <c r="G234" s="41"/>
      <c r="H234" s="53"/>
      <c r="M234" s="31">
        <v>3.8837476488868302E-4</v>
      </c>
    </row>
    <row r="235" spans="2:37" ht="15.75" thickBot="1" x14ac:dyDescent="0.3">
      <c r="C235" s="246"/>
      <c r="D235" s="246"/>
      <c r="E235" s="246"/>
      <c r="F235" s="246"/>
      <c r="K235" s="31"/>
      <c r="M235" s="31">
        <v>3.6433665455520101E-3</v>
      </c>
      <c r="O235" s="31" t="s">
        <v>2177</v>
      </c>
      <c r="P235" s="31">
        <v>0.539571426439167</v>
      </c>
      <c r="Q235" s="31">
        <v>0.539571426439167</v>
      </c>
      <c r="R235" s="31">
        <v>0.539571426439167</v>
      </c>
      <c r="AH235" s="31" t="s">
        <v>2177</v>
      </c>
      <c r="AI235" s="31">
        <v>0.539571426439167</v>
      </c>
      <c r="AJ235" s="31">
        <v>0.539571426439167</v>
      </c>
      <c r="AK235" s="31">
        <v>0.539571426439167</v>
      </c>
    </row>
    <row r="236" spans="2:37" ht="15.75" thickBot="1" x14ac:dyDescent="0.3">
      <c r="B236" s="31"/>
      <c r="C236" s="787" t="s">
        <v>2282</v>
      </c>
      <c r="D236" s="788"/>
      <c r="E236" s="788"/>
      <c r="F236" s="788"/>
      <c r="G236" s="788"/>
      <c r="H236" s="789"/>
      <c r="K236" s="31"/>
      <c r="M236" s="31">
        <v>633.45796164206604</v>
      </c>
      <c r="O236" s="31" t="s">
        <v>2314</v>
      </c>
      <c r="P236" s="31">
        <v>3.6083076300269501E-3</v>
      </c>
      <c r="Q236" s="31">
        <v>3.6083076300269501E-3</v>
      </c>
      <c r="R236" s="31">
        <v>3.6083076300269501E-3</v>
      </c>
      <c r="AH236" s="31" t="s">
        <v>2314</v>
      </c>
      <c r="AI236" s="31">
        <v>3.6083076300269501E-3</v>
      </c>
      <c r="AJ236" s="31">
        <v>3.6083076300269501E-3</v>
      </c>
      <c r="AK236" s="31">
        <v>3.6083076300269501E-3</v>
      </c>
    </row>
    <row r="237" spans="2:37" ht="15.75" thickBot="1" x14ac:dyDescent="0.3">
      <c r="B237" s="31"/>
      <c r="C237" s="790" t="s">
        <v>2320</v>
      </c>
      <c r="D237" s="791"/>
      <c r="E237" s="791"/>
      <c r="F237" s="791" t="s">
        <v>2321</v>
      </c>
      <c r="G237" s="791"/>
      <c r="H237" s="792"/>
      <c r="K237" s="31"/>
      <c r="M237" s="31">
        <v>450.610009107753</v>
      </c>
      <c r="O237" s="31" t="s">
        <v>2178</v>
      </c>
      <c r="P237" s="31">
        <v>8.7239995843643101E-2</v>
      </c>
      <c r="Q237" s="31">
        <v>8.7239995843643101E-2</v>
      </c>
      <c r="R237" s="31">
        <v>8.7239995843643101E-2</v>
      </c>
      <c r="AH237" s="31" t="s">
        <v>2178</v>
      </c>
      <c r="AI237" s="31">
        <v>8.7239995843643101E-2</v>
      </c>
      <c r="AJ237" s="31">
        <v>8.7239995843643101E-2</v>
      </c>
      <c r="AK237" s="31">
        <v>8.7239995843643101E-2</v>
      </c>
    </row>
    <row r="238" spans="2:37" x14ac:dyDescent="0.25">
      <c r="B238" s="31"/>
      <c r="C238" s="606" t="s">
        <v>304</v>
      </c>
      <c r="D238" s="606" t="s">
        <v>116</v>
      </c>
      <c r="E238" s="606" t="s">
        <v>305</v>
      </c>
      <c r="F238" s="607">
        <v>-0.2</v>
      </c>
      <c r="G238" s="606" t="s">
        <v>116</v>
      </c>
      <c r="H238" s="608">
        <v>20</v>
      </c>
      <c r="K238" s="31"/>
      <c r="M238" s="31">
        <v>631.61959219900905</v>
      </c>
      <c r="O238" s="31" t="s">
        <v>999</v>
      </c>
      <c r="P238" s="31">
        <v>7.3918207234744404</v>
      </c>
      <c r="Q238" s="31">
        <v>7.3918207234744404</v>
      </c>
      <c r="R238" s="31">
        <v>7.3918207234744404</v>
      </c>
      <c r="AH238" s="31" t="s">
        <v>999</v>
      </c>
      <c r="AI238" s="31">
        <v>7.3918207234744404</v>
      </c>
      <c r="AJ238" s="31">
        <v>7.3918207234744404</v>
      </c>
      <c r="AK238" s="31">
        <v>7.3918207234744404</v>
      </c>
    </row>
    <row r="239" spans="2:37" x14ac:dyDescent="0.25">
      <c r="B239" s="69" t="s">
        <v>2327</v>
      </c>
      <c r="C239" s="388">
        <v>1119560.552154596</v>
      </c>
      <c r="D239" s="388">
        <v>1399450.690193245</v>
      </c>
      <c r="E239" s="69">
        <v>1679340.8282318942</v>
      </c>
      <c r="F239" s="69">
        <v>3115.7325152217422</v>
      </c>
      <c r="G239" s="69">
        <v>3261.7842376877384</v>
      </c>
      <c r="H239" s="69">
        <v>3407.8359601537345</v>
      </c>
      <c r="K239" s="31"/>
      <c r="M239" s="31">
        <v>1.8738491283660299</v>
      </c>
      <c r="O239" s="31" t="s">
        <v>1077</v>
      </c>
      <c r="P239" s="31">
        <v>51.770824548788497</v>
      </c>
      <c r="Q239" s="31">
        <v>51.770824548788497</v>
      </c>
      <c r="R239" s="31">
        <v>51.770824548788497</v>
      </c>
      <c r="AH239" s="31" t="s">
        <v>1077</v>
      </c>
      <c r="AI239" s="31">
        <v>51.770824548788497</v>
      </c>
      <c r="AJ239" s="31">
        <v>51.770824548788497</v>
      </c>
      <c r="AK239" s="31">
        <v>51.770824548788497</v>
      </c>
    </row>
    <row r="240" spans="2:37" x14ac:dyDescent="0.25">
      <c r="B240" s="69" t="s">
        <v>2326</v>
      </c>
      <c r="C240" s="69">
        <v>2312598373.8954363</v>
      </c>
      <c r="D240" s="69">
        <v>2890747967.3692946</v>
      </c>
      <c r="E240" s="69">
        <v>3468897560.8431544</v>
      </c>
      <c r="F240" s="69">
        <v>3191.719072994832</v>
      </c>
      <c r="G240" s="69">
        <v>3261.7842376877384</v>
      </c>
      <c r="H240" s="69">
        <v>3331.8494023806452</v>
      </c>
      <c r="K240" s="31"/>
      <c r="M240" s="31">
        <v>1.1485474573755901</v>
      </c>
      <c r="O240" s="31" t="s">
        <v>2095</v>
      </c>
      <c r="P240" s="31">
        <v>51.770824548788497</v>
      </c>
      <c r="Q240" s="31">
        <v>51.770824548788497</v>
      </c>
      <c r="R240" s="31">
        <v>51.770824548788497</v>
      </c>
      <c r="AH240" s="31" t="s">
        <v>2095</v>
      </c>
      <c r="AI240" s="31">
        <v>51.770824548788497</v>
      </c>
      <c r="AJ240" s="31">
        <v>51.770824548788497</v>
      </c>
      <c r="AK240" s="31">
        <v>51.770824548788497</v>
      </c>
    </row>
    <row r="241" spans="2:37" x14ac:dyDescent="0.25">
      <c r="B241" s="69" t="s">
        <v>2463</v>
      </c>
      <c r="C241" s="69">
        <v>0.8</v>
      </c>
      <c r="D241" s="458">
        <v>1</v>
      </c>
      <c r="E241" s="69">
        <v>1.2</v>
      </c>
      <c r="F241" s="69">
        <v>3400.3333925802749</v>
      </c>
      <c r="G241" s="69">
        <v>3261.7842376877384</v>
      </c>
      <c r="H241" s="69">
        <v>3336.1354568592974</v>
      </c>
      <c r="K241" s="31"/>
      <c r="M241" s="31">
        <v>1.52172663142972</v>
      </c>
      <c r="O241" s="31" t="s">
        <v>1078</v>
      </c>
      <c r="P241" s="31">
        <v>64.508744573048403</v>
      </c>
      <c r="Q241" s="31">
        <v>64.508744573048403</v>
      </c>
      <c r="R241" s="31">
        <v>64.508744573048403</v>
      </c>
      <c r="AH241" s="31" t="s">
        <v>1078</v>
      </c>
      <c r="AI241" s="31">
        <v>64.508744573048403</v>
      </c>
      <c r="AJ241" s="31">
        <v>64.508744573048403</v>
      </c>
      <c r="AK241" s="31">
        <v>64.508744573048403</v>
      </c>
    </row>
    <row r="242" spans="2:37" x14ac:dyDescent="0.25">
      <c r="B242" s="69" t="s">
        <v>2329</v>
      </c>
      <c r="C242" s="69">
        <v>24</v>
      </c>
      <c r="D242" s="69">
        <v>30</v>
      </c>
      <c r="E242" s="69">
        <v>36</v>
      </c>
      <c r="F242" s="69">
        <v>2775.0695257053494</v>
      </c>
      <c r="G242" s="69">
        <v>3261.7842376877384</v>
      </c>
      <c r="H242" s="69">
        <v>3787.1380650603633</v>
      </c>
      <c r="K242" s="31"/>
      <c r="M242" s="31">
        <v>730.25861232998102</v>
      </c>
      <c r="O242" s="31" t="s">
        <v>1386</v>
      </c>
      <c r="P242" s="31">
        <v>0.60331251117064499</v>
      </c>
      <c r="Q242" s="31">
        <v>0.60331251117064499</v>
      </c>
      <c r="R242" s="31">
        <v>0.60331251117064499</v>
      </c>
      <c r="AH242" s="31" t="s">
        <v>1386</v>
      </c>
      <c r="AI242" s="31">
        <v>0.60331251117064499</v>
      </c>
      <c r="AJ242" s="31">
        <v>0.60331251117064499</v>
      </c>
      <c r="AK242" s="31">
        <v>0.60331251117064499</v>
      </c>
    </row>
    <row r="243" spans="2:37" x14ac:dyDescent="0.25">
      <c r="B243" s="69" t="s">
        <v>2464</v>
      </c>
      <c r="C243" s="69">
        <v>0.8</v>
      </c>
      <c r="D243" s="458">
        <v>1</v>
      </c>
      <c r="E243" s="69">
        <v>1.2</v>
      </c>
      <c r="F243" s="388">
        <v>3182.0180088471143</v>
      </c>
      <c r="G243" s="69">
        <v>3261.7842376877384</v>
      </c>
      <c r="H243" s="69">
        <v>3777.9032281280329</v>
      </c>
      <c r="K243" s="31"/>
      <c r="M243" s="31">
        <v>2.0966714736283101</v>
      </c>
      <c r="O243" s="31" t="s">
        <v>2030</v>
      </c>
      <c r="P243" s="31">
        <v>67.436669245174201</v>
      </c>
      <c r="Q243" s="31">
        <v>62.8815345210567</v>
      </c>
      <c r="R243" s="31">
        <v>65.159486023636205</v>
      </c>
      <c r="AH243" s="31" t="s">
        <v>2030</v>
      </c>
      <c r="AI243" s="31">
        <v>65.410414164617706</v>
      </c>
      <c r="AJ243" s="31">
        <v>64.908554619258396</v>
      </c>
      <c r="AK243" s="31">
        <v>65.159486023636205</v>
      </c>
    </row>
    <row r="244" spans="2:37" s="31" customFormat="1" x14ac:dyDescent="0.25">
      <c r="B244" s="53"/>
      <c r="C244" s="53"/>
      <c r="D244" s="90"/>
      <c r="E244" s="53"/>
      <c r="F244" s="609"/>
      <c r="G244" s="53"/>
      <c r="H244" s="53"/>
      <c r="M244" s="31">
        <v>1.0265977798802099</v>
      </c>
    </row>
    <row r="245" spans="2:37" ht="15.75" thickBot="1" x14ac:dyDescent="0.3">
      <c r="K245" s="31"/>
      <c r="M245" s="31">
        <v>0.188953706904364</v>
      </c>
      <c r="O245" s="31" t="s">
        <v>2031</v>
      </c>
      <c r="P245" s="31">
        <v>477.35962706511299</v>
      </c>
      <c r="Q245" s="31">
        <v>0</v>
      </c>
      <c r="R245" s="31">
        <v>0</v>
      </c>
      <c r="AH245" s="31" t="s">
        <v>2031</v>
      </c>
      <c r="AI245" s="31">
        <v>433.05373553626401</v>
      </c>
      <c r="AJ245" s="31">
        <v>0</v>
      </c>
      <c r="AK245" s="31">
        <v>0</v>
      </c>
    </row>
    <row r="246" spans="2:37" ht="15.75" thickBot="1" x14ac:dyDescent="0.3">
      <c r="B246" s="31"/>
      <c r="C246" s="787" t="s">
        <v>2283</v>
      </c>
      <c r="D246" s="788"/>
      <c r="E246" s="788"/>
      <c r="F246" s="788"/>
      <c r="G246" s="788"/>
      <c r="H246" s="789"/>
      <c r="K246" s="31"/>
      <c r="M246" s="31">
        <v>3.8982274507707499</v>
      </c>
      <c r="O246" s="31" t="s">
        <v>2098</v>
      </c>
      <c r="P246" s="31">
        <v>3.8799903118519802E-2</v>
      </c>
      <c r="Q246" s="31">
        <v>0.37023418322482499</v>
      </c>
      <c r="R246" s="31">
        <v>0.11577019876518201</v>
      </c>
      <c r="AH246" s="31" t="s">
        <v>2098</v>
      </c>
      <c r="AI246" s="31">
        <v>0.114603953104349</v>
      </c>
      <c r="AJ246" s="31">
        <v>0.11826667772130001</v>
      </c>
      <c r="AK246" s="31">
        <v>0.11577019876518201</v>
      </c>
    </row>
    <row r="247" spans="2:37" ht="15.75" thickBot="1" x14ac:dyDescent="0.3">
      <c r="B247" s="31"/>
      <c r="C247" s="790" t="s">
        <v>2320</v>
      </c>
      <c r="D247" s="791"/>
      <c r="E247" s="791"/>
      <c r="F247" s="791" t="s">
        <v>2321</v>
      </c>
      <c r="G247" s="791"/>
      <c r="H247" s="792"/>
      <c r="K247" s="31"/>
      <c r="M247" s="31">
        <v>133.33488267000399</v>
      </c>
      <c r="O247" s="31"/>
      <c r="P247" s="37">
        <f>SUM(P211:P246)</f>
        <v>4946.8986913319686</v>
      </c>
      <c r="Q247" s="37">
        <f>SUM(Q211:Q246)</f>
        <v>3260.8599761096821</v>
      </c>
      <c r="R247" s="37">
        <f>SUM(R211:R246)</f>
        <v>3937.9272504333785</v>
      </c>
      <c r="AI247" s="37">
        <f>SUM(AI211:AI246)</f>
        <v>4414.8728180872777</v>
      </c>
      <c r="AJ247" s="37">
        <f>SUM(AJ211:AJ246)</f>
        <v>3902.6851603474288</v>
      </c>
      <c r="AK247" s="37">
        <f>SUM(AK211:AK246)</f>
        <v>3937.9272504333785</v>
      </c>
    </row>
    <row r="248" spans="2:37" x14ac:dyDescent="0.25">
      <c r="B248" s="31"/>
      <c r="C248" s="606" t="s">
        <v>304</v>
      </c>
      <c r="D248" s="606" t="s">
        <v>116</v>
      </c>
      <c r="E248" s="606" t="s">
        <v>305</v>
      </c>
      <c r="F248" s="607">
        <v>-0.2</v>
      </c>
      <c r="G248" s="606" t="s">
        <v>116</v>
      </c>
      <c r="H248" s="608">
        <v>20</v>
      </c>
      <c r="K248" s="31"/>
      <c r="M248" s="31">
        <v>1.21403570948813</v>
      </c>
    </row>
    <row r="249" spans="2:37" x14ac:dyDescent="0.25">
      <c r="B249" s="69" t="s">
        <v>2327</v>
      </c>
      <c r="C249" s="388">
        <v>1119560.552154596</v>
      </c>
      <c r="D249" s="388">
        <v>1399450.690193245</v>
      </c>
      <c r="E249" s="69">
        <v>1679340.8282318942</v>
      </c>
      <c r="F249" s="69">
        <v>2602.5849370821884</v>
      </c>
      <c r="G249" s="69">
        <v>2748.6366595481845</v>
      </c>
      <c r="H249" s="69">
        <v>2894.6883820141798</v>
      </c>
      <c r="K249" s="31"/>
      <c r="M249" s="31">
        <v>8.1186921675606306E-3</v>
      </c>
    </row>
    <row r="250" spans="2:37" x14ac:dyDescent="0.25">
      <c r="B250" s="69" t="s">
        <v>2326</v>
      </c>
      <c r="C250" s="69">
        <v>2312598373.8954363</v>
      </c>
      <c r="D250" s="69">
        <v>2890747967.3692946</v>
      </c>
      <c r="E250" s="69">
        <v>3468897560.8431544</v>
      </c>
      <c r="F250" s="69">
        <v>2667.1752180875151</v>
      </c>
      <c r="G250" s="69">
        <v>2748.6366595481845</v>
      </c>
      <c r="H250" s="69">
        <v>2830.0981010088531</v>
      </c>
      <c r="K250" s="31"/>
      <c r="M250" s="31">
        <v>0.19628999064819699</v>
      </c>
    </row>
    <row r="251" spans="2:37" x14ac:dyDescent="0.25">
      <c r="B251" s="69" t="s">
        <v>2463</v>
      </c>
      <c r="C251" s="69">
        <v>0.8</v>
      </c>
      <c r="D251" s="458">
        <v>1</v>
      </c>
      <c r="E251" s="69">
        <v>1.2</v>
      </c>
      <c r="F251" s="69">
        <v>2853.2849962291202</v>
      </c>
      <c r="G251" s="69">
        <v>2748.6366595481845</v>
      </c>
      <c r="H251" s="69">
        <v>2857.3716148536041</v>
      </c>
      <c r="K251" s="31"/>
      <c r="M251" s="31">
        <v>7.3918207234744404</v>
      </c>
    </row>
    <row r="252" spans="2:37" x14ac:dyDescent="0.25">
      <c r="B252" s="69" t="s">
        <v>2329</v>
      </c>
      <c r="C252" s="69">
        <v>24</v>
      </c>
      <c r="D252" s="69">
        <v>30</v>
      </c>
      <c r="E252" s="69">
        <v>36</v>
      </c>
      <c r="F252" s="69">
        <v>2348.4820615768294</v>
      </c>
      <c r="G252" s="69">
        <v>2748.6366595481845</v>
      </c>
      <c r="H252" s="69">
        <v>3158.0621198477043</v>
      </c>
      <c r="K252" s="31"/>
      <c r="M252" s="31">
        <v>51.770824548788497</v>
      </c>
    </row>
    <row r="253" spans="2:37" x14ac:dyDescent="0.25">
      <c r="B253" s="69" t="s">
        <v>2464</v>
      </c>
      <c r="C253" s="69">
        <v>0.8</v>
      </c>
      <c r="D253" s="458">
        <v>1</v>
      </c>
      <c r="E253" s="69">
        <v>1.2</v>
      </c>
      <c r="F253" s="388">
        <v>2751.100041918633</v>
      </c>
      <c r="G253" s="69">
        <v>2748.6366595481845</v>
      </c>
      <c r="H253" s="69">
        <v>3301.5299444542839</v>
      </c>
      <c r="K253" s="31"/>
      <c r="M253" s="31">
        <v>51.770824548788497</v>
      </c>
    </row>
    <row r="254" spans="2:37" s="31" customFormat="1" x14ac:dyDescent="0.25">
      <c r="B254" s="53"/>
      <c r="C254" s="53"/>
      <c r="D254" s="90"/>
      <c r="E254" s="53"/>
      <c r="F254" s="609"/>
      <c r="G254" s="53"/>
      <c r="H254" s="53"/>
      <c r="M254" s="31">
        <v>64.508744573048403</v>
      </c>
    </row>
    <row r="255" spans="2:37" ht="15.75" thickBot="1" x14ac:dyDescent="0.3">
      <c r="K255" s="31"/>
      <c r="M255" s="31">
        <v>1.3033532362270901</v>
      </c>
    </row>
    <row r="256" spans="2:37" ht="15.75" thickBot="1" x14ac:dyDescent="0.3">
      <c r="B256" s="31"/>
      <c r="C256" s="787" t="s">
        <v>625</v>
      </c>
      <c r="D256" s="788"/>
      <c r="E256" s="788"/>
      <c r="F256" s="788"/>
      <c r="G256" s="788"/>
      <c r="H256" s="789"/>
      <c r="K256" s="31"/>
      <c r="M256" s="31">
        <v>41.349851350939502</v>
      </c>
    </row>
    <row r="257" spans="2:13" ht="15.75" thickBot="1" x14ac:dyDescent="0.3">
      <c r="B257" s="31"/>
      <c r="C257" s="790" t="s">
        <v>2320</v>
      </c>
      <c r="D257" s="791"/>
      <c r="E257" s="791"/>
      <c r="F257" s="791" t="s">
        <v>2321</v>
      </c>
      <c r="G257" s="791"/>
      <c r="H257" s="792"/>
      <c r="K257" s="31"/>
      <c r="M257" s="31">
        <v>0</v>
      </c>
    </row>
    <row r="258" spans="2:13" x14ac:dyDescent="0.25">
      <c r="B258" s="31"/>
      <c r="C258" s="606" t="s">
        <v>304</v>
      </c>
      <c r="D258" s="606" t="s">
        <v>116</v>
      </c>
      <c r="E258" s="606" t="s">
        <v>305</v>
      </c>
      <c r="F258" s="607">
        <v>-0.2</v>
      </c>
      <c r="G258" s="606" t="s">
        <v>116</v>
      </c>
      <c r="H258" s="608">
        <v>20</v>
      </c>
      <c r="K258" s="31"/>
      <c r="M258" s="31">
        <v>0.37023418322482499</v>
      </c>
    </row>
    <row r="259" spans="2:13" x14ac:dyDescent="0.25">
      <c r="B259" s="69" t="s">
        <v>2327</v>
      </c>
      <c r="C259" s="388">
        <v>1119560.552154596</v>
      </c>
      <c r="D259" s="388">
        <v>1399450.690193245</v>
      </c>
      <c r="E259" s="69">
        <v>1679340.8282318942</v>
      </c>
      <c r="F259" s="69">
        <v>3770.7635529538093</v>
      </c>
      <c r="G259" s="69">
        <v>3916.8152754198054</v>
      </c>
      <c r="H259" s="69">
        <v>4062.8669978858011</v>
      </c>
      <c r="M259" s="37">
        <f>SUM(M229:M258)</f>
        <v>3161.9129308019114</v>
      </c>
    </row>
    <row r="260" spans="2:13" x14ac:dyDescent="0.25">
      <c r="B260" s="69" t="s">
        <v>2326</v>
      </c>
      <c r="C260" s="69">
        <v>2312598373.8954363</v>
      </c>
      <c r="D260" s="69">
        <v>2890747967.3692946</v>
      </c>
      <c r="E260" s="69">
        <v>3468897560.8431544</v>
      </c>
      <c r="F260" s="69">
        <v>3745.6940086847653</v>
      </c>
      <c r="G260" s="69">
        <v>3916.8152754198054</v>
      </c>
      <c r="H260" s="69">
        <v>4087.9365421548455</v>
      </c>
    </row>
    <row r="261" spans="2:13" x14ac:dyDescent="0.25">
      <c r="B261" s="69" t="s">
        <v>2463</v>
      </c>
      <c r="C261" s="69">
        <v>0.8</v>
      </c>
      <c r="D261" s="458">
        <v>1</v>
      </c>
      <c r="E261" s="69">
        <v>1.2</v>
      </c>
      <c r="F261" s="69">
        <v>3772.9909211311483</v>
      </c>
      <c r="G261" s="69">
        <v>3916.8152754198054</v>
      </c>
      <c r="H261" s="69">
        <v>4172.1038929493625</v>
      </c>
    </row>
    <row r="262" spans="2:13" x14ac:dyDescent="0.25">
      <c r="B262" s="69" t="s">
        <v>2329</v>
      </c>
      <c r="C262" s="69">
        <v>24</v>
      </c>
      <c r="D262" s="69">
        <v>30</v>
      </c>
      <c r="E262" s="69">
        <v>36</v>
      </c>
      <c r="F262" s="69">
        <v>3366.2160909886734</v>
      </c>
      <c r="G262" s="69">
        <v>3916.8152754198054</v>
      </c>
      <c r="H262" s="69">
        <v>4463.6202439983663</v>
      </c>
    </row>
    <row r="263" spans="2:13" x14ac:dyDescent="0.25">
      <c r="B263" s="69" t="s">
        <v>2464</v>
      </c>
      <c r="C263" s="69">
        <v>0.8</v>
      </c>
      <c r="D263" s="458">
        <v>1</v>
      </c>
      <c r="E263" s="69">
        <v>1.2</v>
      </c>
      <c r="F263" s="69">
        <v>3518.8404051435141</v>
      </c>
      <c r="G263" s="69">
        <v>3916.8152754198054</v>
      </c>
      <c r="H263" s="69">
        <v>4589.5937182696407</v>
      </c>
    </row>
    <row r="264" spans="2:13" s="31" customFormat="1" x14ac:dyDescent="0.25">
      <c r="B264" s="53"/>
      <c r="C264" s="53"/>
      <c r="D264" s="90"/>
      <c r="E264" s="53"/>
      <c r="F264" s="53"/>
      <c r="G264" s="53"/>
      <c r="H264" s="53"/>
    </row>
    <row r="265" spans="2:13" ht="15.75" thickBot="1" x14ac:dyDescent="0.3"/>
    <row r="266" spans="2:13" ht="15.75" thickBot="1" x14ac:dyDescent="0.3">
      <c r="B266" s="31"/>
      <c r="C266" s="787" t="s">
        <v>2284</v>
      </c>
      <c r="D266" s="788"/>
      <c r="E266" s="788"/>
      <c r="F266" s="788"/>
      <c r="G266" s="788"/>
      <c r="H266" s="789"/>
    </row>
    <row r="267" spans="2:13" ht="15.75" thickBot="1" x14ac:dyDescent="0.3">
      <c r="B267" s="31"/>
      <c r="C267" s="790" t="s">
        <v>2320</v>
      </c>
      <c r="D267" s="791"/>
      <c r="E267" s="791"/>
      <c r="F267" s="791" t="s">
        <v>2321</v>
      </c>
      <c r="G267" s="791"/>
      <c r="H267" s="792"/>
    </row>
    <row r="268" spans="2:13" x14ac:dyDescent="0.25">
      <c r="B268" s="31"/>
      <c r="C268" s="606" t="s">
        <v>304</v>
      </c>
      <c r="D268" s="606" t="s">
        <v>116</v>
      </c>
      <c r="E268" s="606" t="s">
        <v>305</v>
      </c>
      <c r="F268" s="607">
        <v>-0.2</v>
      </c>
      <c r="G268" s="606" t="s">
        <v>116</v>
      </c>
      <c r="H268" s="608">
        <v>20</v>
      </c>
    </row>
    <row r="269" spans="2:13" x14ac:dyDescent="0.25">
      <c r="B269" s="69" t="s">
        <v>2327</v>
      </c>
      <c r="C269" s="388">
        <v>1119560.552154596</v>
      </c>
      <c r="D269" s="388">
        <v>1399450.690193245</v>
      </c>
      <c r="E269" s="69">
        <v>1679340.8282318942</v>
      </c>
      <c r="F269" s="69">
        <v>3692.9967652888809</v>
      </c>
      <c r="G269" s="69">
        <v>3839.048487754877</v>
      </c>
      <c r="H269" s="69">
        <v>3985.1002102208727</v>
      </c>
    </row>
    <row r="270" spans="2:13" x14ac:dyDescent="0.25">
      <c r="B270" s="69" t="s">
        <v>2326</v>
      </c>
      <c r="C270" s="69">
        <v>2312598373.8954363</v>
      </c>
      <c r="D270" s="69">
        <v>2890747967.3692946</v>
      </c>
      <c r="E270" s="69">
        <v>3468897560.8431544</v>
      </c>
      <c r="F270" s="69">
        <v>3712.7245693150749</v>
      </c>
      <c r="G270" s="69">
        <v>3839.048487754877</v>
      </c>
      <c r="H270" s="69">
        <v>3965.3724061946778</v>
      </c>
    </row>
    <row r="271" spans="2:13" x14ac:dyDescent="0.25">
      <c r="B271" s="69" t="s">
        <v>2463</v>
      </c>
      <c r="C271" s="69">
        <v>0.8</v>
      </c>
      <c r="D271" s="458">
        <v>1</v>
      </c>
      <c r="E271" s="69">
        <v>1.2</v>
      </c>
      <c r="F271" s="69">
        <v>4902.0060783795061</v>
      </c>
      <c r="G271" s="69">
        <v>3839.048487754877</v>
      </c>
      <c r="H271" s="69">
        <v>3272.0372757398</v>
      </c>
    </row>
    <row r="272" spans="2:13" x14ac:dyDescent="0.25">
      <c r="B272" s="69" t="s">
        <v>2329</v>
      </c>
      <c r="C272" s="69">
        <v>24</v>
      </c>
      <c r="D272" s="69">
        <v>30</v>
      </c>
      <c r="E272" s="69">
        <v>36</v>
      </c>
      <c r="F272" s="69">
        <v>3311.2469103743292</v>
      </c>
      <c r="G272" s="69">
        <v>3839.048487754877</v>
      </c>
      <c r="H272" s="69">
        <v>4406.9388603645057</v>
      </c>
    </row>
    <row r="273" spans="2:15" x14ac:dyDescent="0.25">
      <c r="B273" s="69" t="s">
        <v>2464</v>
      </c>
      <c r="C273" s="69">
        <v>0.8</v>
      </c>
      <c r="D273" s="458">
        <v>1</v>
      </c>
      <c r="E273" s="69">
        <v>1.2</v>
      </c>
      <c r="F273" s="388">
        <v>4820.5317133539193</v>
      </c>
      <c r="G273" s="69">
        <v>3839.048487754877</v>
      </c>
      <c r="H273" s="69">
        <v>3161.9129308019114</v>
      </c>
    </row>
    <row r="275" spans="2:15" x14ac:dyDescent="0.25">
      <c r="B275" s="31">
        <v>265</v>
      </c>
      <c r="C275" s="31" t="s">
        <v>2271</v>
      </c>
      <c r="D275" s="31" t="s">
        <v>2195</v>
      </c>
      <c r="E275" s="31">
        <v>722970</v>
      </c>
    </row>
    <row r="276" spans="2:15" x14ac:dyDescent="0.25">
      <c r="B276" s="31">
        <v>750</v>
      </c>
      <c r="C276" s="31" t="s">
        <v>2275</v>
      </c>
      <c r="D276" s="31" t="s">
        <v>2209</v>
      </c>
      <c r="E276" s="31">
        <v>726060</v>
      </c>
    </row>
    <row r="277" spans="2:15" x14ac:dyDescent="0.25">
      <c r="B277" s="31">
        <v>876</v>
      </c>
      <c r="C277" s="31" t="s">
        <v>2275</v>
      </c>
      <c r="D277" s="31" t="s">
        <v>2227</v>
      </c>
      <c r="E277" s="31">
        <v>726986</v>
      </c>
    </row>
    <row r="278" spans="2:15" x14ac:dyDescent="0.25">
      <c r="B278" s="31">
        <v>509</v>
      </c>
      <c r="C278" s="31" t="s">
        <v>2277</v>
      </c>
      <c r="D278" s="31" t="s">
        <v>2196</v>
      </c>
      <c r="E278" s="31">
        <v>724666</v>
      </c>
    </row>
    <row r="279" spans="2:15" x14ac:dyDescent="0.25">
      <c r="B279" s="31">
        <v>84</v>
      </c>
      <c r="C279" s="31" t="s">
        <v>2279</v>
      </c>
      <c r="D279" s="31" t="s">
        <v>2199</v>
      </c>
      <c r="E279" s="31">
        <v>722020</v>
      </c>
    </row>
    <row r="282" spans="2:15" x14ac:dyDescent="0.25">
      <c r="D282" t="s">
        <v>2500</v>
      </c>
      <c r="E282" t="s">
        <v>2497</v>
      </c>
      <c r="F282" t="s">
        <v>2498</v>
      </c>
      <c r="G282" t="s">
        <v>2499</v>
      </c>
      <c r="H282" t="s">
        <v>2507</v>
      </c>
    </row>
    <row r="283" spans="2:15" x14ac:dyDescent="0.25">
      <c r="C283" s="467" t="s">
        <v>2495</v>
      </c>
      <c r="D283" s="467" t="s">
        <v>978</v>
      </c>
      <c r="E283" s="31">
        <v>151.15464485804401</v>
      </c>
      <c r="F283" s="31">
        <v>151.15464485804401</v>
      </c>
      <c r="G283" s="31">
        <v>65.970096895109194</v>
      </c>
      <c r="H283" s="31">
        <v>46.428848158563902</v>
      </c>
      <c r="I283" s="31">
        <v>46.428848158563902</v>
      </c>
      <c r="J283" s="31"/>
      <c r="K283">
        <v>1</v>
      </c>
      <c r="O283" s="31">
        <v>46.428848158563902</v>
      </c>
    </row>
    <row r="284" spans="2:15" x14ac:dyDescent="0.25">
      <c r="C284" s="335" t="s">
        <v>2496</v>
      </c>
      <c r="D284" s="335" t="s">
        <v>979</v>
      </c>
      <c r="E284" s="31">
        <v>13.092434025286799</v>
      </c>
      <c r="F284" s="31">
        <v>13.092434025286799</v>
      </c>
      <c r="G284" s="31">
        <v>11.469137167144201</v>
      </c>
      <c r="H284" s="31">
        <v>5.4897984562921902</v>
      </c>
      <c r="I284" s="31">
        <v>5.4897984562921902</v>
      </c>
      <c r="J284" s="31">
        <v>2</v>
      </c>
      <c r="K284">
        <v>2</v>
      </c>
      <c r="O284" s="31">
        <v>5.05655749121187</v>
      </c>
    </row>
    <row r="285" spans="2:15" x14ac:dyDescent="0.25">
      <c r="C285" s="467" t="s">
        <v>2495</v>
      </c>
      <c r="D285" s="467" t="s">
        <v>2304</v>
      </c>
      <c r="E285" s="31">
        <v>970.58721720450399</v>
      </c>
      <c r="F285" s="31">
        <v>970.58721720450399</v>
      </c>
      <c r="G285" s="31">
        <v>1953.1240746800499</v>
      </c>
      <c r="H285" s="31">
        <v>44.509610272558497</v>
      </c>
      <c r="I285" s="31">
        <v>44.509610272558497</v>
      </c>
      <c r="J285" s="31"/>
      <c r="K285">
        <v>3</v>
      </c>
      <c r="O285" s="31">
        <v>44.509610272558497</v>
      </c>
    </row>
    <row r="286" spans="2:15" x14ac:dyDescent="0.25">
      <c r="C286" s="467" t="s">
        <v>2495</v>
      </c>
      <c r="D286" s="467" t="s">
        <v>2303</v>
      </c>
      <c r="E286" s="31">
        <v>606.116387496828</v>
      </c>
      <c r="F286" s="31">
        <v>606.116387496828</v>
      </c>
      <c r="G286" s="31">
        <v>7.3847599103140897</v>
      </c>
      <c r="H286" s="31">
        <v>19.636439985202401</v>
      </c>
      <c r="I286" s="31">
        <v>19.636439985202401</v>
      </c>
      <c r="J286" s="31"/>
      <c r="K286" s="31">
        <v>4</v>
      </c>
      <c r="O286" s="31">
        <v>19.636439985202401</v>
      </c>
    </row>
    <row r="287" spans="2:15" x14ac:dyDescent="0.25">
      <c r="C287" s="467" t="s">
        <v>2495</v>
      </c>
      <c r="D287" s="467" t="s">
        <v>1763</v>
      </c>
      <c r="E287" s="31">
        <v>11.478940588362599</v>
      </c>
      <c r="F287" s="31">
        <v>11.478940588362599</v>
      </c>
      <c r="G287" s="31">
        <v>29.2244567027671</v>
      </c>
      <c r="H287" s="31">
        <v>0.20622565441725399</v>
      </c>
      <c r="I287" s="31">
        <v>0.20622565441725399</v>
      </c>
      <c r="J287" s="31"/>
      <c r="K287" s="31">
        <v>5</v>
      </c>
      <c r="O287" s="31">
        <v>0.20622565441725399</v>
      </c>
    </row>
    <row r="288" spans="2:15" x14ac:dyDescent="0.25">
      <c r="C288" s="467" t="s">
        <v>2495</v>
      </c>
      <c r="D288" s="467" t="s">
        <v>2305</v>
      </c>
      <c r="E288" s="31">
        <v>17.8804765050286</v>
      </c>
      <c r="F288" s="31">
        <v>17.8804765050286</v>
      </c>
      <c r="G288" s="31">
        <v>96.773725841480399</v>
      </c>
      <c r="H288" s="31">
        <v>0.39788967079321402</v>
      </c>
      <c r="I288" s="31">
        <v>0.39788967079321402</v>
      </c>
      <c r="J288" s="31"/>
      <c r="K288" s="31">
        <v>6</v>
      </c>
      <c r="O288" s="31">
        <v>0.39788967079321402</v>
      </c>
    </row>
    <row r="289" spans="3:15" x14ac:dyDescent="0.25">
      <c r="C289" s="335" t="s">
        <v>2496</v>
      </c>
      <c r="D289" s="335" t="s">
        <v>2306</v>
      </c>
      <c r="E289" s="31">
        <v>62.003546583126798</v>
      </c>
      <c r="F289" s="31">
        <v>62.003546583126798</v>
      </c>
      <c r="G289" s="31">
        <v>39.205127402454004</v>
      </c>
      <c r="H289" s="31">
        <v>1.0072956849207699</v>
      </c>
      <c r="I289" s="31">
        <v>1.0072956849207699</v>
      </c>
      <c r="J289" s="31">
        <v>7</v>
      </c>
      <c r="K289" s="31">
        <v>7</v>
      </c>
      <c r="N289" s="31"/>
      <c r="O289" s="31">
        <v>0.92780246524598797</v>
      </c>
    </row>
    <row r="290" spans="3:15" x14ac:dyDescent="0.25">
      <c r="C290" s="335" t="s">
        <v>2496</v>
      </c>
      <c r="D290" s="335" t="s">
        <v>1761</v>
      </c>
      <c r="E290" s="31">
        <v>31.790665212800199</v>
      </c>
      <c r="F290" s="31">
        <v>31.790665212800199</v>
      </c>
      <c r="G290" s="31">
        <v>27.532529520636899</v>
      </c>
      <c r="H290" s="31">
        <v>1257.0976362246199</v>
      </c>
      <c r="I290" s="31">
        <v>1257.0976362246199</v>
      </c>
      <c r="J290" s="31">
        <v>8</v>
      </c>
      <c r="K290" s="31">
        <v>8</v>
      </c>
      <c r="N290" s="31"/>
      <c r="O290" s="31">
        <v>1157.8906803674499</v>
      </c>
    </row>
    <row r="291" spans="3:15" x14ac:dyDescent="0.25">
      <c r="C291" s="467" t="s">
        <v>2495</v>
      </c>
      <c r="D291" s="467" t="s">
        <v>1762</v>
      </c>
      <c r="E291" s="31">
        <v>24.435379809594</v>
      </c>
      <c r="F291" s="31">
        <v>24.435379809594</v>
      </c>
      <c r="G291" s="31">
        <v>904.19199383160003</v>
      </c>
      <c r="H291" s="31">
        <v>735.33121511597597</v>
      </c>
      <c r="I291" s="31">
        <v>735.33121511597597</v>
      </c>
      <c r="J291" s="31"/>
      <c r="K291" s="31">
        <v>9</v>
      </c>
      <c r="N291" s="31"/>
      <c r="O291" s="31">
        <v>735.33121511597597</v>
      </c>
    </row>
    <row r="292" spans="3:15" x14ac:dyDescent="0.25">
      <c r="D292" s="31" t="s">
        <v>552</v>
      </c>
      <c r="E292" s="31">
        <v>855.60633367519995</v>
      </c>
      <c r="F292" s="31">
        <v>855.60633367519995</v>
      </c>
      <c r="G292" s="31">
        <v>1.8738491283660299</v>
      </c>
      <c r="H292" s="31">
        <v>631.61959219900905</v>
      </c>
      <c r="I292" s="31">
        <v>631.61959219900905</v>
      </c>
      <c r="J292" s="31">
        <v>10</v>
      </c>
      <c r="K292" s="31">
        <v>10</v>
      </c>
      <c r="N292" s="31"/>
      <c r="O292" s="31">
        <v>581.77377657087698</v>
      </c>
    </row>
    <row r="293" spans="3:15" x14ac:dyDescent="0.25">
      <c r="D293" s="31" t="s">
        <v>998</v>
      </c>
      <c r="E293" s="31">
        <v>1.8738491283660299</v>
      </c>
      <c r="F293" s="31">
        <v>1.8738491283660299</v>
      </c>
      <c r="G293" s="31">
        <v>1.91871555580246</v>
      </c>
      <c r="H293" s="31">
        <v>1.8738491283660299</v>
      </c>
      <c r="I293" s="31">
        <v>1.8738491283660299</v>
      </c>
      <c r="J293" s="31"/>
      <c r="K293" s="31">
        <v>11</v>
      </c>
      <c r="N293" s="31"/>
      <c r="O293" s="31">
        <v>1.8738491283660299</v>
      </c>
    </row>
    <row r="294" spans="3:15" x14ac:dyDescent="0.25">
      <c r="D294" s="31" t="s">
        <v>1286</v>
      </c>
      <c r="E294" s="31">
        <v>1.5558486329339101</v>
      </c>
      <c r="F294" s="31">
        <v>1.5558486329339101</v>
      </c>
      <c r="G294" s="31">
        <v>2.5421331444803399</v>
      </c>
      <c r="H294" s="31">
        <v>1.1485474573755901</v>
      </c>
      <c r="I294" s="31">
        <v>1.1485474573755901</v>
      </c>
      <c r="J294" s="31">
        <v>12</v>
      </c>
      <c r="K294" s="31">
        <v>12</v>
      </c>
      <c r="N294" s="31"/>
      <c r="O294" s="31">
        <v>1.0579070062122899</v>
      </c>
    </row>
    <row r="295" spans="3:15" x14ac:dyDescent="0.25">
      <c r="D295" s="31" t="s">
        <v>1282</v>
      </c>
      <c r="E295" s="31">
        <v>2.0613656701821701</v>
      </c>
      <c r="F295" s="31">
        <v>2.0613656701821701</v>
      </c>
      <c r="G295" s="31">
        <v>730.25861232998102</v>
      </c>
      <c r="H295" s="31">
        <v>1.52172663142972</v>
      </c>
      <c r="I295" s="31">
        <v>1.52172663142972</v>
      </c>
      <c r="J295" s="31">
        <v>13</v>
      </c>
      <c r="K295" s="31">
        <v>13</v>
      </c>
      <c r="N295" s="31"/>
      <c r="O295" s="31">
        <v>1.4016358267056599</v>
      </c>
    </row>
    <row r="296" spans="3:15" x14ac:dyDescent="0.25">
      <c r="D296" s="31" t="s">
        <v>721</v>
      </c>
      <c r="E296" s="31">
        <v>730.25861232998102</v>
      </c>
      <c r="F296" s="31">
        <v>730.25861232998102</v>
      </c>
      <c r="G296" s="31">
        <v>2.0966714736283101</v>
      </c>
      <c r="H296" s="31">
        <v>730.25861232998102</v>
      </c>
      <c r="I296" s="31">
        <v>730.25861232998102</v>
      </c>
      <c r="J296" s="31"/>
      <c r="K296" s="31">
        <v>14</v>
      </c>
      <c r="N296" s="31"/>
      <c r="O296" s="31">
        <v>730.25861232998102</v>
      </c>
    </row>
    <row r="297" spans="3:15" x14ac:dyDescent="0.25">
      <c r="D297" s="31" t="s">
        <v>1862</v>
      </c>
      <c r="E297" s="31">
        <v>2.0966714736283101</v>
      </c>
      <c r="F297" s="31">
        <v>2.0966714736283101</v>
      </c>
      <c r="G297" s="31">
        <v>1.0265977798802099</v>
      </c>
      <c r="H297" s="31">
        <v>2.0966714736283101</v>
      </c>
      <c r="I297" s="31">
        <v>2.0966714736283101</v>
      </c>
      <c r="J297" s="31"/>
      <c r="K297" s="31">
        <v>15</v>
      </c>
      <c r="N297" s="31"/>
      <c r="O297" s="31">
        <v>2.0966714736283101</v>
      </c>
    </row>
    <row r="298" spans="3:15" x14ac:dyDescent="0.25">
      <c r="D298" s="31" t="s">
        <v>1863</v>
      </c>
      <c r="E298" s="31">
        <v>1.0265977798802099</v>
      </c>
      <c r="F298" s="31">
        <v>1.0265977798802099</v>
      </c>
      <c r="G298" s="31">
        <v>0.188953706904364</v>
      </c>
      <c r="H298" s="31">
        <v>1.0265977798802099</v>
      </c>
      <c r="I298" s="31">
        <v>1.0265977798802099</v>
      </c>
      <c r="J298" s="31"/>
      <c r="K298" s="31">
        <v>16</v>
      </c>
      <c r="N298" s="31"/>
      <c r="O298" s="31">
        <v>1.0265977798802099</v>
      </c>
    </row>
    <row r="299" spans="3:15" x14ac:dyDescent="0.25">
      <c r="D299" s="31" t="s">
        <v>1864</v>
      </c>
      <c r="E299" s="31">
        <v>0.188953706904364</v>
      </c>
      <c r="F299" s="31">
        <v>0.188953706904364</v>
      </c>
      <c r="G299" s="31">
        <v>3.8982274507707499</v>
      </c>
      <c r="H299" s="31">
        <v>0.188953706904364</v>
      </c>
      <c r="I299" s="31">
        <v>0.188953706904364</v>
      </c>
      <c r="J299" s="31"/>
      <c r="K299" s="31">
        <v>17</v>
      </c>
      <c r="N299" s="31"/>
      <c r="O299" s="31">
        <v>0.188953706904364</v>
      </c>
    </row>
    <row r="300" spans="3:15" x14ac:dyDescent="0.25">
      <c r="D300" s="31" t="s">
        <v>616</v>
      </c>
      <c r="E300" s="31">
        <v>3.8982274507707499</v>
      </c>
      <c r="F300" s="31">
        <v>3.8982274507707499</v>
      </c>
      <c r="G300" s="31">
        <v>133.33488267000399</v>
      </c>
      <c r="H300" s="31">
        <v>3.8982274507707499</v>
      </c>
      <c r="I300" s="31">
        <v>3.8982274507707499</v>
      </c>
      <c r="J300" s="31"/>
      <c r="K300" s="31">
        <v>18</v>
      </c>
      <c r="L300" t="s">
        <v>2508</v>
      </c>
      <c r="M300" t="s">
        <v>2510</v>
      </c>
      <c r="N300" s="31" t="s">
        <v>2511</v>
      </c>
      <c r="O300" s="31">
        <v>3.8982274507707499</v>
      </c>
    </row>
    <row r="301" spans="3:15" x14ac:dyDescent="0.25">
      <c r="D301" s="31" t="s">
        <v>1210</v>
      </c>
      <c r="E301" s="31">
        <v>133.33488267000399</v>
      </c>
      <c r="F301" s="31">
        <v>133.33488267000399</v>
      </c>
      <c r="G301" s="31">
        <v>1.21403570948813</v>
      </c>
      <c r="H301" s="31">
        <v>133.33488267000399</v>
      </c>
      <c r="I301" s="31">
        <v>133.33488267000399</v>
      </c>
      <c r="J301" s="31"/>
      <c r="K301" s="31">
        <v>19</v>
      </c>
      <c r="L301" t="s">
        <v>1006</v>
      </c>
      <c r="M301" t="s">
        <v>2509</v>
      </c>
      <c r="N301" s="31" t="s">
        <v>2510</v>
      </c>
      <c r="O301" s="31">
        <v>133.33488267000399</v>
      </c>
    </row>
    <row r="302" spans="3:15" x14ac:dyDescent="0.25">
      <c r="D302" s="31" t="s">
        <v>2177</v>
      </c>
      <c r="E302" s="31">
        <v>1.21403570948813</v>
      </c>
      <c r="F302" s="31">
        <v>1.21403570948813</v>
      </c>
      <c r="G302" s="31">
        <v>8.1186921675606306E-3</v>
      </c>
      <c r="H302" s="31">
        <v>1.21403570948813</v>
      </c>
      <c r="I302" s="31">
        <v>1.21403570948813</v>
      </c>
      <c r="J302" s="31"/>
      <c r="K302" s="31">
        <v>20</v>
      </c>
      <c r="M302"/>
      <c r="N302" s="31"/>
      <c r="O302" s="31">
        <v>1.21403570948813</v>
      </c>
    </row>
    <row r="303" spans="3:15" x14ac:dyDescent="0.25">
      <c r="D303" s="31" t="s">
        <v>2314</v>
      </c>
      <c r="E303" s="31">
        <v>8.1186921675606306E-3</v>
      </c>
      <c r="F303" s="31">
        <v>8.1186921675606306E-3</v>
      </c>
      <c r="G303" s="31">
        <v>0.19628999064819699</v>
      </c>
      <c r="H303" s="31">
        <v>8.1186921675606306E-3</v>
      </c>
      <c r="I303" s="31">
        <v>8.1186921675606306E-3</v>
      </c>
      <c r="J303" s="31"/>
      <c r="K303" s="31">
        <v>21</v>
      </c>
      <c r="L303">
        <f>I314</f>
        <v>15279.220405021</v>
      </c>
      <c r="M303">
        <f>prop_natural_gas_HHV</f>
        <v>55.2</v>
      </c>
      <c r="N303" s="31">
        <f>LCI!G13</f>
        <v>3.0582296343849653</v>
      </c>
      <c r="O303" s="31">
        <v>8.1186921675606306E-3</v>
      </c>
    </row>
    <row r="304" spans="3:15" x14ac:dyDescent="0.25">
      <c r="D304" s="31" t="s">
        <v>2178</v>
      </c>
      <c r="E304" s="31">
        <v>0.19628999064819699</v>
      </c>
      <c r="F304" s="31">
        <v>0.19628999064819699</v>
      </c>
      <c r="G304" s="31">
        <v>7.3918207234744404</v>
      </c>
      <c r="H304" s="31">
        <v>0.19628999064819699</v>
      </c>
      <c r="I304" s="31">
        <v>0.19628999064819699</v>
      </c>
      <c r="J304" s="31"/>
      <c r="K304" s="31">
        <v>22</v>
      </c>
      <c r="L304">
        <f>L303/M303*N303</f>
        <v>846.51022885751217</v>
      </c>
      <c r="M304"/>
      <c r="N304" s="31"/>
      <c r="O304" s="31">
        <v>0.19628999064819699</v>
      </c>
    </row>
    <row r="305" spans="2:15" x14ac:dyDescent="0.25">
      <c r="D305" s="31" t="s">
        <v>999</v>
      </c>
      <c r="E305" s="31">
        <v>7.3918207234744404</v>
      </c>
      <c r="F305" s="31">
        <v>7.3918207234744404</v>
      </c>
      <c r="G305" s="31">
        <v>86.486183710210298</v>
      </c>
      <c r="H305" s="31">
        <v>7.3918207234744404</v>
      </c>
      <c r="I305" s="31">
        <v>7.3918207234744404</v>
      </c>
      <c r="J305" s="31"/>
      <c r="K305" s="31">
        <v>23</v>
      </c>
      <c r="M305"/>
      <c r="N305" s="31"/>
      <c r="O305" s="31">
        <v>7.3918207234744404</v>
      </c>
    </row>
    <row r="306" spans="2:15" x14ac:dyDescent="0.25">
      <c r="D306" s="31" t="s">
        <v>1077</v>
      </c>
      <c r="E306" s="31">
        <v>70.129942026203807</v>
      </c>
      <c r="F306" s="31">
        <v>70.129942026203807</v>
      </c>
      <c r="G306" s="31">
        <v>86.486183710210298</v>
      </c>
      <c r="H306" s="31">
        <v>51.770824548788497</v>
      </c>
      <c r="I306" s="31">
        <v>51.770824548788497</v>
      </c>
      <c r="J306" s="31">
        <v>24</v>
      </c>
      <c r="K306" s="31">
        <v>24</v>
      </c>
      <c r="L306" t="s">
        <v>142</v>
      </c>
      <c r="M306" t="s">
        <v>1051</v>
      </c>
      <c r="N306" s="31"/>
      <c r="O306" s="31">
        <v>47.685202431857398</v>
      </c>
    </row>
    <row r="307" spans="2:15" x14ac:dyDescent="0.25">
      <c r="D307" s="31" t="s">
        <v>2095</v>
      </c>
      <c r="E307" s="31">
        <v>70.129942026203807</v>
      </c>
      <c r="F307" s="31">
        <v>70.129942026203807</v>
      </c>
      <c r="G307" s="31">
        <v>107.76562248495701</v>
      </c>
      <c r="H307" s="31">
        <v>51.770824548788497</v>
      </c>
      <c r="I307" s="31">
        <v>51.770824548788497</v>
      </c>
      <c r="J307" s="31">
        <v>25</v>
      </c>
      <c r="K307" s="31">
        <v>25</v>
      </c>
      <c r="L307" t="s">
        <v>1006</v>
      </c>
      <c r="M307" t="s">
        <v>142</v>
      </c>
      <c r="N307" s="31"/>
      <c r="O307" s="31">
        <v>47.685202431857398</v>
      </c>
    </row>
    <row r="308" spans="2:15" x14ac:dyDescent="0.25">
      <c r="D308" s="31" t="s">
        <v>1078</v>
      </c>
      <c r="E308" s="31">
        <v>87.385019584296799</v>
      </c>
      <c r="F308" s="31">
        <v>87.385019584296799</v>
      </c>
      <c r="G308" s="31">
        <v>1.3033532362270901</v>
      </c>
      <c r="H308" s="31">
        <v>64.508744573048403</v>
      </c>
      <c r="I308" s="31">
        <v>64.508744573048403</v>
      </c>
      <c r="J308" s="31">
        <v>26</v>
      </c>
      <c r="K308" s="31">
        <v>26</v>
      </c>
      <c r="M308"/>
      <c r="N308" s="31"/>
      <c r="O308" s="31">
        <v>59.4178781273204</v>
      </c>
    </row>
    <row r="309" spans="2:15" x14ac:dyDescent="0.25">
      <c r="D309" s="31" t="s">
        <v>1386</v>
      </c>
      <c r="E309" s="31">
        <v>1.3033532362270901</v>
      </c>
      <c r="F309" s="31">
        <v>1.3033532362270901</v>
      </c>
      <c r="G309" s="31">
        <v>50.678582721427198</v>
      </c>
      <c r="H309" s="31">
        <v>1.3033532362270901</v>
      </c>
      <c r="I309" s="31">
        <v>1.3033532362270901</v>
      </c>
      <c r="J309" s="31"/>
      <c r="K309" s="31">
        <v>27</v>
      </c>
      <c r="L309">
        <f>I313</f>
        <v>4576.23960750264</v>
      </c>
      <c r="M309" s="257">
        <f>461.009589976/1000</f>
        <v>0.46100958997599994</v>
      </c>
      <c r="N309" s="31"/>
      <c r="O309" s="31">
        <v>1.3033532362270901</v>
      </c>
    </row>
    <row r="310" spans="2:15" x14ac:dyDescent="0.25">
      <c r="D310" s="31" t="s">
        <v>2030</v>
      </c>
      <c r="E310" s="31">
        <v>49.445283259552298</v>
      </c>
      <c r="F310" s="31">
        <v>49.445283262261398</v>
      </c>
      <c r="G310" s="31">
        <v>0</v>
      </c>
      <c r="H310" s="31">
        <v>43.696085482506902</v>
      </c>
      <c r="I310" s="31">
        <v>43.696085482506902</v>
      </c>
      <c r="J310" s="31">
        <v>28</v>
      </c>
      <c r="K310" s="31">
        <v>28</v>
      </c>
      <c r="L310">
        <f>L309*M311</f>
        <v>1943.1989359023985</v>
      </c>
      <c r="M310"/>
      <c r="N310" s="31"/>
      <c r="O310" s="31">
        <v>40.247701284909397</v>
      </c>
    </row>
    <row r="311" spans="2:15" x14ac:dyDescent="0.25">
      <c r="D311" s="31" t="s">
        <v>2031</v>
      </c>
      <c r="E311" s="31">
        <v>0</v>
      </c>
      <c r="F311" s="31">
        <v>0</v>
      </c>
      <c r="G311" s="31">
        <v>12.1292248089966</v>
      </c>
      <c r="H311" s="31">
        <v>0</v>
      </c>
      <c r="I311" s="31">
        <v>0</v>
      </c>
      <c r="J311" s="31">
        <v>29</v>
      </c>
      <c r="K311" s="31">
        <v>29</v>
      </c>
      <c r="M311">
        <f>424.62788284/1000</f>
        <v>0.42462788283999997</v>
      </c>
      <c r="N311" s="31"/>
      <c r="O311" s="31">
        <v>0</v>
      </c>
    </row>
    <row r="312" spans="2:15" x14ac:dyDescent="0.25">
      <c r="D312" s="31" t="s">
        <v>2098</v>
      </c>
      <c r="E312" s="31">
        <v>7.0951110038785403</v>
      </c>
      <c r="F312" s="31">
        <v>9.1704353674086807</v>
      </c>
      <c r="G312" s="31">
        <v>5.44398188251551E-3</v>
      </c>
      <c r="H312" s="31">
        <v>5.9269279945099201E-2</v>
      </c>
      <c r="I312" s="31">
        <v>5.9269279945099201E-2</v>
      </c>
      <c r="J312" s="31">
        <v>30</v>
      </c>
      <c r="K312" s="31">
        <v>30</v>
      </c>
      <c r="M312"/>
      <c r="N312" s="31"/>
      <c r="O312" s="31">
        <v>5.4591898753882602E-2</v>
      </c>
    </row>
    <row r="313" spans="2:15" x14ac:dyDescent="0.25">
      <c r="D313" t="s">
        <v>2513</v>
      </c>
      <c r="H313" s="31">
        <v>4576.23960750264</v>
      </c>
      <c r="I313" s="31">
        <v>4576.23960750264</v>
      </c>
      <c r="J313" s="31"/>
      <c r="K313" s="31">
        <v>31</v>
      </c>
      <c r="L313" t="s">
        <v>2034</v>
      </c>
      <c r="M313"/>
      <c r="N313" s="31"/>
      <c r="O313" s="31">
        <v>4576.23960750264</v>
      </c>
    </row>
    <row r="314" spans="2:15" x14ac:dyDescent="0.25">
      <c r="D314" t="s">
        <v>2514</v>
      </c>
      <c r="H314" s="31">
        <v>152528.10117997599</v>
      </c>
      <c r="I314" s="31">
        <v>15279.220405021</v>
      </c>
      <c r="J314" s="31"/>
      <c r="K314" s="31">
        <v>32</v>
      </c>
      <c r="L314" t="s">
        <v>2512</v>
      </c>
      <c r="M314"/>
      <c r="N314" s="31"/>
      <c r="O314" s="31">
        <v>15279.220405021</v>
      </c>
    </row>
    <row r="315" spans="2:15" x14ac:dyDescent="0.25">
      <c r="B315" t="s">
        <v>2506</v>
      </c>
      <c r="D315" t="s">
        <v>2515</v>
      </c>
      <c r="E315">
        <f>SUM(E283:E312)</f>
        <v>3914.7399510535661</v>
      </c>
      <c r="F315" s="31">
        <f>SUM(F283:F312)</f>
        <v>3916.8152754198054</v>
      </c>
      <c r="G315" s="31">
        <f>SUM(G283:G312)</f>
        <v>4365.6794049610626</v>
      </c>
      <c r="H315" s="31">
        <f t="shared" ref="H315:I315" si="37">SUM(H283:H312)</f>
        <v>3838.9919868357756</v>
      </c>
      <c r="I315" s="31">
        <f t="shared" si="37"/>
        <v>3838.9919868357756</v>
      </c>
      <c r="K315" s="31">
        <v>33</v>
      </c>
      <c r="M315"/>
    </row>
    <row r="316" spans="2:15" x14ac:dyDescent="0.25">
      <c r="B316" s="31" t="s">
        <v>2506</v>
      </c>
      <c r="C316" t="s">
        <v>2501</v>
      </c>
      <c r="K316" s="31">
        <v>34</v>
      </c>
      <c r="M316"/>
      <c r="N316" s="31"/>
    </row>
    <row r="317" spans="2:15" x14ac:dyDescent="0.25">
      <c r="B317" t="s">
        <v>2505</v>
      </c>
      <c r="C317" t="s">
        <v>2502</v>
      </c>
      <c r="D317" s="31">
        <v>3914.74</v>
      </c>
      <c r="K317" s="31">
        <v>35</v>
      </c>
      <c r="M317"/>
      <c r="N317" s="31"/>
    </row>
    <row r="318" spans="2:15" x14ac:dyDescent="0.25">
      <c r="C318" t="s">
        <v>2503</v>
      </c>
      <c r="D318" s="31">
        <v>3916.8153000000002</v>
      </c>
      <c r="K318" s="31">
        <v>36</v>
      </c>
      <c r="M318"/>
      <c r="N318" s="31"/>
    </row>
    <row r="319" spans="2:15" x14ac:dyDescent="0.25">
      <c r="C319" t="s">
        <v>2504</v>
      </c>
      <c r="D319" s="31">
        <v>3929.5837000000001</v>
      </c>
      <c r="K319" s="31">
        <v>37</v>
      </c>
      <c r="M319"/>
      <c r="N319" s="31"/>
    </row>
  </sheetData>
  <mergeCells count="30">
    <mergeCell ref="P209:R209"/>
    <mergeCell ref="AI209:AK209"/>
    <mergeCell ref="C13:L13"/>
    <mergeCell ref="N13:W13"/>
    <mergeCell ref="C51:L51"/>
    <mergeCell ref="N51:W51"/>
    <mergeCell ref="C85:L85"/>
    <mergeCell ref="D159:I159"/>
    <mergeCell ref="S162:W162"/>
    <mergeCell ref="X162:AA162"/>
    <mergeCell ref="AB162:AE162"/>
    <mergeCell ref="D160:F160"/>
    <mergeCell ref="G160:I160"/>
    <mergeCell ref="P161:R161"/>
    <mergeCell ref="AI161:AK161"/>
    <mergeCell ref="C227:E227"/>
    <mergeCell ref="F227:H227"/>
    <mergeCell ref="C226:H226"/>
    <mergeCell ref="C236:H236"/>
    <mergeCell ref="C237:E237"/>
    <mergeCell ref="F237:H237"/>
    <mergeCell ref="C266:H266"/>
    <mergeCell ref="C267:E267"/>
    <mergeCell ref="F267:H267"/>
    <mergeCell ref="C246:H246"/>
    <mergeCell ref="C247:E247"/>
    <mergeCell ref="F247:H247"/>
    <mergeCell ref="C256:H256"/>
    <mergeCell ref="C257:E257"/>
    <mergeCell ref="F257:H257"/>
  </mergeCells>
  <conditionalFormatting sqref="C87:L11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7:O1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4" name="Button 3">
              <controlPr defaultSize="0" print="0" autoFill="0" autoPict="0" macro="[0]!Sensitivity_Analysis">
                <anchor moveWithCells="1" sizeWithCells="1">
                  <from>
                    <xdr:col>3</xdr:col>
                    <xdr:colOff>495300</xdr:colOff>
                    <xdr:row>4</xdr:row>
                    <xdr:rowOff>57150</xdr:rowOff>
                  </from>
                  <to>
                    <xdr:col>7</xdr:col>
                    <xdr:colOff>0</xdr:colOff>
                    <xdr:row>7</xdr:row>
                    <xdr:rowOff>85725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581833D1-6EAC-4A9B-BFD3-E3BB47E4C749}">
            <xm:f>B6&lt;&gt;'\Users\vmealing\Desktop\T:\SBAR\Baseline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B6:C6 C7</xm:sqref>
        </x14:conditionalFormatting>
        <x14:conditionalFormatting xmlns:xm="http://schemas.microsoft.com/office/excel/2006/main">
          <x14:cfRule type="expression" priority="4" id="{1757F4C2-6EF8-45EC-BFEC-10BA6158F103}">
            <xm:f>B16&lt;&gt;'T:\SBAR\Baseline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B16</xm:sqref>
        </x14:conditionalFormatting>
        <x14:conditionalFormatting xmlns:xm="http://schemas.microsoft.com/office/excel/2006/main">
          <x14:cfRule type="expression" priority="3" id="{7403035A-CD64-459E-840F-F486121D33CF}">
            <xm:f>B54&lt;&gt;'T:\SBAR\Baseline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B54</xm:sqref>
        </x14:conditionalFormatting>
        <x14:conditionalFormatting xmlns:xm="http://schemas.microsoft.com/office/excel/2006/main">
          <x14:cfRule type="expression" priority="2" id="{7DF4BCD0-5359-4639-AF19-A4D122BB6B86}">
            <xm:f>B88&lt;&gt;'T:\SBAR\Baseline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B88</xm:sqref>
        </x14:conditionalFormatting>
        <x14:conditionalFormatting xmlns:xm="http://schemas.microsoft.com/office/excel/2006/main">
          <x14:cfRule type="expression" priority="1" id="{AE7E246F-A0AC-4AB7-B9F6-9420DF1AD681}">
            <xm:f>N88&lt;&gt;'T:\SBAR\Baseline Models\[Guayule Model v1.16.xlsm]Import New Variable Inputs'!#REF!</xm:f>
            <x14:dxf>
              <fill>
                <patternFill>
                  <bgColor rgb="FFFF0000"/>
                </patternFill>
              </fill>
            </x14:dxf>
          </x14:cfRule>
          <xm:sqref>N88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7" tint="-0.249977111117893"/>
  </sheetPr>
  <dimension ref="A3:AN377"/>
  <sheetViews>
    <sheetView topLeftCell="I208" zoomScale="85" zoomScaleNormal="85" workbookViewId="0">
      <selection activeCell="M245" sqref="M245"/>
    </sheetView>
  </sheetViews>
  <sheetFormatPr defaultRowHeight="15" x14ac:dyDescent="0.25"/>
  <cols>
    <col min="1" max="1" width="11.85546875" customWidth="1"/>
    <col min="2" max="2" width="29.85546875" customWidth="1"/>
    <col min="3" max="3" width="42.85546875" customWidth="1"/>
    <col min="4" max="4" width="19.7109375" customWidth="1"/>
    <col min="5" max="5" width="21.85546875" bestFit="1" customWidth="1"/>
    <col min="6" max="6" width="29.7109375" customWidth="1"/>
    <col min="7" max="7" width="12.5703125" customWidth="1"/>
    <col min="8" max="8" width="15.28515625" customWidth="1"/>
    <col min="9" max="9" width="20.140625" customWidth="1"/>
    <col min="10" max="10" width="18.7109375" customWidth="1"/>
    <col min="11" max="11" width="14.85546875" customWidth="1"/>
    <col min="12" max="12" width="15.7109375" customWidth="1"/>
    <col min="13" max="13" width="14.85546875" customWidth="1"/>
    <col min="14" max="14" width="16.140625" customWidth="1"/>
    <col min="15" max="15" width="13.85546875" customWidth="1"/>
    <col min="16" max="16" width="16.85546875" customWidth="1"/>
    <col min="17" max="17" width="16.28515625" customWidth="1"/>
    <col min="18" max="18" width="17.5703125" customWidth="1"/>
    <col min="19" max="19" width="18.5703125" customWidth="1"/>
    <col min="20" max="27" width="11.42578125" style="10" customWidth="1"/>
    <col min="28" max="28" width="12" bestFit="1" customWidth="1"/>
    <col min="36" max="36" width="12.42578125" customWidth="1"/>
    <col min="37" max="37" width="12.5703125" customWidth="1"/>
  </cols>
  <sheetData>
    <row r="3" spans="1:4" x14ac:dyDescent="0.25">
      <c r="B3" s="73" t="s">
        <v>768</v>
      </c>
      <c r="C3" s="73" t="s">
        <v>769</v>
      </c>
      <c r="D3" s="73" t="s">
        <v>783</v>
      </c>
    </row>
    <row r="4" spans="1:4" x14ac:dyDescent="0.25">
      <c r="A4" t="s">
        <v>770</v>
      </c>
      <c r="B4" s="240">
        <v>360000000</v>
      </c>
      <c r="C4" s="240">
        <v>1049820281.4789799</v>
      </c>
    </row>
    <row r="5" spans="1:4" x14ac:dyDescent="0.25">
      <c r="A5" t="s">
        <v>773</v>
      </c>
      <c r="B5">
        <v>389945408.36812699</v>
      </c>
      <c r="C5">
        <v>646128744.88546503</v>
      </c>
      <c r="D5" s="10">
        <f>ABS((C5-C4)/C4)</f>
        <v>0.38453394711025862</v>
      </c>
    </row>
    <row r="6" spans="1:4" x14ac:dyDescent="0.25">
      <c r="A6" t="s">
        <v>774</v>
      </c>
      <c r="B6">
        <v>408402956.60879999</v>
      </c>
      <c r="C6">
        <v>447005414.28414899</v>
      </c>
      <c r="D6" s="10">
        <f t="shared" ref="D6:D15" si="0">ABS((C6-C5)/C5)</f>
        <v>0.30817903115672918</v>
      </c>
    </row>
    <row r="7" spans="1:4" x14ac:dyDescent="0.25">
      <c r="A7" t="s">
        <v>775</v>
      </c>
      <c r="B7">
        <v>412624869.24848199</v>
      </c>
      <c r="C7">
        <v>354783095.32630801</v>
      </c>
      <c r="D7" s="10">
        <f t="shared" si="0"/>
        <v>0.20631141371191042</v>
      </c>
    </row>
    <row r="8" spans="1:4" x14ac:dyDescent="0.25">
      <c r="A8" t="s">
        <v>776</v>
      </c>
      <c r="B8">
        <v>414000993.79571903</v>
      </c>
      <c r="C8">
        <v>300074096.95517701</v>
      </c>
      <c r="D8" s="10">
        <f t="shared" si="0"/>
        <v>0.15420407311349763</v>
      </c>
    </row>
    <row r="9" spans="1:4" x14ac:dyDescent="0.25">
      <c r="A9" t="s">
        <v>777</v>
      </c>
      <c r="B9">
        <v>414967311.16509002</v>
      </c>
      <c r="C9">
        <v>259179004.57048899</v>
      </c>
      <c r="D9" s="10">
        <f t="shared" si="0"/>
        <v>0.13628331402025895</v>
      </c>
    </row>
    <row r="10" spans="1:4" x14ac:dyDescent="0.25">
      <c r="A10" t="s">
        <v>778</v>
      </c>
      <c r="B10">
        <v>416003422.67768002</v>
      </c>
      <c r="C10">
        <v>227481858.652105</v>
      </c>
      <c r="D10" s="10">
        <f t="shared" si="0"/>
        <v>0.12229827786750104</v>
      </c>
    </row>
    <row r="11" spans="1:4" x14ac:dyDescent="0.25">
      <c r="A11" t="s">
        <v>771</v>
      </c>
      <c r="B11">
        <v>416321492.95091999</v>
      </c>
      <c r="C11">
        <v>204388606.17335299</v>
      </c>
      <c r="D11" s="10">
        <f t="shared" si="0"/>
        <v>0.10151689728396865</v>
      </c>
    </row>
    <row r="12" spans="1:4" x14ac:dyDescent="0.25">
      <c r="A12" t="s">
        <v>779</v>
      </c>
      <c r="B12">
        <v>416477703.44300801</v>
      </c>
      <c r="C12">
        <v>187914862.82482901</v>
      </c>
      <c r="D12" s="10">
        <f t="shared" si="0"/>
        <v>8.0600106126031829E-2</v>
      </c>
    </row>
    <row r="13" spans="1:4" x14ac:dyDescent="0.25">
      <c r="A13" t="s">
        <v>780</v>
      </c>
      <c r="B13">
        <v>416704027.79572701</v>
      </c>
      <c r="C13">
        <v>174500325.58586499</v>
      </c>
      <c r="D13" s="10">
        <f t="shared" si="0"/>
        <v>7.1386249269004443E-2</v>
      </c>
    </row>
    <row r="14" spans="1:4" x14ac:dyDescent="0.25">
      <c r="A14" t="s">
        <v>781</v>
      </c>
      <c r="B14">
        <v>417485398.37092203</v>
      </c>
      <c r="C14">
        <v>163976991.73754001</v>
      </c>
      <c r="D14" s="10">
        <f t="shared" si="0"/>
        <v>6.0305525579932809E-2</v>
      </c>
    </row>
    <row r="15" spans="1:4" x14ac:dyDescent="0.25">
      <c r="A15" s="73" t="s">
        <v>782</v>
      </c>
      <c r="B15" s="73">
        <v>417610009.33802003</v>
      </c>
      <c r="C15" s="73">
        <v>156719764.93360999</v>
      </c>
      <c r="D15" s="245">
        <f t="shared" si="0"/>
        <v>4.425759203794799E-2</v>
      </c>
    </row>
    <row r="16" spans="1:4" x14ac:dyDescent="0.25">
      <c r="B16" t="s">
        <v>772</v>
      </c>
    </row>
    <row r="25" spans="2:27" x14ac:dyDescent="0.25">
      <c r="B25" s="73" t="s">
        <v>190</v>
      </c>
      <c r="C25" s="73" t="s">
        <v>212</v>
      </c>
      <c r="D25" s="73" t="s">
        <v>194</v>
      </c>
    </row>
    <row r="26" spans="2:27" s="31" customFormat="1" ht="18.75" x14ac:dyDescent="0.35">
      <c r="B26" s="31" t="s">
        <v>415</v>
      </c>
      <c r="C26" s="32">
        <f>'Indoor Inputs'!K6</f>
        <v>1376</v>
      </c>
      <c r="D26" s="31" t="s">
        <v>1308</v>
      </c>
      <c r="G26" s="31" t="s">
        <v>1315</v>
      </c>
      <c r="T26" s="10"/>
      <c r="U26" s="10"/>
      <c r="V26" s="10"/>
      <c r="W26" s="10"/>
      <c r="X26" s="10"/>
      <c r="Y26" s="10"/>
      <c r="Z26" s="10"/>
      <c r="AA26" s="10"/>
    </row>
    <row r="27" spans="2:27" s="31" customFormat="1" ht="17.25" x14ac:dyDescent="0.25">
      <c r="B27" s="31" t="s">
        <v>1307</v>
      </c>
      <c r="C27" s="32">
        <f>'Indoor Inputs'!K8</f>
        <v>938.18181818181813</v>
      </c>
      <c r="D27" s="31" t="s">
        <v>1308</v>
      </c>
      <c r="F27" s="31" t="s">
        <v>978</v>
      </c>
      <c r="G27" s="246">
        <f>LCA!F4</f>
        <v>136.11484925686196</v>
      </c>
      <c r="T27" s="10"/>
      <c r="U27" s="10"/>
      <c r="V27" s="10"/>
      <c r="W27" s="10"/>
      <c r="X27" s="10"/>
      <c r="Y27" s="10"/>
      <c r="Z27" s="10"/>
      <c r="AA27" s="10"/>
    </row>
    <row r="28" spans="2:27" s="31" customFormat="1" ht="17.25" x14ac:dyDescent="0.25">
      <c r="B28" s="31" t="s">
        <v>207</v>
      </c>
      <c r="C28" s="32">
        <f>'Indoor Inputs'!G16</f>
        <v>2.6909749999999999</v>
      </c>
      <c r="D28" s="31" t="s">
        <v>1314</v>
      </c>
      <c r="F28" s="31" t="s">
        <v>997</v>
      </c>
      <c r="G28" s="246">
        <f>LCA!F5</f>
        <v>12.373921006303924</v>
      </c>
      <c r="T28" s="10"/>
      <c r="U28" s="10"/>
      <c r="V28" s="10"/>
      <c r="W28" s="10"/>
      <c r="X28" s="10"/>
      <c r="Y28" s="10"/>
      <c r="Z28" s="10"/>
      <c r="AA28" s="10"/>
    </row>
    <row r="29" spans="2:27" s="31" customFormat="1" ht="30" x14ac:dyDescent="0.25">
      <c r="B29" s="31" t="s">
        <v>1313</v>
      </c>
      <c r="C29" s="32">
        <f>'Indoor Inputs'!G15</f>
        <v>30</v>
      </c>
      <c r="F29" s="149" t="s">
        <v>1274</v>
      </c>
      <c r="G29" s="246">
        <f>LCA!F6</f>
        <v>1109.9255737894716</v>
      </c>
      <c r="T29" s="10"/>
      <c r="U29" s="10"/>
      <c r="V29" s="10"/>
      <c r="W29" s="10"/>
      <c r="X29" s="10"/>
      <c r="Y29" s="10"/>
      <c r="Z29" s="10"/>
      <c r="AA29" s="10"/>
    </row>
    <row r="30" spans="2:27" ht="30" x14ac:dyDescent="0.25">
      <c r="B30" t="str">
        <f>'Indoor Inputs'!E18</f>
        <v>Plant Yield</v>
      </c>
      <c r="C30">
        <f>'Indoor Inputs'!G18</f>
        <v>0.43899789338245743</v>
      </c>
      <c r="D30" t="s">
        <v>1305</v>
      </c>
      <c r="F30" s="149" t="s">
        <v>1275</v>
      </c>
      <c r="G30" s="246">
        <f>LCA!F8</f>
        <v>8.2855779824570384</v>
      </c>
    </row>
    <row r="31" spans="2:27" x14ac:dyDescent="0.25">
      <c r="B31" t="s">
        <v>1197</v>
      </c>
      <c r="C31">
        <f>'Indoor Inputs'!G21</f>
        <v>488.24312815250005</v>
      </c>
      <c r="D31" t="s">
        <v>1303</v>
      </c>
      <c r="F31" s="149" t="s">
        <v>1273</v>
      </c>
      <c r="G31" s="246">
        <f>LCA!F9</f>
        <v>15.584848702669689</v>
      </c>
    </row>
    <row r="32" spans="2:27" x14ac:dyDescent="0.25">
      <c r="B32" t="s">
        <v>1210</v>
      </c>
      <c r="C32" s="31">
        <f>'Indoor Inputs'!G22</f>
        <v>1.37694312E-2</v>
      </c>
      <c r="D32" s="31" t="s">
        <v>1303</v>
      </c>
      <c r="F32" s="149" t="s">
        <v>1284</v>
      </c>
      <c r="G32" s="246">
        <f>LCA!F10</f>
        <v>61.620533496177849</v>
      </c>
    </row>
    <row r="33" spans="2:40" x14ac:dyDescent="0.25">
      <c r="B33" t="s">
        <v>344</v>
      </c>
      <c r="C33" s="31">
        <f>'Indoor Inputs'!G23/kg_to_lb</f>
        <v>17.632795001733403</v>
      </c>
      <c r="D33" s="31" t="s">
        <v>1303</v>
      </c>
      <c r="F33" s="149" t="s">
        <v>552</v>
      </c>
      <c r="G33" s="246">
        <f>LCA!F13</f>
        <v>836.88042477533656</v>
      </c>
    </row>
    <row r="34" spans="2:40" x14ac:dyDescent="0.25">
      <c r="B34" t="str">
        <f>'Indoor Inputs'!E26</f>
        <v>Neem oil for insecticide</v>
      </c>
      <c r="C34" s="31">
        <f>'Indoor Inputs'!G26</f>
        <v>0.27500000000000002</v>
      </c>
      <c r="D34" s="31" t="s">
        <v>1303</v>
      </c>
      <c r="F34" s="287" t="s">
        <v>998</v>
      </c>
      <c r="G34" s="246">
        <f>LCA!F14</f>
        <v>1.8738491283660272</v>
      </c>
    </row>
    <row r="35" spans="2:40" ht="17.25" x14ac:dyDescent="0.25">
      <c r="B35" t="s">
        <v>616</v>
      </c>
      <c r="C35">
        <f>'Indoor Inputs'!G91</f>
        <v>3.2128672800000001E-2</v>
      </c>
      <c r="D35" t="s">
        <v>1304</v>
      </c>
      <c r="F35" s="287" t="s">
        <v>1286</v>
      </c>
      <c r="G35" s="246">
        <f>LCA!F15</f>
        <v>1.5217971321261181</v>
      </c>
    </row>
    <row r="36" spans="2:40" x14ac:dyDescent="0.25">
      <c r="B36" t="str">
        <f>'Indoor Inputs'!E93</f>
        <v>Circulating Fan Power</v>
      </c>
      <c r="C36">
        <f>'Indoor Inputs'!G93</f>
        <v>36.08391608391608</v>
      </c>
      <c r="D36" t="s">
        <v>1088</v>
      </c>
      <c r="F36" s="287" t="s">
        <v>1282</v>
      </c>
      <c r="G36" s="246">
        <f>LCA!F16</f>
        <v>2.0162503592852374</v>
      </c>
    </row>
    <row r="37" spans="2:40" ht="18" x14ac:dyDescent="0.35">
      <c r="B37" t="str">
        <f>'Indoor Inputs'!E94</f>
        <v>Pump Power</v>
      </c>
      <c r="C37">
        <f>'Indoor Inputs'!G94</f>
        <v>3.7489038725885197E-3</v>
      </c>
      <c r="D37" t="s">
        <v>539</v>
      </c>
      <c r="F37" s="287" t="s">
        <v>1316</v>
      </c>
      <c r="G37" s="246">
        <f>LCA!F17</f>
        <v>573.97799175148657</v>
      </c>
    </row>
    <row r="38" spans="2:40" x14ac:dyDescent="0.25">
      <c r="B38" t="str">
        <f>'Indoor Inputs'!E95</f>
        <v>Water Amount</v>
      </c>
      <c r="C38">
        <f>'Indoor Inputs'!G95</f>
        <v>1</v>
      </c>
      <c r="D38" t="s">
        <v>1306</v>
      </c>
      <c r="F38" s="287" t="s">
        <v>344</v>
      </c>
      <c r="G38" s="246">
        <f>LCA!F20</f>
        <v>0.18895370690436436</v>
      </c>
    </row>
    <row r="39" spans="2:40" x14ac:dyDescent="0.25">
      <c r="B39" s="240" t="str">
        <f>'Indoor Inputs'!E105</f>
        <v>Extractor Fan Power</v>
      </c>
      <c r="C39">
        <f>'Indoor Inputs'!G105</f>
        <v>28.95877296911635</v>
      </c>
      <c r="D39" t="s">
        <v>1088</v>
      </c>
      <c r="F39" s="287" t="s">
        <v>616</v>
      </c>
      <c r="G39" s="246">
        <f>LCA!F21</f>
        <v>3.8982274507707513</v>
      </c>
    </row>
    <row r="40" spans="2:40" x14ac:dyDescent="0.25">
      <c r="B40" t="str">
        <f>'Indoor Inputs'!E109</f>
        <v>Annual Transportation Trips</v>
      </c>
      <c r="C40">
        <f>'Indoor Inputs'!G109</f>
        <v>97.827477643123572</v>
      </c>
      <c r="D40" t="s">
        <v>1310</v>
      </c>
      <c r="F40" s="287" t="s">
        <v>1210</v>
      </c>
      <c r="G40" s="246">
        <f>LCA!F22</f>
        <v>133.33488267000425</v>
      </c>
    </row>
    <row r="41" spans="2:40" s="31" customFormat="1" x14ac:dyDescent="0.25">
      <c r="B41" s="31" t="s">
        <v>1309</v>
      </c>
      <c r="C41" s="31">
        <v>83</v>
      </c>
      <c r="D41" s="31" t="s">
        <v>609</v>
      </c>
      <c r="F41" s="287" t="s">
        <v>999</v>
      </c>
      <c r="G41" s="246">
        <f>LCA!F26</f>
        <v>7.3918207234744413</v>
      </c>
      <c r="T41" s="10"/>
      <c r="U41" s="10"/>
      <c r="V41" s="10"/>
      <c r="W41" s="10"/>
      <c r="X41" s="10"/>
      <c r="Y41" s="10"/>
      <c r="Z41" s="10"/>
      <c r="AA41" s="10"/>
    </row>
    <row r="42" spans="2:40" x14ac:dyDescent="0.25">
      <c r="B42" t="s">
        <v>1311</v>
      </c>
      <c r="C42">
        <f>'Indoor Inputs'!G111</f>
        <v>16.3</v>
      </c>
      <c r="D42" t="s">
        <v>544</v>
      </c>
      <c r="F42" s="287" t="s">
        <v>1164</v>
      </c>
      <c r="G42" s="246" t="e">
        <f>LCA!#REF!</f>
        <v>#REF!</v>
      </c>
    </row>
    <row r="43" spans="2:40" x14ac:dyDescent="0.25">
      <c r="B43" t="str">
        <f>'Indoor Inputs'!E110</f>
        <v>Delivered Water Temp</v>
      </c>
      <c r="C43" s="32">
        <f>'Indoor Inputs'!G110</f>
        <v>19.7222222222222</v>
      </c>
      <c r="D43" t="s">
        <v>544</v>
      </c>
      <c r="F43" s="149" t="s">
        <v>1076</v>
      </c>
      <c r="G43" s="246">
        <f>LCA!F101</f>
        <v>836.88042477533656</v>
      </c>
    </row>
    <row r="44" spans="2:40" x14ac:dyDescent="0.25">
      <c r="B44" s="73" t="str">
        <f>'Indoor Inputs'!E116</f>
        <v>Dehumidification Percent Recirculation</v>
      </c>
      <c r="C44" s="384">
        <f>'Indoor Inputs'!G116</f>
        <v>0.25</v>
      </c>
      <c r="D44" s="73" t="s">
        <v>1312</v>
      </c>
      <c r="F44" s="149" t="s">
        <v>1077</v>
      </c>
      <c r="G44" s="246">
        <f>LCA!F27</f>
        <v>68.595069206954761</v>
      </c>
      <c r="K44" t="s">
        <v>2350</v>
      </c>
      <c r="L44" t="s">
        <v>2351</v>
      </c>
      <c r="M44" t="s">
        <v>2352</v>
      </c>
      <c r="N44" t="s">
        <v>2353</v>
      </c>
      <c r="O44" t="s">
        <v>2354</v>
      </c>
      <c r="P44" t="s">
        <v>2362</v>
      </c>
      <c r="Q44" t="s">
        <v>2361</v>
      </c>
      <c r="R44" s="53" t="s">
        <v>2371</v>
      </c>
      <c r="S44" s="577" t="s">
        <v>146</v>
      </c>
      <c r="T44" s="625"/>
      <c r="U44" s="625"/>
      <c r="V44" s="625"/>
      <c r="W44" s="625"/>
      <c r="X44" s="625"/>
      <c r="Y44" s="625"/>
      <c r="Z44" s="625"/>
      <c r="AA44" s="625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</row>
    <row r="45" spans="2:40" x14ac:dyDescent="0.25">
      <c r="F45" s="149" t="s">
        <v>1078</v>
      </c>
      <c r="G45" s="246">
        <f>LCA!F29</f>
        <v>85.472499945832467</v>
      </c>
      <c r="K45" s="32">
        <f>F178</f>
        <v>2578.6895449775511</v>
      </c>
      <c r="L45" s="32">
        <f>F179</f>
        <v>3603.9419166253479</v>
      </c>
      <c r="M45" s="32">
        <f>F180</f>
        <v>3118.3227080924676</v>
      </c>
      <c r="N45" s="32">
        <f>F181</f>
        <v>4239.2093596354671</v>
      </c>
      <c r="O45" s="32">
        <f>F182</f>
        <v>4124.0696296054894</v>
      </c>
      <c r="P45" s="636">
        <v>3953.8285999999998</v>
      </c>
      <c r="Q45" s="636">
        <v>3927.7991740850675</v>
      </c>
      <c r="R45" s="637">
        <f>F184</f>
        <v>5480.2204379093791</v>
      </c>
      <c r="S45" s="637">
        <f>K45</f>
        <v>2578.6895449775511</v>
      </c>
      <c r="T45" s="625"/>
      <c r="U45" s="625"/>
      <c r="V45" s="625"/>
      <c r="W45" s="625"/>
      <c r="X45" s="625"/>
      <c r="Y45" s="625"/>
      <c r="Z45" s="625"/>
      <c r="AA45" s="625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</row>
    <row r="46" spans="2:40" ht="15.75" thickBot="1" x14ac:dyDescent="0.3">
      <c r="F46" s="149" t="s">
        <v>1269</v>
      </c>
      <c r="G46" s="246">
        <f>LCA!F102</f>
        <v>5.4118966197773828</v>
      </c>
      <c r="R46" s="53"/>
      <c r="S46" s="53"/>
      <c r="T46" s="625"/>
      <c r="U46" s="625"/>
      <c r="V46" s="625"/>
      <c r="W46" s="625"/>
      <c r="X46" s="625"/>
      <c r="Y46" s="625"/>
      <c r="Z46" s="625"/>
      <c r="AA46" s="625"/>
      <c r="AB46" s="53"/>
      <c r="AC46" s="576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</row>
    <row r="47" spans="2:40" x14ac:dyDescent="0.25">
      <c r="H47" s="49"/>
      <c r="I47" s="578" t="s">
        <v>2371</v>
      </c>
      <c r="J47" s="579" t="s">
        <v>146</v>
      </c>
      <c r="L47" s="282" t="s">
        <v>2365</v>
      </c>
      <c r="R47" s="53"/>
      <c r="S47" s="53"/>
      <c r="T47" s="625"/>
      <c r="U47" s="625"/>
      <c r="V47" s="625"/>
      <c r="W47" s="625"/>
      <c r="X47" s="625"/>
      <c r="Y47" s="625"/>
      <c r="Z47" s="625"/>
      <c r="AA47" s="625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</row>
    <row r="48" spans="2:40" x14ac:dyDescent="0.25">
      <c r="C48" t="s">
        <v>1327</v>
      </c>
      <c r="D48" t="s">
        <v>1328</v>
      </c>
      <c r="H48" s="52"/>
      <c r="I48" s="53"/>
      <c r="J48" s="54"/>
      <c r="L48" t="s">
        <v>1348</v>
      </c>
      <c r="M48" t="s">
        <v>2809</v>
      </c>
      <c r="P48" t="s">
        <v>1328</v>
      </c>
      <c r="Q48" t="s">
        <v>194</v>
      </c>
      <c r="R48" s="53"/>
      <c r="S48" s="53"/>
      <c r="T48" s="625"/>
      <c r="U48" s="625"/>
      <c r="V48" s="625"/>
      <c r="W48" s="625"/>
      <c r="X48" s="625"/>
      <c r="Y48" s="625"/>
      <c r="Z48" s="625"/>
      <c r="AA48" s="625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</row>
    <row r="49" spans="2:40" ht="15.75" thickBot="1" x14ac:dyDescent="0.3">
      <c r="B49" s="149" t="s">
        <v>1330</v>
      </c>
      <c r="C49">
        <f>output_LCA_GWP/lbs_to_oz/oz_to_grams</f>
        <v>10.125392676569188</v>
      </c>
      <c r="D49" t="s">
        <v>1331</v>
      </c>
      <c r="H49" s="52" t="s">
        <v>2471</v>
      </c>
      <c r="I49" s="53">
        <f>R45/lbs_to_oz/oz_to_grams*P49/kg_to_lb-M50</f>
        <v>1.164318282279817</v>
      </c>
      <c r="J49" s="54">
        <f>M50-S45/lbs_to_oz/oz_to_grams*P49/kg_to_lb</f>
        <v>1.0118342505178364</v>
      </c>
      <c r="K49" t="s">
        <v>1330</v>
      </c>
      <c r="L49" s="246">
        <f>Q45</f>
        <v>3927.7991740850675</v>
      </c>
      <c r="O49" t="s">
        <v>1360</v>
      </c>
      <c r="P49">
        <v>0.75</v>
      </c>
      <c r="Q49" t="s">
        <v>928</v>
      </c>
      <c r="R49" s="53"/>
      <c r="S49" s="53"/>
      <c r="T49" s="625"/>
      <c r="U49" s="625"/>
      <c r="V49" s="625"/>
      <c r="W49" s="625"/>
      <c r="X49" s="625"/>
      <c r="Y49" s="625"/>
      <c r="Z49" s="625"/>
      <c r="AA49" s="625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</row>
    <row r="50" spans="2:40" ht="15.75" thickBot="1" x14ac:dyDescent="0.3">
      <c r="B50" t="s">
        <v>1317</v>
      </c>
      <c r="C50">
        <v>6.61</v>
      </c>
      <c r="D50" t="s">
        <v>1329</v>
      </c>
      <c r="H50" s="55"/>
      <c r="I50" s="432">
        <f>R45-Q45</f>
        <v>1552.4212638243116</v>
      </c>
      <c r="J50" s="617">
        <f>Q45-S45</f>
        <v>1349.1096291075164</v>
      </c>
      <c r="L50" s="246"/>
      <c r="M50" s="246">
        <f>L49/lbs_to_oz/oz_to_grams*P49/kg_to_lb</f>
        <v>2.9458552868858172</v>
      </c>
      <c r="O50" s="49" t="s">
        <v>1361</v>
      </c>
      <c r="P50" s="50">
        <v>12</v>
      </c>
      <c r="Q50" s="50" t="s">
        <v>1357</v>
      </c>
      <c r="R50" s="612" t="s">
        <v>2466</v>
      </c>
      <c r="S50" s="53"/>
      <c r="T50" s="625"/>
      <c r="U50" s="625"/>
      <c r="V50" s="625"/>
      <c r="W50" s="625"/>
      <c r="X50" s="625"/>
      <c r="Y50" s="625"/>
      <c r="Z50" s="634" t="s">
        <v>2371</v>
      </c>
      <c r="AA50" s="634" t="s">
        <v>146</v>
      </c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</row>
    <row r="51" spans="2:40" x14ac:dyDescent="0.25">
      <c r="B51" t="s">
        <v>1318</v>
      </c>
      <c r="C51">
        <v>2.4500000000000002</v>
      </c>
      <c r="J51" t="s">
        <v>2557</v>
      </c>
      <c r="K51" t="s">
        <v>1341</v>
      </c>
      <c r="L51" s="32">
        <f>(1531.3+173)/(6*12)/oz_to_grams</f>
        <v>0.8349647554042694</v>
      </c>
      <c r="O51" s="52" t="s">
        <v>1362</v>
      </c>
      <c r="P51" s="53">
        <v>5</v>
      </c>
      <c r="Q51" s="53" t="s">
        <v>1358</v>
      </c>
      <c r="R51" s="54"/>
      <c r="S51" s="53"/>
      <c r="T51" s="625"/>
      <c r="U51" s="625"/>
      <c r="V51" s="625"/>
      <c r="W51" s="625"/>
      <c r="X51" s="625" t="str">
        <f>K49</f>
        <v>Cannabis</v>
      </c>
      <c r="Y51" s="635">
        <f>M50</f>
        <v>2.9458552868858172</v>
      </c>
      <c r="Z51" s="634">
        <f>I49</f>
        <v>1.164318282279817</v>
      </c>
      <c r="AA51" s="634">
        <f>J49</f>
        <v>1.0118342505178364</v>
      </c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</row>
    <row r="52" spans="2:40" ht="15.75" thickBot="1" x14ac:dyDescent="0.3">
      <c r="B52" t="s">
        <v>1319</v>
      </c>
      <c r="C52">
        <v>1.72</v>
      </c>
      <c r="M52">
        <f>L51/lbs_to_oz*P50/kg_to_lb</f>
        <v>0.28405056951002994</v>
      </c>
      <c r="O52" s="55" t="s">
        <v>1363</v>
      </c>
      <c r="P52" s="47">
        <v>1.5</v>
      </c>
      <c r="Q52" s="47" t="s">
        <v>1356</v>
      </c>
      <c r="R52" s="57"/>
      <c r="S52" s="53"/>
      <c r="T52" s="625"/>
      <c r="U52" s="625"/>
      <c r="V52" s="625"/>
      <c r="W52" s="625"/>
      <c r="X52" s="625" t="str">
        <f>K51</f>
        <v>Beer</v>
      </c>
      <c r="Y52" s="635">
        <f>M52</f>
        <v>0.28405056951002994</v>
      </c>
      <c r="Z52" s="625"/>
      <c r="AA52" s="625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</row>
    <row r="53" spans="2:40" x14ac:dyDescent="0.25">
      <c r="B53" t="s">
        <v>1320</v>
      </c>
      <c r="C53">
        <v>1.26</v>
      </c>
      <c r="J53" t="s">
        <v>2553</v>
      </c>
      <c r="K53" t="s">
        <v>1342</v>
      </c>
      <c r="L53" s="32">
        <f>AVERAGE(0.624,0.737,0.851,0.859,0.941,1.005,1.034,1.151,1.168,1.614,1.662,2.312,2.684)/(750/1000)/985.7*m3_to_liters</f>
        <v>1.7316341634085368</v>
      </c>
      <c r="O53" t="s">
        <v>1374</v>
      </c>
      <c r="P53">
        <v>1</v>
      </c>
      <c r="Q53" t="s">
        <v>1359</v>
      </c>
      <c r="R53" s="53"/>
      <c r="S53" s="53"/>
      <c r="T53" s="625"/>
      <c r="U53" s="625"/>
      <c r="V53" s="625"/>
      <c r="W53" s="625"/>
      <c r="X53" s="625" t="str">
        <f>K53</f>
        <v>Wine</v>
      </c>
      <c r="Y53" s="635">
        <f>M54</f>
        <v>0.24545530570582133</v>
      </c>
      <c r="Z53" s="625"/>
      <c r="AA53" s="625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</row>
    <row r="54" spans="2:40" x14ac:dyDescent="0.25">
      <c r="B54" t="s">
        <v>1321</v>
      </c>
      <c r="C54">
        <v>0.89</v>
      </c>
      <c r="M54">
        <f>L53/lbs_to_oz*P51/kg_to_lb</f>
        <v>0.24545530570582133</v>
      </c>
      <c r="O54" s="616" t="s">
        <v>1364</v>
      </c>
      <c r="P54" s="616">
        <v>3</v>
      </c>
      <c r="Q54" s="616" t="s">
        <v>1333</v>
      </c>
      <c r="R54" s="53"/>
      <c r="S54" s="53"/>
      <c r="T54" s="625"/>
      <c r="U54" s="625"/>
      <c r="V54" s="625"/>
      <c r="W54" s="625"/>
      <c r="X54" s="625" t="str">
        <f>K55</f>
        <v>Spirits</v>
      </c>
      <c r="Y54" s="635">
        <f>M56</f>
        <v>0.13558739103403575</v>
      </c>
      <c r="Z54" s="625"/>
      <c r="AA54" s="625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</row>
    <row r="55" spans="2:40" x14ac:dyDescent="0.25">
      <c r="B55" t="s">
        <v>1322</v>
      </c>
      <c r="C55">
        <v>0.72</v>
      </c>
      <c r="F55">
        <f>1.39</f>
        <v>1.39</v>
      </c>
      <c r="G55" t="s">
        <v>2545</v>
      </c>
      <c r="J55" t="s">
        <v>2561</v>
      </c>
      <c r="K55" t="s">
        <v>1343</v>
      </c>
      <c r="L55">
        <f>M56/P52/0.0000295735/940/2.2</f>
        <v>1.4780011932812203</v>
      </c>
      <c r="O55" s="616" t="s">
        <v>1365</v>
      </c>
      <c r="P55" s="616">
        <v>3</v>
      </c>
      <c r="Q55" s="616" t="s">
        <v>1333</v>
      </c>
      <c r="R55" s="53"/>
      <c r="S55" s="53"/>
      <c r="T55" s="625"/>
      <c r="U55" s="625"/>
      <c r="V55" s="625"/>
      <c r="W55" s="625" t="s">
        <v>2546</v>
      </c>
      <c r="X55" s="625" t="str">
        <f>K57</f>
        <v>Cigarettes</v>
      </c>
      <c r="Y55" s="723">
        <f>14/lbs_to_grams/kg_to_lb</f>
        <v>1.4000336724338612E-2</v>
      </c>
      <c r="Z55" s="625"/>
      <c r="AA55" s="625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</row>
    <row r="56" spans="2:40" x14ac:dyDescent="0.25">
      <c r="B56" t="s">
        <v>1323</v>
      </c>
      <c r="C56">
        <v>0.16</v>
      </c>
      <c r="M56">
        <f>123/2/lbs_to_grams</f>
        <v>0.13558739103403575</v>
      </c>
      <c r="O56" s="335" t="s">
        <v>1366</v>
      </c>
      <c r="P56" s="335">
        <v>1</v>
      </c>
      <c r="Q56" s="335" t="s">
        <v>1333</v>
      </c>
      <c r="R56" s="53"/>
      <c r="S56" s="53"/>
      <c r="T56" s="625"/>
      <c r="U56" s="625"/>
      <c r="V56" s="625"/>
      <c r="W56" s="625"/>
      <c r="Z56" s="625"/>
      <c r="AA56" s="625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</row>
    <row r="57" spans="2:40" x14ac:dyDescent="0.25">
      <c r="B57" t="s">
        <v>1324</v>
      </c>
      <c r="C57">
        <v>0.11</v>
      </c>
      <c r="J57" t="s">
        <v>2560</v>
      </c>
      <c r="K57" t="s">
        <v>1344</v>
      </c>
      <c r="L57" s="32">
        <f>Y55/1*lbs_to_grams*kg_to_lb</f>
        <v>14</v>
      </c>
      <c r="O57" s="335" t="s">
        <v>1367</v>
      </c>
      <c r="P57" s="335">
        <v>3</v>
      </c>
      <c r="Q57" s="335" t="s">
        <v>1333</v>
      </c>
      <c r="R57" s="53"/>
      <c r="S57" s="53"/>
      <c r="T57" s="625"/>
      <c r="U57" s="625"/>
      <c r="V57" s="625"/>
      <c r="W57" s="625"/>
      <c r="X57" s="625" t="str">
        <f>K59</f>
        <v>Lamb</v>
      </c>
      <c r="Y57" s="634">
        <f>M60</f>
        <v>3.0217792635465526</v>
      </c>
      <c r="Z57" s="625"/>
      <c r="AA57" s="625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</row>
    <row r="58" spans="2:40" x14ac:dyDescent="0.25">
      <c r="B58" t="s">
        <v>1325</v>
      </c>
      <c r="C58">
        <v>7.0000000000000007E-2</v>
      </c>
      <c r="M58" s="385">
        <f>L57/lbs_to_oz/oz_to_grams*20/kg_to_lb</f>
        <v>0.28000056138992563</v>
      </c>
      <c r="O58" s="335" t="s">
        <v>2369</v>
      </c>
      <c r="P58" s="335">
        <v>3</v>
      </c>
      <c r="Q58" s="335" t="s">
        <v>1333</v>
      </c>
      <c r="R58" s="282"/>
      <c r="S58" s="53" t="s">
        <v>2511</v>
      </c>
      <c r="T58" s="625" t="s">
        <v>2804</v>
      </c>
      <c r="U58" s="625" t="s">
        <v>131</v>
      </c>
      <c r="V58" s="625" t="s">
        <v>1332</v>
      </c>
      <c r="W58" s="625"/>
      <c r="X58" s="625" t="str">
        <f>K61</f>
        <v>Beef</v>
      </c>
      <c r="Y58" s="634">
        <f>M62</f>
        <v>2.0632807467953662</v>
      </c>
      <c r="Z58" s="625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</row>
    <row r="59" spans="2:40" x14ac:dyDescent="0.25">
      <c r="B59" t="s">
        <v>1326</v>
      </c>
      <c r="C59">
        <v>0.03</v>
      </c>
      <c r="K59" t="s">
        <v>1335</v>
      </c>
      <c r="L59" s="246">
        <v>35.53</v>
      </c>
      <c r="M59" s="246"/>
      <c r="O59" s="335" t="s">
        <v>1368</v>
      </c>
      <c r="P59" s="335">
        <v>4</v>
      </c>
      <c r="Q59" s="335" t="s">
        <v>1333</v>
      </c>
      <c r="R59" s="53"/>
      <c r="S59" s="53" t="s">
        <v>2804</v>
      </c>
      <c r="T59" s="625" t="s">
        <v>2810</v>
      </c>
      <c r="U59" s="625" t="s">
        <v>1332</v>
      </c>
      <c r="V59" s="625" t="s">
        <v>1044</v>
      </c>
      <c r="W59" s="625"/>
      <c r="X59" s="625" t="str">
        <f>K69</f>
        <v>Turkey</v>
      </c>
      <c r="Y59" s="634">
        <f>M70</f>
        <v>0.77912520071486258</v>
      </c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</row>
    <row r="60" spans="2:40" x14ac:dyDescent="0.25">
      <c r="L60" s="246"/>
      <c r="M60" s="246">
        <f>L59/lbs_to_oz*P54/kg_to_lb</f>
        <v>3.0217792635465526</v>
      </c>
      <c r="O60" s="335" t="s">
        <v>1369</v>
      </c>
      <c r="P60" s="335">
        <v>4</v>
      </c>
      <c r="Q60" s="335" t="s">
        <v>1333</v>
      </c>
      <c r="R60" s="53"/>
      <c r="S60" s="53"/>
      <c r="T60" s="625"/>
      <c r="U60" s="625"/>
      <c r="V60" s="625"/>
      <c r="W60" s="625"/>
      <c r="X60" s="625" t="str">
        <f>K65</f>
        <v>Pork</v>
      </c>
      <c r="Y60" s="634">
        <f>M66</f>
        <v>0.70539367328609925</v>
      </c>
      <c r="Z60" s="625"/>
      <c r="AA60" s="625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</row>
    <row r="61" spans="2:40" x14ac:dyDescent="0.25">
      <c r="K61" t="s">
        <v>1317</v>
      </c>
      <c r="L61" s="246">
        <v>24.26</v>
      </c>
      <c r="M61" s="246"/>
      <c r="O61" s="335" t="s">
        <v>2370</v>
      </c>
      <c r="P61" s="335">
        <v>2</v>
      </c>
      <c r="Q61" s="335" t="s">
        <v>1333</v>
      </c>
      <c r="R61" s="53"/>
      <c r="S61" s="53"/>
      <c r="T61" s="625"/>
      <c r="U61" s="625"/>
      <c r="V61" s="625"/>
      <c r="W61" s="625"/>
      <c r="X61" s="625" t="str">
        <f>K67</f>
        <v>Farmed Salmon</v>
      </c>
      <c r="Y61" s="634">
        <f>M68</f>
        <v>0.73700626411807924</v>
      </c>
      <c r="Z61" s="625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</row>
    <row r="62" spans="2:40" x14ac:dyDescent="0.25">
      <c r="L62" s="246"/>
      <c r="M62" s="246">
        <f>L61/lbs_to_oz*P55/kg_to_lb</f>
        <v>2.0632807467953662</v>
      </c>
      <c r="O62" s="335" t="s">
        <v>1370</v>
      </c>
      <c r="P62" s="335">
        <v>56</v>
      </c>
      <c r="Q62" s="335" t="s">
        <v>131</v>
      </c>
      <c r="R62" s="614" t="s">
        <v>2467</v>
      </c>
      <c r="S62" s="53"/>
      <c r="T62" s="625"/>
      <c r="U62" s="625"/>
      <c r="V62" s="625"/>
      <c r="W62" s="625"/>
      <c r="X62" s="625" t="str">
        <f>K77</f>
        <v>Potatoes</v>
      </c>
      <c r="Y62" s="634">
        <f>M78</f>
        <v>0.464004567680598</v>
      </c>
      <c r="Z62" s="625"/>
      <c r="AA62" s="625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</row>
    <row r="63" spans="2:40" x14ac:dyDescent="0.25">
      <c r="K63" t="s">
        <v>1318</v>
      </c>
      <c r="L63" s="246">
        <v>11.699</v>
      </c>
      <c r="M63" s="246"/>
      <c r="O63" s="615" t="s">
        <v>1371</v>
      </c>
      <c r="P63" s="615">
        <v>1</v>
      </c>
      <c r="Q63" s="615" t="s">
        <v>1340</v>
      </c>
      <c r="R63" s="53" t="s">
        <v>2470</v>
      </c>
      <c r="S63" s="53"/>
      <c r="T63" s="625"/>
      <c r="U63" s="625"/>
      <c r="V63" s="625"/>
      <c r="W63" s="625"/>
      <c r="X63" s="625" t="str">
        <f>K87</f>
        <v>Milk</v>
      </c>
      <c r="Y63" s="634">
        <f>M88</f>
        <v>0.42114740862370842</v>
      </c>
      <c r="Z63" s="625"/>
      <c r="AC63" s="625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</row>
    <row r="64" spans="2:40" x14ac:dyDescent="0.25">
      <c r="L64" s="246"/>
      <c r="M64" s="246">
        <f>L63/lbs_to_oz*P56/kg_to_lb</f>
        <v>0.33166146546797182</v>
      </c>
      <c r="O64" s="335" t="s">
        <v>1372</v>
      </c>
      <c r="P64" s="335">
        <v>0.25</v>
      </c>
      <c r="Q64" s="335" t="s">
        <v>1340</v>
      </c>
      <c r="R64" s="53"/>
      <c r="S64" s="53"/>
      <c r="T64" s="625"/>
      <c r="U64" s="625"/>
      <c r="V64" s="625"/>
      <c r="W64" s="625"/>
      <c r="X64" s="625" t="str">
        <f>K71</f>
        <v>Chicken</v>
      </c>
      <c r="Y64" s="634">
        <f>M72</f>
        <v>0.40709963621848666</v>
      </c>
      <c r="Z64" s="625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</row>
    <row r="65" spans="4:40" x14ac:dyDescent="0.25">
      <c r="K65" t="s">
        <v>1319</v>
      </c>
      <c r="L65" s="246">
        <v>8.2940000000000005</v>
      </c>
      <c r="M65" s="246"/>
      <c r="O65" s="335" t="s">
        <v>2363</v>
      </c>
      <c r="P65" s="335">
        <v>32</v>
      </c>
      <c r="Q65" s="335" t="s">
        <v>131</v>
      </c>
      <c r="R65" s="53" t="s">
        <v>2469</v>
      </c>
      <c r="S65" s="53"/>
      <c r="T65" s="625"/>
      <c r="U65" s="625"/>
      <c r="V65" s="625"/>
      <c r="W65" s="625"/>
      <c r="X65" s="625" t="str">
        <f>K83</f>
        <v>Yogurt</v>
      </c>
      <c r="Y65" s="634">
        <f>M84</f>
        <v>0.3742141502844028</v>
      </c>
      <c r="AA65" s="625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</row>
    <row r="66" spans="4:40" x14ac:dyDescent="0.25">
      <c r="L66" s="246"/>
      <c r="M66" s="246">
        <f>L65/lbs_to_oz*P57/kg_to_lb</f>
        <v>0.70539367328609925</v>
      </c>
      <c r="O66" s="335" t="s">
        <v>2368</v>
      </c>
      <c r="P66" s="335">
        <v>6</v>
      </c>
      <c r="Q66" s="335" t="s">
        <v>1333</v>
      </c>
      <c r="R66" s="53"/>
      <c r="S66" s="53"/>
      <c r="T66" s="625"/>
      <c r="U66" s="625"/>
      <c r="V66" s="625"/>
      <c r="W66" s="625"/>
      <c r="X66" s="625" t="str">
        <f>K63</f>
        <v>Cheese</v>
      </c>
      <c r="Y66" s="634">
        <f>M64</f>
        <v>0.33166146546797182</v>
      </c>
      <c r="Z66" s="625"/>
      <c r="AA66" s="625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</row>
    <row r="67" spans="4:40" x14ac:dyDescent="0.25">
      <c r="K67" t="s">
        <v>2364</v>
      </c>
      <c r="L67">
        <v>8.6656999999999993</v>
      </c>
      <c r="O67" s="335" t="s">
        <v>1375</v>
      </c>
      <c r="P67" s="335">
        <v>80</v>
      </c>
      <c r="Q67" s="335" t="s">
        <v>131</v>
      </c>
      <c r="R67" s="148"/>
      <c r="S67" s="148"/>
      <c r="T67" s="36"/>
      <c r="U67" s="36"/>
      <c r="V67" s="36"/>
      <c r="W67" s="625"/>
      <c r="X67" s="625" t="str">
        <f>K73</f>
        <v>Canned Tuna</v>
      </c>
      <c r="Y67" s="634">
        <f>M74</f>
        <v>0.23513122442869977</v>
      </c>
      <c r="Z67" s="625"/>
      <c r="AA67" s="625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</row>
    <row r="68" spans="4:40" x14ac:dyDescent="0.25">
      <c r="M68" s="246">
        <f>L67/lbs_to_oz*P58/kg_to_lb</f>
        <v>0.73700626411807924</v>
      </c>
      <c r="O68" s="335" t="s">
        <v>1373</v>
      </c>
      <c r="P68" s="335">
        <v>1</v>
      </c>
      <c r="Q68" s="335" t="s">
        <v>1340</v>
      </c>
      <c r="R68" s="148"/>
      <c r="S68" s="148"/>
      <c r="T68" s="36"/>
      <c r="U68" s="36"/>
      <c r="V68" s="36"/>
      <c r="W68" s="625"/>
      <c r="X68" s="625" t="str">
        <f>K75</f>
        <v>Eggs</v>
      </c>
      <c r="Y68" s="634">
        <f>M76</f>
        <v>0.20104040307796658</v>
      </c>
      <c r="Z68" s="625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</row>
    <row r="69" spans="4:40" x14ac:dyDescent="0.25">
      <c r="K69" t="s">
        <v>1336</v>
      </c>
      <c r="L69" s="246">
        <v>6.8707000000000003</v>
      </c>
      <c r="M69" s="246"/>
      <c r="O69" s="335" t="s">
        <v>2520</v>
      </c>
      <c r="P69" s="335">
        <v>30</v>
      </c>
      <c r="Q69" s="335" t="s">
        <v>131</v>
      </c>
      <c r="R69" s="148"/>
      <c r="S69" s="148"/>
      <c r="T69" s="36"/>
      <c r="U69" s="36"/>
      <c r="V69" s="36"/>
      <c r="W69" s="625"/>
      <c r="X69" s="625" t="str">
        <f>K85</f>
        <v>Tofu</v>
      </c>
      <c r="Y69" s="634">
        <f>M86</f>
        <v>9.408818864305471E-2</v>
      </c>
      <c r="Z69" s="625"/>
      <c r="AA69" s="625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</row>
    <row r="70" spans="4:40" x14ac:dyDescent="0.25">
      <c r="L70" s="246"/>
      <c r="M70" s="246">
        <f>L69/lbs_to_oz*P59/kg_to_lb</f>
        <v>0.77912520071486258</v>
      </c>
      <c r="O70" s="335" t="s">
        <v>2521</v>
      </c>
      <c r="P70" s="335">
        <v>100</v>
      </c>
      <c r="Q70" s="335" t="s">
        <v>131</v>
      </c>
      <c r="R70" s="53"/>
      <c r="S70" s="53"/>
      <c r="T70" s="625"/>
      <c r="U70" s="625"/>
      <c r="V70" s="625"/>
      <c r="W70" s="625"/>
      <c r="X70" s="625" t="str">
        <f>K79</f>
        <v>Rice</v>
      </c>
      <c r="Y70" s="634">
        <f>M80</f>
        <v>8.5506657609928247E-2</v>
      </c>
      <c r="Z70" s="625"/>
      <c r="AA70" s="625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</row>
    <row r="71" spans="4:40" x14ac:dyDescent="0.25">
      <c r="K71" t="s">
        <v>1337</v>
      </c>
      <c r="L71" s="246">
        <v>3.59</v>
      </c>
      <c r="M71" s="246"/>
      <c r="O71" s="335" t="s">
        <v>2522</v>
      </c>
      <c r="P71" s="335">
        <v>100</v>
      </c>
      <c r="Q71" s="335" t="s">
        <v>131</v>
      </c>
      <c r="R71" s="53"/>
      <c r="S71" s="53"/>
      <c r="T71" s="625"/>
      <c r="U71" s="625"/>
      <c r="V71" s="625"/>
      <c r="W71" s="625"/>
      <c r="X71" s="625" t="s">
        <v>2518</v>
      </c>
      <c r="Y71" s="634">
        <f>M92</f>
        <v>8.6657173744167079E-2</v>
      </c>
      <c r="Z71" s="625"/>
      <c r="AA71" s="625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</row>
    <row r="72" spans="4:40" x14ac:dyDescent="0.25">
      <c r="D72" t="s">
        <v>1044</v>
      </c>
      <c r="E72" t="s">
        <v>122</v>
      </c>
      <c r="F72" t="s">
        <v>1347</v>
      </c>
      <c r="L72" s="246"/>
      <c r="M72" s="246">
        <f>L71/lbs_to_oz*P60/kg_to_lb</f>
        <v>0.40709963621848666</v>
      </c>
      <c r="O72" s="335" t="s">
        <v>2523</v>
      </c>
      <c r="P72" s="335">
        <v>50</v>
      </c>
      <c r="Q72" s="335" t="s">
        <v>131</v>
      </c>
      <c r="R72" s="53"/>
      <c r="S72" s="53"/>
      <c r="T72" s="625"/>
      <c r="U72" s="625"/>
      <c r="V72" s="625"/>
      <c r="W72" s="625"/>
      <c r="X72" s="625" t="str">
        <f>K81</f>
        <v>Nuts</v>
      </c>
      <c r="Y72" s="634">
        <f>M82</f>
        <v>5.744011516513331E-2</v>
      </c>
      <c r="Z72" s="625"/>
      <c r="AA72" s="625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</row>
    <row r="73" spans="4:40" x14ac:dyDescent="0.25">
      <c r="D73" t="s">
        <v>1345</v>
      </c>
      <c r="E73" t="s">
        <v>1346</v>
      </c>
      <c r="F73" t="s">
        <v>122</v>
      </c>
      <c r="G73">
        <f>0.79</f>
        <v>0.79</v>
      </c>
      <c r="H73" t="s">
        <v>1352</v>
      </c>
      <c r="K73" t="s">
        <v>2366</v>
      </c>
      <c r="L73" s="246">
        <v>4.1470000000000002</v>
      </c>
      <c r="M73" s="246"/>
      <c r="O73" s="282" t="s">
        <v>2468</v>
      </c>
      <c r="R73" s="53"/>
      <c r="S73" s="53"/>
      <c r="T73" s="625"/>
      <c r="U73" s="625"/>
      <c r="V73" s="625"/>
      <c r="W73" s="625"/>
      <c r="X73" s="10" t="s">
        <v>2517</v>
      </c>
      <c r="Y73" s="241">
        <f>M90</f>
        <v>5.7600115485927549E-2</v>
      </c>
      <c r="Z73" s="625"/>
      <c r="AA73" s="625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</row>
    <row r="74" spans="4:40" x14ac:dyDescent="0.25">
      <c r="G74">
        <f>G73/1000000*tonnes_to_kgs</f>
        <v>7.9000000000000001E-4</v>
      </c>
      <c r="H74" t="s">
        <v>1353</v>
      </c>
      <c r="L74" s="246"/>
      <c r="M74" s="246">
        <f>L73/lbs_to_oz*P61/kg_to_lb</f>
        <v>0.23513122442869977</v>
      </c>
      <c r="R74" s="53"/>
      <c r="S74" s="53"/>
      <c r="T74" s="625"/>
      <c r="X74" s="10" t="s">
        <v>2519</v>
      </c>
      <c r="Y74" s="241">
        <f>M94</f>
        <v>4.9510099265768631E-2</v>
      </c>
      <c r="AL74" s="53"/>
      <c r="AM74" s="53"/>
      <c r="AN74" s="53"/>
    </row>
    <row r="75" spans="4:40" x14ac:dyDescent="0.25">
      <c r="D75">
        <v>3188.8</v>
      </c>
      <c r="E75" t="s">
        <v>1349</v>
      </c>
      <c r="K75" t="s">
        <v>1321</v>
      </c>
      <c r="L75" s="246">
        <v>3.59</v>
      </c>
      <c r="M75" s="246"/>
      <c r="R75" s="53"/>
      <c r="S75" s="53"/>
      <c r="T75" s="625"/>
      <c r="X75" s="10" t="s">
        <v>2524</v>
      </c>
      <c r="Y75" s="241">
        <f>M96</f>
        <v>2.1696043499699377E-2</v>
      </c>
      <c r="AL75" s="53"/>
      <c r="AM75" s="53"/>
      <c r="AN75" s="53"/>
    </row>
    <row r="76" spans="4:40" x14ac:dyDescent="0.25">
      <c r="D76">
        <f>6*12</f>
        <v>72</v>
      </c>
      <c r="E76" t="s">
        <v>1350</v>
      </c>
      <c r="L76" s="246"/>
      <c r="M76" s="246">
        <f>L75/lbs_to_oz/oz_to_grams*P62/kg_to_lb</f>
        <v>0.20104040307796658</v>
      </c>
      <c r="R76" s="53"/>
      <c r="S76" s="53"/>
      <c r="T76" s="625"/>
      <c r="U76" s="625"/>
      <c r="V76" s="625"/>
      <c r="W76" s="625"/>
      <c r="Z76" s="625"/>
      <c r="AA76" s="625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</row>
    <row r="77" spans="4:40" x14ac:dyDescent="0.25">
      <c r="D77">
        <f>D75/D76</f>
        <v>44.288888888888891</v>
      </c>
      <c r="E77" t="s">
        <v>1351</v>
      </c>
      <c r="K77" t="s">
        <v>1326</v>
      </c>
      <c r="L77" s="246">
        <v>3.0939999999999999</v>
      </c>
      <c r="M77" s="246"/>
      <c r="R77" s="53"/>
      <c r="S77" s="53"/>
      <c r="T77" s="625"/>
      <c r="U77" s="625"/>
      <c r="V77" s="625"/>
      <c r="AM77" s="53"/>
      <c r="AN77" s="53"/>
    </row>
    <row r="78" spans="4:40" x14ac:dyDescent="0.25">
      <c r="D78">
        <f>D77/oz_to_grams</f>
        <v>1.5622458557960068</v>
      </c>
      <c r="L78" s="246"/>
      <c r="M78" s="246">
        <f>L77*5.29*P63/lbs_to_oz/kg_to_lb</f>
        <v>0.464004567680598</v>
      </c>
      <c r="R78" s="53"/>
      <c r="S78" s="53"/>
      <c r="T78" s="625"/>
      <c r="U78" s="625"/>
      <c r="V78" s="625"/>
      <c r="AM78" s="53"/>
      <c r="AN78" s="53"/>
    </row>
    <row r="79" spans="4:40" x14ac:dyDescent="0.25">
      <c r="K79" t="s">
        <v>1323</v>
      </c>
      <c r="L79" s="246">
        <v>2.1659999999999999</v>
      </c>
      <c r="M79" s="246"/>
      <c r="R79" s="53"/>
      <c r="S79" s="53"/>
      <c r="T79" s="625"/>
      <c r="U79" s="625"/>
      <c r="V79" s="625"/>
      <c r="W79" s="634"/>
      <c r="X79" s="625" t="s">
        <v>1330</v>
      </c>
      <c r="Y79" s="635">
        <f>Y51</f>
        <v>2.9458552868858172</v>
      </c>
      <c r="Z79" s="625"/>
      <c r="AA79" s="625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</row>
    <row r="80" spans="4:40" x14ac:dyDescent="0.25">
      <c r="D80">
        <f>750/1000</f>
        <v>0.75</v>
      </c>
      <c r="E80" t="s">
        <v>136</v>
      </c>
      <c r="L80" s="246"/>
      <c r="M80" s="246">
        <f>L79*5.57*P64/lbs_to_oz/kg_to_lb</f>
        <v>8.5506657609928247E-2</v>
      </c>
      <c r="R80" s="53"/>
      <c r="S80" s="53"/>
      <c r="T80" s="625"/>
      <c r="U80" s="625"/>
      <c r="V80" s="625"/>
      <c r="W80" s="634"/>
      <c r="X80" s="625" t="s">
        <v>1341</v>
      </c>
      <c r="Y80" s="635">
        <f>Y52</f>
        <v>0.28405056951002994</v>
      </c>
      <c r="Z80" s="625"/>
      <c r="AA80" s="625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</row>
    <row r="81" spans="1:40" x14ac:dyDescent="0.25">
      <c r="D81" t="s">
        <v>1044</v>
      </c>
      <c r="E81" t="s">
        <v>1354</v>
      </c>
      <c r="F81" t="s">
        <v>1333</v>
      </c>
      <c r="G81" t="s">
        <v>1332</v>
      </c>
      <c r="K81" t="s">
        <v>1338</v>
      </c>
      <c r="L81" s="246">
        <v>1.7949999999999999</v>
      </c>
      <c r="M81" s="246"/>
      <c r="R81" s="53"/>
      <c r="S81" s="53"/>
      <c r="T81" s="625"/>
      <c r="U81" s="625"/>
      <c r="V81" s="625"/>
      <c r="W81" s="634"/>
      <c r="X81" s="625" t="s">
        <v>1342</v>
      </c>
      <c r="Y81" s="635">
        <f>Y53</f>
        <v>0.24545530570582133</v>
      </c>
      <c r="Z81" s="625"/>
      <c r="AA81" s="625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</row>
    <row r="82" spans="1:40" x14ac:dyDescent="0.25">
      <c r="D82" t="s">
        <v>1354</v>
      </c>
      <c r="E82" t="s">
        <v>1355</v>
      </c>
      <c r="F82" t="s">
        <v>1332</v>
      </c>
      <c r="G82" t="s">
        <v>1044</v>
      </c>
      <c r="L82" s="246"/>
      <c r="M82" s="246">
        <f>L81/lbs_to_oz/oz_to_grams*P65/kg_to_lb</f>
        <v>5.744011516513331E-2</v>
      </c>
      <c r="R82" s="53"/>
      <c r="S82" s="53"/>
      <c r="T82" s="625"/>
      <c r="W82" s="634"/>
      <c r="X82" s="625" t="s">
        <v>1343</v>
      </c>
      <c r="Y82" s="635">
        <f>Y54</f>
        <v>0.13558739103403575</v>
      </c>
      <c r="Z82" s="625"/>
      <c r="AA82" s="625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</row>
    <row r="83" spans="1:40" x14ac:dyDescent="0.25">
      <c r="K83" t="s">
        <v>2367</v>
      </c>
      <c r="L83">
        <v>2.2000000000000002</v>
      </c>
      <c r="R83" s="53"/>
      <c r="S83" s="53"/>
      <c r="T83" s="625"/>
      <c r="U83" s="625"/>
      <c r="V83" s="625"/>
      <c r="W83" s="634"/>
      <c r="X83" s="625" t="s">
        <v>1344</v>
      </c>
      <c r="Y83" s="635">
        <f>Y55</f>
        <v>1.4000336724338612E-2</v>
      </c>
      <c r="Z83" s="625"/>
      <c r="AA83" s="625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</row>
    <row r="84" spans="1:40" x14ac:dyDescent="0.25">
      <c r="M84" s="246">
        <f>L83/lbs_to_oz*P66/kg_to_lb</f>
        <v>0.3742141502844028</v>
      </c>
      <c r="R84" s="53"/>
      <c r="S84" s="53"/>
      <c r="T84" s="625"/>
      <c r="U84" s="625"/>
      <c r="V84" s="625"/>
      <c r="W84" s="634"/>
      <c r="Y84" s="625"/>
      <c r="Z84" s="625"/>
      <c r="AA84" s="625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</row>
    <row r="85" spans="1:40" x14ac:dyDescent="0.25">
      <c r="D85" t="s">
        <v>1332</v>
      </c>
      <c r="E85" t="s">
        <v>1379</v>
      </c>
      <c r="F85" t="s">
        <v>1378</v>
      </c>
      <c r="G85" t="s">
        <v>1332</v>
      </c>
      <c r="K85" t="s">
        <v>1339</v>
      </c>
      <c r="L85" s="246">
        <v>1.1760999999999999</v>
      </c>
      <c r="M85" s="246"/>
      <c r="R85" s="53"/>
      <c r="S85" s="53"/>
      <c r="T85" s="625"/>
      <c r="U85" s="625"/>
      <c r="V85" s="625"/>
      <c r="W85" s="634">
        <v>35.5</v>
      </c>
      <c r="X85" s="625" t="s">
        <v>1335</v>
      </c>
      <c r="Y85" s="634">
        <f>W85/lbs_to_oz*P54/kg_to_lb</f>
        <v>3.0192278034309772</v>
      </c>
      <c r="Z85" s="625"/>
      <c r="AA85" s="625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</row>
    <row r="86" spans="1:40" x14ac:dyDescent="0.25">
      <c r="D86" t="s">
        <v>1332</v>
      </c>
      <c r="E86" t="s">
        <v>1340</v>
      </c>
      <c r="G86" t="s">
        <v>1333</v>
      </c>
      <c r="L86" s="246"/>
      <c r="M86" s="246">
        <f>L85/lbs_to_oz/oz_to_grams*P67/kg_to_lb</f>
        <v>9.408818864305471E-2</v>
      </c>
      <c r="R86" s="53"/>
      <c r="S86" s="53"/>
      <c r="T86" s="625"/>
      <c r="U86" s="625"/>
      <c r="V86" s="625"/>
      <c r="W86" s="634">
        <v>24.236000000000001</v>
      </c>
      <c r="X86" s="625" t="s">
        <v>1317</v>
      </c>
      <c r="Y86" s="634">
        <f>W86/lbs_to_oz*P55/kg_to_lb</f>
        <v>2.0612395787029056</v>
      </c>
      <c r="Z86" s="625"/>
      <c r="AA86" s="625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</row>
    <row r="87" spans="1:40" x14ac:dyDescent="0.25">
      <c r="K87" t="s">
        <v>1322</v>
      </c>
      <c r="L87" s="246">
        <v>0.92847000000000002</v>
      </c>
      <c r="M87" s="246"/>
      <c r="R87" s="53"/>
      <c r="S87" s="53"/>
      <c r="T87" s="625"/>
      <c r="U87" s="625"/>
      <c r="V87" s="625"/>
      <c r="W87" s="634">
        <v>6.9341999999999997</v>
      </c>
      <c r="X87" s="625" t="s">
        <v>1336</v>
      </c>
      <c r="Y87" s="634">
        <f>W87/lbs_to_oz*P59/kg_to_lb</f>
        <v>0.78632598815215327</v>
      </c>
      <c r="Z87" s="625"/>
      <c r="AA87" s="625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</row>
    <row r="88" spans="1:40" x14ac:dyDescent="0.25">
      <c r="M88" s="246">
        <f>L87/kg_to_lb</f>
        <v>0.42114740862370842</v>
      </c>
      <c r="R88" s="53"/>
      <c r="S88" s="53"/>
      <c r="T88" s="625"/>
      <c r="U88" s="625"/>
      <c r="V88" s="625"/>
      <c r="W88" s="634">
        <v>8.3187999999999995</v>
      </c>
      <c r="X88" s="625" t="s">
        <v>2364</v>
      </c>
      <c r="Y88" s="634">
        <f>W89/lbs_to_oz*P58/kg_to_lb</f>
        <v>0.73533080530885153</v>
      </c>
      <c r="Z88" s="625"/>
      <c r="AA88" s="625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</row>
    <row r="89" spans="1:40" x14ac:dyDescent="0.25">
      <c r="K89" t="s">
        <v>2517</v>
      </c>
      <c r="L89">
        <v>1.92</v>
      </c>
      <c r="R89" s="53"/>
      <c r="S89" s="53"/>
      <c r="T89" s="625"/>
      <c r="U89" s="625"/>
      <c r="V89" s="625"/>
      <c r="W89" s="634">
        <v>8.6460000000000008</v>
      </c>
      <c r="X89" s="625" t="s">
        <v>1319</v>
      </c>
      <c r="Y89" s="634">
        <f>W88/lbs_to_oz*P57/kg_to_lb</f>
        <v>0.70750288031497499</v>
      </c>
      <c r="Z89" s="625"/>
      <c r="AA89" s="625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</row>
    <row r="90" spans="1:40" x14ac:dyDescent="0.25">
      <c r="B90" t="s">
        <v>1380</v>
      </c>
      <c r="M90" s="600">
        <f>L89/lbs_to_oz/oz_to_grams*P69/kg_to_lb</f>
        <v>5.7600115485927549E-2</v>
      </c>
      <c r="R90" s="53"/>
      <c r="S90" s="53"/>
      <c r="T90" s="625"/>
      <c r="U90" s="625"/>
      <c r="V90" s="625"/>
      <c r="W90" s="634">
        <v>3.6025999999999998</v>
      </c>
      <c r="X90" s="625" t="s">
        <v>1337</v>
      </c>
      <c r="Y90" s="634">
        <f>W90/lbs_to_oz*P60/kg_to_lb</f>
        <v>0.40852845388320891</v>
      </c>
      <c r="Z90" s="625"/>
      <c r="AA90" s="625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</row>
    <row r="91" spans="1:40" x14ac:dyDescent="0.25">
      <c r="B91">
        <v>1.25</v>
      </c>
      <c r="C91" t="s">
        <v>1381</v>
      </c>
      <c r="E91" s="213" t="s">
        <v>2488</v>
      </c>
      <c r="F91" t="s">
        <v>2485</v>
      </c>
      <c r="K91" t="s">
        <v>2518</v>
      </c>
      <c r="L91">
        <v>0.86656999999999995</v>
      </c>
      <c r="M91" s="600"/>
      <c r="U91" s="625"/>
      <c r="V91" s="625"/>
      <c r="W91" s="634">
        <v>4.1265999999999998</v>
      </c>
      <c r="X91" s="625" t="s">
        <v>2366</v>
      </c>
      <c r="Y91" s="634">
        <f>W91/lbs_to_oz*P61/kg_to_lb</f>
        <v>0.23397456250963886</v>
      </c>
      <c r="Z91" s="625"/>
      <c r="AA91" s="625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</row>
    <row r="92" spans="1:40" x14ac:dyDescent="0.25">
      <c r="A92" t="s">
        <v>1317</v>
      </c>
      <c r="B92">
        <f>B91*28*1000000</f>
        <v>35000000</v>
      </c>
      <c r="C92" t="s">
        <v>1382</v>
      </c>
      <c r="E92" t="s">
        <v>1383</v>
      </c>
      <c r="F92">
        <v>36.283000000000001</v>
      </c>
      <c r="G92" s="633">
        <f>F92/$F$100</f>
        <v>0.28576716784676337</v>
      </c>
      <c r="M92" s="600">
        <f>L91/lbs_to_oz/oz_to_grams*P70/kg_to_lb</f>
        <v>8.6657173744167079E-2</v>
      </c>
      <c r="U92" s="625"/>
      <c r="V92" s="625"/>
      <c r="W92" s="634">
        <v>3.6025999999999998</v>
      </c>
      <c r="X92" s="625" t="s">
        <v>1321</v>
      </c>
      <c r="Y92" s="634">
        <f>W92/lbs_to_oz/oz_to_grams*P62/kg_to_lb</f>
        <v>0.20174600449266919</v>
      </c>
      <c r="Z92" s="625"/>
      <c r="AA92" s="625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</row>
    <row r="93" spans="1:40" x14ac:dyDescent="0.25">
      <c r="A93" t="s">
        <v>2482</v>
      </c>
      <c r="B93" s="246">
        <f>Figures!N45*(1184776/kg_to_lb)</f>
        <v>2278176514.8966584</v>
      </c>
      <c r="C93" t="s">
        <v>1382</v>
      </c>
      <c r="E93" t="s">
        <v>1076</v>
      </c>
      <c r="F93">
        <v>28.167999999999999</v>
      </c>
      <c r="G93" s="633">
        <f t="shared" ref="G93:G99" si="1">F93/$F$100</f>
        <v>0.22185292241291046</v>
      </c>
      <c r="K93" t="s">
        <v>2519</v>
      </c>
      <c r="L93">
        <v>0.49509999999999998</v>
      </c>
      <c r="M93" s="600"/>
      <c r="W93" s="634">
        <v>0.98519999999999996</v>
      </c>
      <c r="X93" s="625" t="s">
        <v>1339</v>
      </c>
      <c r="Y93" s="634">
        <f>W93/lbs_to_oz/oz_to_grams*P67/kg_to_lb</f>
        <v>7.8816158023244196E-2</v>
      </c>
      <c r="Z93" s="625"/>
      <c r="AA93" s="625"/>
      <c r="AB93" s="53"/>
      <c r="AC93" s="53"/>
      <c r="AD93" s="53"/>
      <c r="AE93" s="53"/>
      <c r="AF93" s="53"/>
      <c r="AG93" s="53"/>
      <c r="AH93" s="53"/>
      <c r="AI93" s="53"/>
      <c r="AJ93" s="53"/>
      <c r="AK93" s="53"/>
    </row>
    <row r="94" spans="1:40" x14ac:dyDescent="0.25">
      <c r="B94">
        <f>B93/tonnes_to_kgs</f>
        <v>2278176.5148966582</v>
      </c>
      <c r="C94" t="s">
        <v>2483</v>
      </c>
      <c r="E94" t="s">
        <v>2484</v>
      </c>
      <c r="F94">
        <v>25.692</v>
      </c>
      <c r="G94" s="633">
        <f t="shared" si="1"/>
        <v>0.20235179219797272</v>
      </c>
      <c r="M94" s="600">
        <f>L93/lbs_to_oz/oz_to_grams*P71/kg_to_lb</f>
        <v>4.9510099265768631E-2</v>
      </c>
      <c r="W94" s="634"/>
      <c r="X94" s="625"/>
      <c r="Y94" s="634"/>
      <c r="Z94" s="625"/>
      <c r="AA94" s="625"/>
      <c r="AB94" s="53"/>
      <c r="AC94" s="53"/>
      <c r="AD94" s="53"/>
      <c r="AE94" s="53"/>
      <c r="AF94" s="53"/>
      <c r="AG94" s="53"/>
      <c r="AH94" s="53"/>
      <c r="AI94" s="53"/>
      <c r="AJ94" s="53"/>
      <c r="AK94" s="53"/>
    </row>
    <row r="95" spans="1:40" x14ac:dyDescent="0.25">
      <c r="B95">
        <f>B94/1000000</f>
        <v>2.2781765148966584</v>
      </c>
      <c r="C95" t="s">
        <v>1390</v>
      </c>
      <c r="E95" t="s">
        <v>1387</v>
      </c>
      <c r="F95">
        <v>15.619</v>
      </c>
      <c r="G95" s="633">
        <f t="shared" si="1"/>
        <v>0.12301621681224256</v>
      </c>
      <c r="K95" t="s">
        <v>2523</v>
      </c>
      <c r="L95">
        <v>0.43391999999999997</v>
      </c>
      <c r="M95" s="600"/>
      <c r="W95" s="241">
        <v>0.98250000000000004</v>
      </c>
      <c r="X95" s="625" t="s">
        <v>1322</v>
      </c>
      <c r="Y95" s="241">
        <f>W95/kg_to_lb</f>
        <v>0.44565503352051605</v>
      </c>
    </row>
    <row r="96" spans="1:40" x14ac:dyDescent="0.25">
      <c r="E96" t="s">
        <v>1385</v>
      </c>
      <c r="F96">
        <v>10.66</v>
      </c>
      <c r="G96" s="633">
        <f t="shared" si="1"/>
        <v>8.3958823946379782E-2</v>
      </c>
      <c r="M96" s="600">
        <f>L95/lbs_to_oz/oz_to_grams*P72/kg_to_lb</f>
        <v>2.1696043499699377E-2</v>
      </c>
      <c r="W96" s="241">
        <v>11.725</v>
      </c>
      <c r="X96" s="625" t="s">
        <v>1318</v>
      </c>
      <c r="Y96" s="241">
        <f>W96/lbs_to_oz*P56/kg_to_lb</f>
        <v>0.33239855394580475</v>
      </c>
    </row>
    <row r="97" spans="5:25" x14ac:dyDescent="0.25">
      <c r="E97" s="31" t="s">
        <v>1388</v>
      </c>
      <c r="F97">
        <v>1.851</v>
      </c>
      <c r="G97" s="633">
        <f t="shared" si="1"/>
        <v>1.4578591287499902E-2</v>
      </c>
      <c r="W97" s="241">
        <v>1.1134999999999999</v>
      </c>
      <c r="X97" s="625" t="s">
        <v>2367</v>
      </c>
      <c r="Y97" s="241">
        <f>W97/lbs_to_oz*P66/kg_to_lb</f>
        <v>0.1894033892462193</v>
      </c>
    </row>
    <row r="98" spans="5:25" x14ac:dyDescent="0.25">
      <c r="E98" s="31" t="s">
        <v>1384</v>
      </c>
      <c r="F98">
        <v>4.508</v>
      </c>
      <c r="G98" s="633">
        <f t="shared" si="1"/>
        <v>3.5505288775823644E-2</v>
      </c>
      <c r="W98" s="241"/>
    </row>
    <row r="99" spans="5:25" x14ac:dyDescent="0.25">
      <c r="E99" t="s">
        <v>2047</v>
      </c>
      <c r="F99">
        <v>4.1859999999999999</v>
      </c>
      <c r="G99" s="633">
        <f t="shared" si="1"/>
        <v>3.296919672040767E-2</v>
      </c>
      <c r="W99" s="241"/>
    </row>
    <row r="100" spans="5:25" x14ac:dyDescent="0.25">
      <c r="F100">
        <f>SUM(F92:F99)</f>
        <v>126.96699999999998</v>
      </c>
      <c r="W100" s="241"/>
    </row>
    <row r="102" spans="5:25" x14ac:dyDescent="0.25">
      <c r="E102" t="s">
        <v>1391</v>
      </c>
      <c r="F102">
        <f>B95</f>
        <v>2.2781765148966584</v>
      </c>
      <c r="G102" s="31" t="s">
        <v>1389</v>
      </c>
    </row>
    <row r="114" spans="3:25" x14ac:dyDescent="0.25">
      <c r="N114" t="s">
        <v>1623</v>
      </c>
    </row>
    <row r="115" spans="3:25" ht="15.75" thickBot="1" x14ac:dyDescent="0.3">
      <c r="M115" s="149" t="s">
        <v>449</v>
      </c>
      <c r="N115" s="346">
        <f>LCA!P36</f>
        <v>0.98409020155625349</v>
      </c>
      <c r="V115"/>
      <c r="W115"/>
      <c r="X115" t="str">
        <f>K49</f>
        <v>Cannabis</v>
      </c>
      <c r="Y115" s="246">
        <f>M50*kg_to_lb</f>
        <v>6.4944914825742099</v>
      </c>
    </row>
    <row r="116" spans="3:25" x14ac:dyDescent="0.25">
      <c r="D116" s="743" t="s">
        <v>1615</v>
      </c>
      <c r="E116" s="743"/>
      <c r="F116" s="743"/>
      <c r="G116" s="743"/>
      <c r="M116" s="149" t="s">
        <v>450</v>
      </c>
      <c r="N116" s="346">
        <f>LCA!Q36</f>
        <v>0.98761531475530817</v>
      </c>
      <c r="Q116" s="49"/>
      <c r="R116" s="50"/>
      <c r="S116" s="50"/>
      <c r="T116" s="626"/>
      <c r="V116"/>
      <c r="W116"/>
      <c r="X116" t="str">
        <f>K51</f>
        <v>Beer</v>
      </c>
      <c r="Y116">
        <f>M52*kg_to_lb</f>
        <v>0.6262235665532021</v>
      </c>
    </row>
    <row r="117" spans="3:25" x14ac:dyDescent="0.25">
      <c r="D117" t="s">
        <v>180</v>
      </c>
      <c r="E117" t="s">
        <v>179</v>
      </c>
      <c r="M117" s="149" t="s">
        <v>451</v>
      </c>
      <c r="N117" s="346">
        <f>LCA!R36</f>
        <v>0.98649118584902684</v>
      </c>
      <c r="Q117" s="52">
        <f>2000+2200+1100+200</f>
        <v>5500</v>
      </c>
      <c r="R117" s="53" t="s">
        <v>2032</v>
      </c>
      <c r="S117" s="53"/>
      <c r="T117" s="627"/>
      <c r="V117"/>
      <c r="W117"/>
      <c r="X117" t="str">
        <f>K53</f>
        <v>Wine</v>
      </c>
      <c r="Y117">
        <f>M54*kg_to_lb</f>
        <v>0.54113567606516777</v>
      </c>
    </row>
    <row r="118" spans="3:25" ht="30" x14ac:dyDescent="0.25">
      <c r="C118" s="31" t="str">
        <f>LCA!A50</f>
        <v>Climate Control</v>
      </c>
      <c r="D118" s="32">
        <f>LCA!F50</f>
        <v>2312.6496975845048</v>
      </c>
      <c r="E118" s="32">
        <f>LCA!S50</f>
        <v>58.488336811744091</v>
      </c>
      <c r="F118" s="346"/>
      <c r="G118" s="346"/>
      <c r="H118" s="346"/>
      <c r="M118" s="149" t="s">
        <v>452</v>
      </c>
      <c r="N118" s="346">
        <f>LCA!S36</f>
        <v>0.98469352583441394</v>
      </c>
      <c r="Q118" s="501">
        <f>'Indoor Inputs'!K39+'Indoor Inputs'!K40+'Indoor Inputs'!K41+'Indoor Inputs'!K32+'Indoor Inputs'!K34+'Indoor Inputs'!K30+'Indoor Inputs'!K42</f>
        <v>2746412235.7576671</v>
      </c>
      <c r="R118" s="53" t="s">
        <v>548</v>
      </c>
      <c r="S118" s="53"/>
      <c r="T118" s="627"/>
      <c r="V118"/>
      <c r="W118"/>
      <c r="X118" t="str">
        <f>K55</f>
        <v>Spirits</v>
      </c>
      <c r="Y118">
        <f>M56*kg_to_lb</f>
        <v>0.29891867402145589</v>
      </c>
    </row>
    <row r="119" spans="3:25" ht="30" x14ac:dyDescent="0.25">
      <c r="C119" s="31" t="str">
        <f>LCA!A51</f>
        <v>Electricity from Lights</v>
      </c>
      <c r="D119" s="32">
        <f>LCA!F51</f>
        <v>836.88042477533656</v>
      </c>
      <c r="E119" s="32">
        <f>LCA!S51</f>
        <v>3.7694476887833783</v>
      </c>
      <c r="F119" s="346"/>
      <c r="G119" s="346"/>
      <c r="H119" s="346"/>
      <c r="M119" s="149" t="s">
        <v>453</v>
      </c>
      <c r="N119" s="346">
        <f>LCA!T36</f>
        <v>0.9861476645336601</v>
      </c>
      <c r="Q119" s="501">
        <f>Q118/'Indoor Inputs'!G117</f>
        <v>1630393.5259737307</v>
      </c>
      <c r="R119" s="53" t="s">
        <v>2033</v>
      </c>
      <c r="S119" s="53"/>
      <c r="T119" s="627"/>
      <c r="V119"/>
      <c r="W119"/>
      <c r="X119" t="str">
        <f>K57</f>
        <v>Cigarettes</v>
      </c>
      <c r="Y119" s="385">
        <f>M58*kg_to_lb</f>
        <v>0.61729483765145776</v>
      </c>
    </row>
    <row r="120" spans="3:25" ht="45" x14ac:dyDescent="0.25">
      <c r="C120" s="31" t="str">
        <f>LCA!A52</f>
        <v>Irrigation</v>
      </c>
      <c r="D120" s="32">
        <f>LCA!F52</f>
        <v>5.4118966197773828</v>
      </c>
      <c r="E120" s="32">
        <f>LCA!S52</f>
        <v>5.7226129097476672</v>
      </c>
      <c r="F120" s="346"/>
      <c r="G120" s="346"/>
      <c r="H120" s="346"/>
      <c r="M120" s="149" t="s">
        <v>454</v>
      </c>
      <c r="N120" s="346">
        <f>LCA!U36</f>
        <v>0.98806997661679241</v>
      </c>
      <c r="Q120" s="501">
        <f>Q119/1000</f>
        <v>1630.3935259737307</v>
      </c>
      <c r="R120" s="53" t="s">
        <v>2034</v>
      </c>
      <c r="S120" s="53"/>
      <c r="T120" s="627"/>
      <c r="V120"/>
      <c r="W120"/>
      <c r="X120" t="str">
        <f>K59</f>
        <v>Lamb</v>
      </c>
      <c r="Y120" s="246">
        <f>M60*kg_to_lb</f>
        <v>6.6618750000000002</v>
      </c>
    </row>
    <row r="121" spans="3:25" ht="30" x14ac:dyDescent="0.25">
      <c r="C121" s="31" t="str">
        <f>LCA!A53</f>
        <v>CO2</v>
      </c>
      <c r="D121" s="32">
        <f>LCA!F53</f>
        <v>573.97799175148657</v>
      </c>
      <c r="E121" s="32">
        <f>LCA!S53</f>
        <v>1.6099529890908506</v>
      </c>
      <c r="F121" s="346"/>
      <c r="G121" s="346"/>
      <c r="H121" s="346"/>
      <c r="M121" s="149" t="s">
        <v>455</v>
      </c>
      <c r="N121" s="346">
        <f>LCA!V36</f>
        <v>0.97964785448577851</v>
      </c>
      <c r="Q121" s="501">
        <f>Q120/kg_to_lb</f>
        <v>739.53494297145573</v>
      </c>
      <c r="R121" s="53" t="s">
        <v>2035</v>
      </c>
      <c r="S121" s="53"/>
      <c r="T121" s="627"/>
      <c r="V121"/>
      <c r="W121"/>
      <c r="X121" t="str">
        <f>K61</f>
        <v>Beef</v>
      </c>
      <c r="Y121" s="246">
        <f>M62*kg_to_lb</f>
        <v>4.5487500000000001</v>
      </c>
    </row>
    <row r="122" spans="3:25" ht="45" x14ac:dyDescent="0.25">
      <c r="C122" s="31" t="str">
        <f>LCA!A54</f>
        <v>Nutrients</v>
      </c>
      <c r="D122" s="32">
        <f>LCA!F54</f>
        <v>136.64710563041712</v>
      </c>
      <c r="E122" s="32">
        <f>LCA!S54</f>
        <v>4.2855072209801566E-2</v>
      </c>
      <c r="F122" s="346"/>
      <c r="G122" s="346"/>
      <c r="H122" s="346"/>
      <c r="M122" s="149" t="s">
        <v>456</v>
      </c>
      <c r="N122" s="346">
        <f>LCA!W36</f>
        <v>0.98753709591173888</v>
      </c>
      <c r="Q122" s="501">
        <f>Q121*1184776</f>
        <v>876183251.59394944</v>
      </c>
      <c r="R122" s="53" t="s">
        <v>2036</v>
      </c>
      <c r="S122" s="53"/>
      <c r="T122" s="627"/>
      <c r="V122"/>
      <c r="W122"/>
      <c r="X122" t="str">
        <f>K63</f>
        <v>Cheese</v>
      </c>
      <c r="Y122" s="246">
        <f>M64*kg_to_lb</f>
        <v>0.73118749999999999</v>
      </c>
    </row>
    <row r="123" spans="3:25" ht="45" x14ac:dyDescent="0.25">
      <c r="C123" s="31" t="str">
        <f>LCA!A55</f>
        <v>Soil</v>
      </c>
      <c r="D123" s="32">
        <f>LCA!F55</f>
        <v>3.8982274507707513</v>
      </c>
      <c r="E123" s="32">
        <f>LCA!S55</f>
        <v>1.3976807297382467E-3</v>
      </c>
      <c r="F123" s="346"/>
      <c r="G123" s="346"/>
      <c r="H123" s="346"/>
      <c r="M123" s="149" t="s">
        <v>457</v>
      </c>
      <c r="N123" s="346">
        <f>LCA!X36</f>
        <v>0.97817926048047232</v>
      </c>
      <c r="Q123" s="501">
        <f>Q122/1000000</f>
        <v>876.18325159394942</v>
      </c>
      <c r="R123" s="53"/>
      <c r="S123" s="53"/>
      <c r="T123" s="627"/>
      <c r="V123" s="32">
        <f>(LCA!F4+LCA!F5+LCA!F6+LCA!F8+LCA!F9+LCA!F10+LCA!F13+LCA!F15+LCA!F16+LCA!F27+LCA!F29)*(999022/kg_to_lb)/tonnes_to_kgs/1000000</f>
        <v>1.0596403910503525</v>
      </c>
      <c r="W123">
        <f>V123/F96</f>
        <v>9.9403413794592166E-2</v>
      </c>
      <c r="X123" t="str">
        <f>K65</f>
        <v>Pork</v>
      </c>
      <c r="Y123" s="246">
        <f>M66*kg_to_lb</f>
        <v>1.5551250000000001</v>
      </c>
    </row>
    <row r="124" spans="3:25" ht="30.75" thickBot="1" x14ac:dyDescent="0.3">
      <c r="C124" s="31" t="str">
        <f>LCA!A56</f>
        <v>Plant Protection</v>
      </c>
      <c r="D124" s="32">
        <f>LCA!F56</f>
        <v>16.166942811456092</v>
      </c>
      <c r="E124" s="32">
        <f>LCA!S56</f>
        <v>0.66492723546012267</v>
      </c>
      <c r="F124" s="346"/>
      <c r="G124" s="346"/>
      <c r="H124" s="346"/>
      <c r="M124" s="149" t="s">
        <v>458</v>
      </c>
      <c r="N124" s="346">
        <f>LCA!Y36</f>
        <v>0.98581884363117622</v>
      </c>
      <c r="Q124" s="502">
        <f>Q123/1000</f>
        <v>0.87618325159394939</v>
      </c>
      <c r="R124" s="47" t="s">
        <v>2037</v>
      </c>
      <c r="S124" s="47"/>
      <c r="T124" s="628"/>
      <c r="V124"/>
      <c r="W124"/>
      <c r="X124" t="str">
        <f>K69</f>
        <v>Turkey</v>
      </c>
      <c r="Y124" s="246">
        <f>M70*kg_to_lb</f>
        <v>1.7176750000000003</v>
      </c>
    </row>
    <row r="125" spans="3:25" x14ac:dyDescent="0.25">
      <c r="C125" s="31"/>
      <c r="D125" s="346"/>
      <c r="E125" s="446"/>
      <c r="F125" s="346"/>
      <c r="G125" s="346"/>
      <c r="H125" s="346"/>
      <c r="V125"/>
      <c r="W125"/>
      <c r="X125" t="str">
        <f>K71</f>
        <v>Chicken</v>
      </c>
      <c r="Y125" s="246">
        <f>M72*kg_to_lb</f>
        <v>0.89749999999999996</v>
      </c>
    </row>
    <row r="126" spans="3:25" x14ac:dyDescent="0.25">
      <c r="C126" s="31"/>
      <c r="D126" s="32">
        <f>SUM(D118:D124)</f>
        <v>3885.6322866237492</v>
      </c>
      <c r="E126" s="32">
        <f>SUM(E118:E124)</f>
        <v>70.299530387765671</v>
      </c>
      <c r="F126" s="346"/>
      <c r="G126" s="346"/>
      <c r="H126" s="346"/>
      <c r="V126"/>
      <c r="W126">
        <f>F96*0.04</f>
        <v>0.4264</v>
      </c>
      <c r="X126" t="str">
        <f>K73</f>
        <v>Canned Tuna</v>
      </c>
      <c r="Y126" s="246">
        <f>M74*kg_to_lb</f>
        <v>0.51837500000000003</v>
      </c>
    </row>
    <row r="127" spans="3:25" x14ac:dyDescent="0.25">
      <c r="C127" s="31" t="s">
        <v>1622</v>
      </c>
      <c r="D127" s="32">
        <f>output_LCA_GWP</f>
        <v>4592.797114950371</v>
      </c>
      <c r="E127" s="32">
        <f>LCA!S35</f>
        <v>70.299530387765643</v>
      </c>
      <c r="F127" s="346"/>
      <c r="G127" s="346"/>
      <c r="H127" s="346"/>
      <c r="V127"/>
      <c r="W127"/>
      <c r="X127" t="str">
        <f>K75</f>
        <v>Eggs</v>
      </c>
      <c r="Y127" s="246">
        <f>M76*kg_to_lb</f>
        <v>0.44321769343374667</v>
      </c>
    </row>
    <row r="128" spans="3:25" x14ac:dyDescent="0.25">
      <c r="C128" s="31"/>
      <c r="E128" s="446"/>
      <c r="F128" s="346"/>
      <c r="G128" s="346"/>
      <c r="H128" s="346"/>
      <c r="V128"/>
      <c r="W128"/>
      <c r="X128" t="str">
        <f>K77</f>
        <v>Potatoes</v>
      </c>
      <c r="Y128" s="246">
        <f>M78*kg_to_lb</f>
        <v>1.0229537499999999</v>
      </c>
    </row>
    <row r="129" spans="3:25" x14ac:dyDescent="0.25">
      <c r="C129" s="31"/>
      <c r="E129" s="446"/>
      <c r="F129" s="346"/>
      <c r="G129" s="346"/>
      <c r="H129" s="346"/>
      <c r="V129"/>
      <c r="W129"/>
      <c r="X129" t="str">
        <f>K79</f>
        <v>Rice</v>
      </c>
      <c r="Y129" s="246">
        <f>M80*kg_to_lb</f>
        <v>0.18850968749999999</v>
      </c>
    </row>
    <row r="130" spans="3:25" x14ac:dyDescent="0.25">
      <c r="C130" s="31"/>
      <c r="E130" s="446"/>
      <c r="F130" s="346"/>
      <c r="G130" s="346"/>
      <c r="H130" s="346"/>
      <c r="V130"/>
      <c r="W130"/>
      <c r="X130" t="str">
        <f>K81</f>
        <v>Nuts</v>
      </c>
      <c r="Y130" s="246">
        <f>M82*kg_to_lb</f>
        <v>0.12663362669535619</v>
      </c>
    </row>
    <row r="131" spans="3:25" x14ac:dyDescent="0.25">
      <c r="C131" s="31"/>
      <c r="E131" s="446"/>
      <c r="F131" s="346"/>
      <c r="G131" s="346"/>
      <c r="H131" s="346"/>
      <c r="V131"/>
      <c r="W131"/>
      <c r="X131" t="str">
        <f>K85</f>
        <v>Tofu</v>
      </c>
      <c r="Y131" s="246">
        <f>M86*kg_to_lb</f>
        <v>0.20742870244625125</v>
      </c>
    </row>
    <row r="132" spans="3:25" x14ac:dyDescent="0.25">
      <c r="C132" s="31"/>
      <c r="E132" s="446"/>
      <c r="F132" s="346"/>
      <c r="G132" s="346"/>
      <c r="H132" s="346"/>
      <c r="V132"/>
      <c r="W132"/>
      <c r="X132" t="str">
        <f>K87</f>
        <v>Milk</v>
      </c>
      <c r="Y132" s="246">
        <f>M88*kg_to_lb</f>
        <v>0.92847000000000002</v>
      </c>
    </row>
    <row r="133" spans="3:25" x14ac:dyDescent="0.25">
      <c r="C133" s="31"/>
      <c r="E133" s="446"/>
      <c r="F133" s="346"/>
      <c r="G133" s="445"/>
    </row>
    <row r="134" spans="3:25" ht="15.75" customHeight="1" thickBot="1" x14ac:dyDescent="0.3">
      <c r="C134" s="47"/>
      <c r="D134" s="47" t="s">
        <v>1623</v>
      </c>
    </row>
    <row r="135" spans="3:25" ht="15.75" customHeight="1" x14ac:dyDescent="0.25">
      <c r="C135" s="149" t="s">
        <v>449</v>
      </c>
      <c r="D135" s="346">
        <f>LCA!P36</f>
        <v>0.98409020155625349</v>
      </c>
    </row>
    <row r="136" spans="3:25" ht="15.75" customHeight="1" thickBot="1" x14ac:dyDescent="0.3">
      <c r="C136" s="149" t="s">
        <v>450</v>
      </c>
      <c r="D136" s="346">
        <f>LCA!Q36</f>
        <v>0.98761531475530817</v>
      </c>
    </row>
    <row r="137" spans="3:25" ht="15.75" customHeight="1" x14ac:dyDescent="0.25">
      <c r="C137" s="149" t="s">
        <v>451</v>
      </c>
      <c r="D137" s="346">
        <f>LCA!R36</f>
        <v>0.98649118584902684</v>
      </c>
      <c r="M137" s="291"/>
      <c r="N137" s="639"/>
      <c r="O137" s="292"/>
      <c r="P137" s="292"/>
      <c r="Q137" s="292"/>
      <c r="R137" s="293"/>
    </row>
    <row r="138" spans="3:25" ht="15.75" customHeight="1" x14ac:dyDescent="0.25">
      <c r="C138" s="149" t="s">
        <v>452</v>
      </c>
      <c r="D138" s="346">
        <f>LCA!S36</f>
        <v>0.98469352583441394</v>
      </c>
      <c r="M138" s="294"/>
      <c r="N138" s="295">
        <v>2.1</v>
      </c>
      <c r="O138" s="295" t="s">
        <v>2525</v>
      </c>
      <c r="P138" s="295"/>
      <c r="Q138" s="295"/>
      <c r="R138" s="296"/>
    </row>
    <row r="139" spans="3:25" ht="15.75" customHeight="1" x14ac:dyDescent="0.25">
      <c r="C139" s="149" t="s">
        <v>453</v>
      </c>
      <c r="D139" s="346">
        <f>LCA!T36</f>
        <v>0.9861476645336601</v>
      </c>
      <c r="M139" s="294"/>
      <c r="N139" s="640">
        <f>F181</f>
        <v>4239.2093596354671</v>
      </c>
      <c r="O139" s="295" t="s">
        <v>2444</v>
      </c>
      <c r="P139" s="295"/>
      <c r="Q139" s="295"/>
      <c r="R139" s="296"/>
    </row>
    <row r="140" spans="3:25" ht="15.75" customHeight="1" x14ac:dyDescent="0.25">
      <c r="C140" s="149" t="s">
        <v>454</v>
      </c>
      <c r="D140" s="346">
        <f>LCA!U36</f>
        <v>0.98806997661679241</v>
      </c>
      <c r="M140" s="294"/>
      <c r="N140" s="295">
        <v>1184776</v>
      </c>
      <c r="O140" s="295" t="s">
        <v>2526</v>
      </c>
      <c r="P140" s="295"/>
      <c r="Q140" s="295"/>
      <c r="R140" s="296"/>
    </row>
    <row r="141" spans="3:25" ht="15.75" customHeight="1" x14ac:dyDescent="0.25">
      <c r="C141" s="149" t="s">
        <v>455</v>
      </c>
      <c r="D141" s="346">
        <f>LCA!V36</f>
        <v>0.97964785448577851</v>
      </c>
      <c r="M141" s="294"/>
      <c r="N141" s="640">
        <f>N140/kg_to_lb</f>
        <v>537405.99286951951</v>
      </c>
      <c r="O141" s="295" t="s">
        <v>2527</v>
      </c>
      <c r="P141" s="295"/>
      <c r="Q141" s="295"/>
      <c r="R141" s="296"/>
    </row>
    <row r="142" spans="3:25" ht="15.75" customHeight="1" x14ac:dyDescent="0.25">
      <c r="C142" s="149" t="s">
        <v>456</v>
      </c>
      <c r="D142" s="346">
        <f>LCA!W36</f>
        <v>0.98753709591173888</v>
      </c>
      <c r="M142" s="294"/>
      <c r="N142" s="295">
        <f>N139*N141</f>
        <v>2278176514.8966584</v>
      </c>
      <c r="O142" s="295" t="s">
        <v>2457</v>
      </c>
      <c r="P142" s="295"/>
      <c r="Q142" s="295"/>
      <c r="R142" s="296"/>
    </row>
    <row r="143" spans="3:25" ht="15.75" customHeight="1" thickBot="1" x14ac:dyDescent="0.3">
      <c r="C143" s="149" t="s">
        <v>457</v>
      </c>
      <c r="D143" s="346">
        <f>LCA!X36</f>
        <v>0.97817926048047232</v>
      </c>
      <c r="M143" s="294"/>
      <c r="N143" s="295">
        <f>N142/tonnes_to_kgs</f>
        <v>2278176.5148966582</v>
      </c>
      <c r="O143" s="295" t="s">
        <v>2528</v>
      </c>
      <c r="P143" s="295"/>
      <c r="Q143" s="295"/>
      <c r="R143" s="296"/>
    </row>
    <row r="144" spans="3:25" ht="15.75" customHeight="1" thickBot="1" x14ac:dyDescent="0.3">
      <c r="C144" s="447" t="s">
        <v>458</v>
      </c>
      <c r="D144" s="448">
        <f>LCA!Y36</f>
        <v>0.98581884363117622</v>
      </c>
      <c r="M144" s="641" t="s">
        <v>2532</v>
      </c>
      <c r="N144" s="642">
        <f>N143/1000000</f>
        <v>2.2781765148966584</v>
      </c>
      <c r="O144" s="643" t="s">
        <v>2531</v>
      </c>
      <c r="P144" s="644"/>
      <c r="Q144" s="645"/>
      <c r="R144" s="296"/>
    </row>
    <row r="145" spans="3:18" ht="15.75" thickTop="1" x14ac:dyDescent="0.25">
      <c r="M145" s="294"/>
      <c r="N145" s="295">
        <v>126.967</v>
      </c>
      <c r="O145" s="295" t="s">
        <v>2529</v>
      </c>
      <c r="P145" s="295"/>
      <c r="Q145" s="295"/>
      <c r="R145" s="296"/>
    </row>
    <row r="146" spans="3:18" ht="15.75" thickBot="1" x14ac:dyDescent="0.3">
      <c r="M146" s="570"/>
      <c r="N146" s="570">
        <v>0.8</v>
      </c>
      <c r="O146" s="570" t="s">
        <v>2868</v>
      </c>
      <c r="P146" s="570"/>
      <c r="Q146" s="570"/>
      <c r="R146" s="296"/>
    </row>
    <row r="147" spans="3:18" ht="15.75" thickBot="1" x14ac:dyDescent="0.3">
      <c r="M147" s="641" t="s">
        <v>2532</v>
      </c>
      <c r="N147" s="646">
        <f>N144/N145*N146</f>
        <v>1.4354448100036441E-2</v>
      </c>
      <c r="O147" s="643" t="s">
        <v>2530</v>
      </c>
      <c r="P147" s="644"/>
      <c r="Q147" s="645"/>
      <c r="R147" s="296"/>
    </row>
    <row r="148" spans="3:18" ht="15.75" thickBot="1" x14ac:dyDescent="0.3">
      <c r="C148">
        <f>output_LCA_GWP</f>
        <v>4592.797114950371</v>
      </c>
      <c r="D148" t="s">
        <v>2039</v>
      </c>
      <c r="M148" s="298"/>
      <c r="N148" s="299"/>
      <c r="O148" s="299"/>
      <c r="P148" s="299"/>
      <c r="Q148" s="299"/>
      <c r="R148" s="300"/>
    </row>
    <row r="149" spans="3:18" x14ac:dyDescent="0.25">
      <c r="C149" s="31">
        <v>1184776</v>
      </c>
      <c r="D149" t="s">
        <v>2038</v>
      </c>
      <c r="M149" s="282" t="s">
        <v>2533</v>
      </c>
      <c r="R149" t="s">
        <v>2486</v>
      </c>
    </row>
    <row r="150" spans="3:18" x14ac:dyDescent="0.25">
      <c r="C150">
        <f>C148*C149</f>
        <v>5441435794.6624403</v>
      </c>
      <c r="D150" t="s">
        <v>763</v>
      </c>
    </row>
    <row r="151" spans="3:18" x14ac:dyDescent="0.25">
      <c r="C151">
        <f>C150/tons_to_lbs</f>
        <v>2720717.8973312201</v>
      </c>
      <c r="D151" t="s">
        <v>2040</v>
      </c>
    </row>
    <row r="152" spans="3:18" x14ac:dyDescent="0.25">
      <c r="C152">
        <f>C151</f>
        <v>2720717.8973312201</v>
      </c>
      <c r="D152" t="s">
        <v>2041</v>
      </c>
    </row>
    <row r="153" spans="3:18" x14ac:dyDescent="0.25">
      <c r="C153">
        <f>C152/1000000</f>
        <v>2.72071789733122</v>
      </c>
      <c r="D153" t="s">
        <v>2042</v>
      </c>
    </row>
    <row r="155" spans="3:18" x14ac:dyDescent="0.25">
      <c r="C155">
        <f>0.08*127</f>
        <v>10.16</v>
      </c>
      <c r="D155" t="s">
        <v>2043</v>
      </c>
    </row>
    <row r="156" spans="3:18" x14ac:dyDescent="0.25">
      <c r="C156" s="10">
        <f>C153/127</f>
        <v>2.1422975569537164E-2</v>
      </c>
    </row>
    <row r="158" spans="3:18" x14ac:dyDescent="0.25">
      <c r="C158">
        <f>C153/C155</f>
        <v>0.26778719461921457</v>
      </c>
    </row>
    <row r="161" spans="2:27" x14ac:dyDescent="0.25">
      <c r="C161" t="s">
        <v>2044</v>
      </c>
      <c r="D161">
        <v>0.28999999999999998</v>
      </c>
    </row>
    <row r="162" spans="2:27" x14ac:dyDescent="0.25">
      <c r="C162" t="s">
        <v>1076</v>
      </c>
      <c r="D162">
        <v>0.22</v>
      </c>
    </row>
    <row r="163" spans="2:27" x14ac:dyDescent="0.25">
      <c r="C163" t="s">
        <v>2045</v>
      </c>
      <c r="D163">
        <v>0.2</v>
      </c>
    </row>
    <row r="164" spans="2:27" x14ac:dyDescent="0.25">
      <c r="C164" t="s">
        <v>2046</v>
      </c>
      <c r="D164">
        <v>0.01</v>
      </c>
    </row>
    <row r="165" spans="2:27" x14ac:dyDescent="0.25">
      <c r="C165" t="s">
        <v>2047</v>
      </c>
      <c r="D165">
        <v>0.03</v>
      </c>
    </row>
    <row r="166" spans="2:27" x14ac:dyDescent="0.25">
      <c r="C166" t="s">
        <v>1384</v>
      </c>
      <c r="D166">
        <v>0.03</v>
      </c>
    </row>
    <row r="167" spans="2:27" x14ac:dyDescent="0.25">
      <c r="C167" t="s">
        <v>1385</v>
      </c>
      <c r="D167">
        <v>0.08</v>
      </c>
    </row>
    <row r="168" spans="2:27" x14ac:dyDescent="0.25">
      <c r="C168" t="s">
        <v>2048</v>
      </c>
      <c r="D168">
        <v>0.12</v>
      </c>
    </row>
    <row r="169" spans="2:27" x14ac:dyDescent="0.25">
      <c r="C169" t="s">
        <v>2049</v>
      </c>
      <c r="D169">
        <f>C153/127</f>
        <v>2.1422975569537164E-2</v>
      </c>
    </row>
    <row r="174" spans="2:27" s="394" customFormat="1" x14ac:dyDescent="0.25">
      <c r="T174" s="629"/>
      <c r="U174" s="629"/>
      <c r="V174" s="629"/>
      <c r="W174" s="629"/>
      <c r="X174" s="629"/>
      <c r="Y174" s="629"/>
      <c r="Z174" s="629"/>
      <c r="AA174" s="629"/>
    </row>
    <row r="175" spans="2:27" ht="21.75" thickBot="1" x14ac:dyDescent="0.4">
      <c r="B175" s="567" t="s">
        <v>2268</v>
      </c>
    </row>
    <row r="176" spans="2:27" ht="15.75" thickBot="1" x14ac:dyDescent="0.3">
      <c r="C176" t="s">
        <v>2269</v>
      </c>
      <c r="J176" s="804" t="s">
        <v>2285</v>
      </c>
      <c r="K176" s="805"/>
      <c r="L176" s="805"/>
      <c r="M176" s="805"/>
      <c r="N176" s="805"/>
      <c r="O176" s="805"/>
      <c r="P176" s="805"/>
      <c r="Q176" s="806"/>
    </row>
    <row r="177" spans="1:39" x14ac:dyDescent="0.25">
      <c r="A177" s="69" t="s">
        <v>2280</v>
      </c>
      <c r="B177" s="69" t="s">
        <v>212</v>
      </c>
      <c r="C177" s="69" t="s">
        <v>2274</v>
      </c>
      <c r="D177" s="69" t="s">
        <v>2252</v>
      </c>
      <c r="E177" s="69" t="s">
        <v>2273</v>
      </c>
      <c r="F177" s="69" t="s">
        <v>2272</v>
      </c>
      <c r="J177" t="s">
        <v>2281</v>
      </c>
      <c r="K177" t="s">
        <v>2283</v>
      </c>
      <c r="L177" t="s">
        <v>2282</v>
      </c>
      <c r="M177" t="s">
        <v>2284</v>
      </c>
      <c r="N177" t="s">
        <v>625</v>
      </c>
      <c r="O177" t="s">
        <v>2491</v>
      </c>
      <c r="P177" t="s">
        <v>2489</v>
      </c>
      <c r="Q177" s="31" t="s">
        <v>2490</v>
      </c>
      <c r="S177" t="s">
        <v>1239</v>
      </c>
      <c r="T177" s="10" t="s">
        <v>2289</v>
      </c>
      <c r="AK177" s="31"/>
      <c r="AM177" s="31"/>
    </row>
    <row r="178" spans="1:39" x14ac:dyDescent="0.25">
      <c r="A178" s="69">
        <v>265</v>
      </c>
      <c r="B178" s="69" t="s">
        <v>2270</v>
      </c>
      <c r="C178" s="69" t="s">
        <v>2271</v>
      </c>
      <c r="D178" s="69" t="s">
        <v>2195</v>
      </c>
      <c r="E178" s="69">
        <v>722970</v>
      </c>
      <c r="F178" s="638">
        <f>J215</f>
        <v>2578.6895449775511</v>
      </c>
      <c r="H178" t="s">
        <v>964</v>
      </c>
      <c r="I178" s="211" t="s">
        <v>978</v>
      </c>
      <c r="J178" s="31">
        <v>231.05825463540901</v>
      </c>
      <c r="K178" s="31">
        <v>236.73683822736101</v>
      </c>
      <c r="L178" s="31">
        <v>205.744183339724</v>
      </c>
      <c r="M178" s="31">
        <v>46.428848158563902</v>
      </c>
      <c r="N178" s="31">
        <v>151.15464485804401</v>
      </c>
      <c r="O178" s="31">
        <v>201.81499980807999</v>
      </c>
      <c r="P178" s="31">
        <v>136.018404924142</v>
      </c>
      <c r="Q178" s="31">
        <v>30.727126404350301</v>
      </c>
      <c r="S178" t="s">
        <v>313</v>
      </c>
      <c r="T178" s="10">
        <f>3369+438+910+118+1+1212</f>
        <v>6048</v>
      </c>
      <c r="U178" s="10">
        <f>T178/SUM($T$178:$T$183)</f>
        <v>0.46912814148309029</v>
      </c>
      <c r="AH178" s="31"/>
      <c r="AK178" s="31"/>
      <c r="AM178" s="31"/>
    </row>
    <row r="179" spans="1:39" x14ac:dyDescent="0.25">
      <c r="A179" s="69">
        <v>750</v>
      </c>
      <c r="B179" s="69" t="s">
        <v>2276</v>
      </c>
      <c r="C179" s="69" t="s">
        <v>2275</v>
      </c>
      <c r="D179" s="69" t="s">
        <v>2209</v>
      </c>
      <c r="E179" s="69">
        <v>726060</v>
      </c>
      <c r="F179" s="638">
        <f>L215</f>
        <v>3603.9419166253479</v>
      </c>
      <c r="H179" t="s">
        <v>963</v>
      </c>
      <c r="I179" s="211" t="s">
        <v>979</v>
      </c>
      <c r="J179" s="31">
        <v>3.5710817819240801</v>
      </c>
      <c r="K179" s="31">
        <v>3.2786297868924201</v>
      </c>
      <c r="L179" s="31">
        <v>0.89420054772227597</v>
      </c>
      <c r="M179" s="31">
        <v>5.3160874695685898</v>
      </c>
      <c r="N179" s="31">
        <v>12.805891351178801</v>
      </c>
      <c r="O179" s="31">
        <v>4.26657011283611</v>
      </c>
      <c r="P179" s="31">
        <v>0</v>
      </c>
      <c r="Q179" s="31">
        <v>23.0162710323977</v>
      </c>
      <c r="S179" t="s">
        <v>2288</v>
      </c>
      <c r="T179" s="10">
        <f>222+145+145+1134</f>
        <v>1646</v>
      </c>
      <c r="U179" s="10">
        <f t="shared" ref="U179:U183" si="2">T179/SUM($T$178:$T$183)</f>
        <v>0.12767607818802357</v>
      </c>
      <c r="AH179" s="31"/>
      <c r="AK179" s="31"/>
      <c r="AM179" s="31"/>
    </row>
    <row r="180" spans="1:39" x14ac:dyDescent="0.25">
      <c r="A180" s="69">
        <v>876</v>
      </c>
      <c r="B180" s="69" t="s">
        <v>2276</v>
      </c>
      <c r="C180" s="69" t="s">
        <v>2275</v>
      </c>
      <c r="D180" s="69" t="s">
        <v>2227</v>
      </c>
      <c r="E180" s="69">
        <v>726986</v>
      </c>
      <c r="F180" s="638">
        <f>K215</f>
        <v>3118.3227080924676</v>
      </c>
      <c r="H180" t="s">
        <v>2310</v>
      </c>
      <c r="I180" s="211" t="s">
        <v>2304</v>
      </c>
      <c r="J180" s="31">
        <v>219.169563943035</v>
      </c>
      <c r="K180" s="31">
        <v>726.90230094781703</v>
      </c>
      <c r="L180" s="31">
        <v>1068.9730054245799</v>
      </c>
      <c r="M180" s="31">
        <v>44.509610272558497</v>
      </c>
      <c r="N180" s="31">
        <v>970.58721720450399</v>
      </c>
      <c r="O180" s="31">
        <v>938.59354196784</v>
      </c>
      <c r="P180" s="31">
        <v>2734.07707551873</v>
      </c>
      <c r="Q180" s="31">
        <v>2.0473457958785199</v>
      </c>
      <c r="S180" t="s">
        <v>518</v>
      </c>
      <c r="T180" s="10">
        <v>109</v>
      </c>
      <c r="U180" s="10">
        <f t="shared" si="2"/>
        <v>8.4548557244802976E-3</v>
      </c>
      <c r="AH180" s="31"/>
      <c r="AK180" s="31">
        <v>151.15464485804401</v>
      </c>
      <c r="AL180" s="31">
        <v>231.05825463540901</v>
      </c>
      <c r="AM180" s="31"/>
    </row>
    <row r="181" spans="1:39" x14ac:dyDescent="0.25">
      <c r="A181" s="69">
        <v>509</v>
      </c>
      <c r="B181" s="69" t="s">
        <v>2278</v>
      </c>
      <c r="C181" s="69" t="s">
        <v>2277</v>
      </c>
      <c r="D181" s="69" t="s">
        <v>2196</v>
      </c>
      <c r="E181" s="69">
        <v>724666</v>
      </c>
      <c r="F181" s="638">
        <f>N215</f>
        <v>4239.2093596354671</v>
      </c>
      <c r="H181" t="s">
        <v>2000</v>
      </c>
      <c r="I181" s="531" t="s">
        <v>2303</v>
      </c>
      <c r="J181" s="31">
        <v>81.345799448009799</v>
      </c>
      <c r="K181" s="31">
        <v>220.86875852735301</v>
      </c>
      <c r="L181" s="31">
        <v>423.557589954359</v>
      </c>
      <c r="M181" s="31">
        <v>19.636439985202401</v>
      </c>
      <c r="N181" s="31">
        <v>606.116387496828</v>
      </c>
      <c r="O181" s="31">
        <v>377.02251775498797</v>
      </c>
      <c r="P181" s="31">
        <v>832.32140050408896</v>
      </c>
      <c r="Q181" s="31">
        <v>0.70460406106738305</v>
      </c>
      <c r="S181" t="s">
        <v>2290</v>
      </c>
      <c r="T181" s="10">
        <v>2726</v>
      </c>
      <c r="U181" s="10">
        <f t="shared" si="2"/>
        <v>0.21144896059571827</v>
      </c>
      <c r="AH181" s="31"/>
      <c r="AK181" s="31">
        <v>12.805891351178801</v>
      </c>
      <c r="AL181" s="31">
        <v>3.5710817819240801</v>
      </c>
      <c r="AM181" s="31"/>
    </row>
    <row r="182" spans="1:39" x14ac:dyDescent="0.25">
      <c r="A182" s="69">
        <v>84</v>
      </c>
      <c r="B182" s="69" t="s">
        <v>2278</v>
      </c>
      <c r="C182" s="69" t="s">
        <v>2279</v>
      </c>
      <c r="D182" s="69" t="s">
        <v>2199</v>
      </c>
      <c r="E182" s="69">
        <v>722020</v>
      </c>
      <c r="F182" s="638">
        <f>M215</f>
        <v>4124.0696296054894</v>
      </c>
      <c r="H182" t="s">
        <v>2298</v>
      </c>
      <c r="I182" s="531" t="s">
        <v>1763</v>
      </c>
      <c r="J182" s="31">
        <v>2.9033218465228399</v>
      </c>
      <c r="K182" s="31">
        <v>0.58783860274767896</v>
      </c>
      <c r="L182" s="31">
        <v>0.313517370339993</v>
      </c>
      <c r="M182" s="31">
        <v>0.20622565441725399</v>
      </c>
      <c r="N182" s="31">
        <v>11.478940588362599</v>
      </c>
      <c r="O182" s="31">
        <v>0.16433915467903501</v>
      </c>
      <c r="P182" s="31">
        <v>0</v>
      </c>
      <c r="Q182" s="31">
        <v>0</v>
      </c>
      <c r="S182" t="s">
        <v>310</v>
      </c>
      <c r="T182" s="10">
        <f>89+7</f>
        <v>96</v>
      </c>
      <c r="U182" s="10">
        <f t="shared" si="2"/>
        <v>7.4464784362395283E-3</v>
      </c>
      <c r="AH182" s="31"/>
      <c r="AK182" s="31">
        <v>970.58721720450399</v>
      </c>
      <c r="AL182" s="31">
        <v>219.169563943035</v>
      </c>
      <c r="AM182" s="31"/>
    </row>
    <row r="183" spans="1:39" x14ac:dyDescent="0.25">
      <c r="A183" s="69">
        <v>6</v>
      </c>
      <c r="B183" s="69" t="s">
        <v>2278</v>
      </c>
      <c r="C183" s="69" t="s">
        <v>2492</v>
      </c>
      <c r="D183" s="69" t="s">
        <v>2192</v>
      </c>
      <c r="E183" s="69">
        <v>700260</v>
      </c>
      <c r="F183" s="638">
        <f>P215</f>
        <v>5395.6234778948974</v>
      </c>
      <c r="H183" t="s">
        <v>2311</v>
      </c>
      <c r="I183" s="531" t="s">
        <v>2305</v>
      </c>
      <c r="J183" s="31">
        <v>3.1703778303213799</v>
      </c>
      <c r="K183" s="31">
        <v>1.0288655995073399</v>
      </c>
      <c r="L183" s="31">
        <v>0.20408258913169999</v>
      </c>
      <c r="M183" s="31">
        <v>0.39788967079321402</v>
      </c>
      <c r="N183" s="31">
        <v>17.8804765050286</v>
      </c>
      <c r="O183" s="31">
        <v>0.10623267426862699</v>
      </c>
      <c r="P183" s="31">
        <v>0</v>
      </c>
      <c r="Q183" s="31">
        <v>0</v>
      </c>
      <c r="S183" t="s">
        <v>2287</v>
      </c>
      <c r="T183" s="10">
        <v>2267</v>
      </c>
      <c r="U183" s="10">
        <f t="shared" si="2"/>
        <v>0.17584548557244803</v>
      </c>
      <c r="AH183" s="31"/>
      <c r="AK183" s="31">
        <v>606.116387496828</v>
      </c>
      <c r="AL183" s="31">
        <v>81.345799448009799</v>
      </c>
      <c r="AM183" s="31"/>
    </row>
    <row r="184" spans="1:39" x14ac:dyDescent="0.25">
      <c r="A184" s="69">
        <v>1003</v>
      </c>
      <c r="B184" s="69" t="s">
        <v>2278</v>
      </c>
      <c r="C184" s="69" t="s">
        <v>2493</v>
      </c>
      <c r="D184" s="69" t="s">
        <v>2201</v>
      </c>
      <c r="E184" s="69">
        <v>911760</v>
      </c>
      <c r="F184" s="638">
        <f>Q215</f>
        <v>5480.2204379093791</v>
      </c>
      <c r="H184" t="s">
        <v>2312</v>
      </c>
      <c r="I184" s="211" t="s">
        <v>2306</v>
      </c>
      <c r="J184" s="31">
        <v>3.5192758992395299</v>
      </c>
      <c r="K184" s="31">
        <v>3.0975796861576801</v>
      </c>
      <c r="L184" s="31">
        <v>0.42672245630739403</v>
      </c>
      <c r="M184" s="31">
        <v>0.97542232404183704</v>
      </c>
      <c r="N184" s="31">
        <v>60.646529086778003</v>
      </c>
      <c r="O184" s="31">
        <v>0.58814332375510903</v>
      </c>
      <c r="P184" s="31">
        <v>0</v>
      </c>
      <c r="Q184" s="31">
        <v>0</v>
      </c>
      <c r="AH184" s="31"/>
      <c r="AK184" s="31">
        <v>11.478940588362599</v>
      </c>
      <c r="AL184" s="31">
        <v>2.9033218465228399</v>
      </c>
      <c r="AM184" s="31"/>
    </row>
    <row r="185" spans="1:39" x14ac:dyDescent="0.25">
      <c r="A185" s="69">
        <v>631</v>
      </c>
      <c r="B185" s="69" t="s">
        <v>2278</v>
      </c>
      <c r="C185" s="69" t="s">
        <v>2494</v>
      </c>
      <c r="D185" s="69" t="s">
        <v>2212</v>
      </c>
      <c r="E185" s="69">
        <v>725370</v>
      </c>
      <c r="F185" s="638">
        <f>O215</f>
        <v>4406.7828423135843</v>
      </c>
      <c r="H185" t="s">
        <v>2313</v>
      </c>
      <c r="I185" s="531" t="s">
        <v>1761</v>
      </c>
      <c r="J185" s="31">
        <v>123.957910647479</v>
      </c>
      <c r="K185" s="31">
        <v>52.617543915440102</v>
      </c>
      <c r="L185" s="31">
        <v>80.487357604437307</v>
      </c>
      <c r="M185" s="31">
        <v>1217.3199153237299</v>
      </c>
      <c r="N185" s="31">
        <v>31.094890675830801</v>
      </c>
      <c r="O185" s="31">
        <v>318.96568964147798</v>
      </c>
      <c r="P185" s="31">
        <v>0.221894248596988</v>
      </c>
      <c r="Q185" s="31">
        <v>1952.5396516687599</v>
      </c>
      <c r="AH185" s="31"/>
      <c r="AK185" s="31">
        <v>17.8804765050286</v>
      </c>
      <c r="AL185" s="31">
        <v>3.1703778303213799</v>
      </c>
      <c r="AM185" s="31"/>
    </row>
    <row r="186" spans="1:39" x14ac:dyDescent="0.25">
      <c r="H186" t="s">
        <v>2309</v>
      </c>
      <c r="I186" s="531" t="s">
        <v>1762</v>
      </c>
      <c r="J186" s="31">
        <v>240.691013912844</v>
      </c>
      <c r="K186" s="31">
        <v>78.082155676967204</v>
      </c>
      <c r="L186" s="31">
        <v>129.18371986559899</v>
      </c>
      <c r="M186" s="31">
        <v>735.33121511597597</v>
      </c>
      <c r="N186" s="31">
        <v>24.435379809594</v>
      </c>
      <c r="O186" s="31">
        <v>178.88341886322399</v>
      </c>
      <c r="P186" s="288">
        <v>0.73914477448873805</v>
      </c>
      <c r="Q186" s="31">
        <v>759.625094587641</v>
      </c>
      <c r="AH186" s="31"/>
      <c r="AK186" s="31">
        <v>60.646529086778003</v>
      </c>
      <c r="AL186" s="31">
        <v>3.5192758992395299</v>
      </c>
      <c r="AM186" s="31"/>
    </row>
    <row r="187" spans="1:39" x14ac:dyDescent="0.25">
      <c r="I187" t="s">
        <v>552</v>
      </c>
      <c r="J187" s="31">
        <v>325.55287244178601</v>
      </c>
      <c r="K187" s="31">
        <v>420.00110825803199</v>
      </c>
      <c r="L187" s="31">
        <v>344.68575910549902</v>
      </c>
      <c r="M187" s="31">
        <v>611.63356475767398</v>
      </c>
      <c r="N187" s="31">
        <v>836.88042477533702</v>
      </c>
      <c r="O187" s="31">
        <v>863.20077686081504</v>
      </c>
      <c r="P187" s="31">
        <v>345.16941147492503</v>
      </c>
      <c r="Q187" s="31">
        <v>1102.3341023242001</v>
      </c>
      <c r="AH187" s="31"/>
      <c r="AK187" s="31">
        <v>31.094890675830801</v>
      </c>
      <c r="AL187" s="31">
        <v>123.957910647479</v>
      </c>
      <c r="AM187" s="31"/>
    </row>
    <row r="188" spans="1:39" x14ac:dyDescent="0.25">
      <c r="C188" s="211" t="s">
        <v>963</v>
      </c>
      <c r="D188" s="211" t="s">
        <v>2292</v>
      </c>
      <c r="E188" s="335" t="s">
        <v>2301</v>
      </c>
      <c r="F188" s="31">
        <v>46.428848158563902</v>
      </c>
      <c r="G188" s="31"/>
      <c r="I188" t="s">
        <v>998</v>
      </c>
      <c r="J188" s="31">
        <v>1.8738491283660299</v>
      </c>
      <c r="K188" s="31">
        <v>1.8738491283660299</v>
      </c>
      <c r="L188" s="31">
        <v>1.8738491283660299</v>
      </c>
      <c r="M188" s="31">
        <v>1.8738491283660299</v>
      </c>
      <c r="N188" s="31">
        <v>1.8738491283660299</v>
      </c>
      <c r="O188" s="31">
        <v>1.8738491283660299</v>
      </c>
      <c r="P188" s="31">
        <v>1.8738491283660299</v>
      </c>
      <c r="Q188" s="31">
        <v>1.8738491283660299</v>
      </c>
      <c r="S188" s="31"/>
      <c r="AH188" s="31"/>
      <c r="AK188" s="31">
        <v>24.435379809594</v>
      </c>
      <c r="AL188" s="31">
        <v>240.691013912844</v>
      </c>
      <c r="AM188" s="31"/>
    </row>
    <row r="189" spans="1:39" x14ac:dyDescent="0.25">
      <c r="C189" s="211" t="s">
        <v>964</v>
      </c>
      <c r="D189" s="211" t="s">
        <v>2293</v>
      </c>
      <c r="E189" s="157" t="s">
        <v>2302</v>
      </c>
      <c r="F189" s="31">
        <v>5.4897984562921902</v>
      </c>
      <c r="G189" s="31"/>
      <c r="H189" s="31"/>
      <c r="I189" t="s">
        <v>1286</v>
      </c>
      <c r="J189" s="31">
        <v>0.59199069899421897</v>
      </c>
      <c r="K189" s="31">
        <v>0.76373692479238997</v>
      </c>
      <c r="L189" s="31">
        <v>0.62678225486308603</v>
      </c>
      <c r="M189" s="31">
        <v>1.1122045362814801</v>
      </c>
      <c r="N189" s="31">
        <v>1.5217971321261199</v>
      </c>
      <c r="O189" s="31">
        <v>1.5696584933605899</v>
      </c>
      <c r="P189" s="31">
        <v>0.627661736288327</v>
      </c>
      <c r="Q189" s="31">
        <v>2.0045024664211999</v>
      </c>
      <c r="S189" s="31"/>
      <c r="AH189" s="31"/>
      <c r="AK189" s="31">
        <v>836.88042477533702</v>
      </c>
      <c r="AL189" s="31">
        <v>325.55287244178601</v>
      </c>
      <c r="AM189" s="31"/>
    </row>
    <row r="190" spans="1:39" x14ac:dyDescent="0.25">
      <c r="C190" s="211" t="s">
        <v>2294</v>
      </c>
      <c r="D190" s="211" t="s">
        <v>2293</v>
      </c>
      <c r="E190" s="157" t="s">
        <v>2302</v>
      </c>
      <c r="F190" s="31">
        <v>44.509610272558497</v>
      </c>
      <c r="G190" s="31"/>
      <c r="H190" s="31"/>
      <c r="I190" t="s">
        <v>1282</v>
      </c>
      <c r="J190" s="31">
        <v>0.78433677810459601</v>
      </c>
      <c r="K190" s="31">
        <v>1.01188576092312</v>
      </c>
      <c r="L190" s="31">
        <v>0.83043259832912897</v>
      </c>
      <c r="M190" s="31">
        <v>1.47357538566472</v>
      </c>
      <c r="N190" s="31">
        <v>2.0162503592852401</v>
      </c>
      <c r="O190" s="31">
        <v>2.07966254790598</v>
      </c>
      <c r="P190" s="31">
        <v>0.83159783560168898</v>
      </c>
      <c r="Q190" s="31">
        <v>2.6557934252795898</v>
      </c>
      <c r="AH190" s="31"/>
      <c r="AK190" s="31">
        <v>1.8738491283660299</v>
      </c>
      <c r="AL190" s="31">
        <v>1.8738491283660299</v>
      </c>
      <c r="AM190" s="31"/>
    </row>
    <row r="191" spans="1:39" x14ac:dyDescent="0.25">
      <c r="C191" s="531" t="s">
        <v>2000</v>
      </c>
      <c r="D191" s="531" t="s">
        <v>2295</v>
      </c>
      <c r="E191" s="157" t="s">
        <v>2302</v>
      </c>
      <c r="F191" s="31">
        <v>19.636439985202401</v>
      </c>
      <c r="G191" s="31"/>
      <c r="H191" s="31"/>
      <c r="I191" t="s">
        <v>721</v>
      </c>
      <c r="J191" s="31">
        <v>573.977991751486</v>
      </c>
      <c r="K191" s="31">
        <v>573.977991751486</v>
      </c>
      <c r="L191" s="31">
        <v>573.977991751486</v>
      </c>
      <c r="M191" s="31">
        <v>573.977991751486</v>
      </c>
      <c r="N191" s="31">
        <v>573.977991751486</v>
      </c>
      <c r="O191" s="31">
        <v>573.977991751486</v>
      </c>
      <c r="P191" s="31">
        <v>573.977991751486</v>
      </c>
      <c r="Q191" s="31">
        <v>573.977991751486</v>
      </c>
      <c r="AH191" s="31"/>
      <c r="AK191" s="31">
        <v>1.5217971321261199</v>
      </c>
      <c r="AL191" s="31">
        <v>0.59199069899421897</v>
      </c>
      <c r="AM191" s="31"/>
    </row>
    <row r="192" spans="1:39" x14ac:dyDescent="0.25">
      <c r="C192" s="531" t="s">
        <v>2296</v>
      </c>
      <c r="D192" s="531" t="s">
        <v>2295</v>
      </c>
      <c r="E192" s="335" t="s">
        <v>2301</v>
      </c>
      <c r="F192" s="31">
        <v>0.20622565441725399</v>
      </c>
      <c r="G192" s="31"/>
      <c r="H192" s="31"/>
      <c r="I192" t="s">
        <v>1862</v>
      </c>
      <c r="J192" s="31">
        <v>2.0966714736283101</v>
      </c>
      <c r="K192" s="31">
        <v>2.0966714736283101</v>
      </c>
      <c r="L192" s="31">
        <v>2.0966714736283101</v>
      </c>
      <c r="M192" s="31">
        <v>2.0966714736283101</v>
      </c>
      <c r="N192" s="31">
        <v>2.0966714736283101</v>
      </c>
      <c r="O192" s="31">
        <v>2.0966714736283101</v>
      </c>
      <c r="P192" s="31">
        <v>2.0966714736283101</v>
      </c>
      <c r="Q192" s="31">
        <v>2.0966714736283101</v>
      </c>
      <c r="AH192" s="31"/>
      <c r="AK192" s="31">
        <v>2.0162503592852401</v>
      </c>
      <c r="AL192" s="31">
        <v>0.78433677810459601</v>
      </c>
      <c r="AM192" s="31"/>
    </row>
    <row r="193" spans="3:39" x14ac:dyDescent="0.25">
      <c r="C193" s="211" t="s">
        <v>2297</v>
      </c>
      <c r="D193" s="211" t="s">
        <v>2293</v>
      </c>
      <c r="E193" s="157" t="s">
        <v>2302</v>
      </c>
      <c r="F193" s="31">
        <v>0.39788967079321402</v>
      </c>
      <c r="G193" s="31"/>
      <c r="H193" s="31"/>
      <c r="I193" t="s">
        <v>1863</v>
      </c>
      <c r="J193" s="31">
        <v>1.0265977798802099</v>
      </c>
      <c r="K193" s="31">
        <v>1.0265977798802099</v>
      </c>
      <c r="L193" s="31">
        <v>1.0265977798802099</v>
      </c>
      <c r="M193" s="31">
        <v>1.0265977798802099</v>
      </c>
      <c r="N193" s="31">
        <v>1.0265977798802099</v>
      </c>
      <c r="O193" s="31">
        <v>1.0265977798802099</v>
      </c>
      <c r="P193" s="31">
        <v>1.0265977798802099</v>
      </c>
      <c r="Q193" s="31">
        <v>1.0265977798802099</v>
      </c>
      <c r="AH193" s="31"/>
      <c r="AK193" s="31">
        <v>573.977991751486</v>
      </c>
      <c r="AL193" s="31">
        <v>573.977991751486</v>
      </c>
      <c r="AM193" s="31"/>
    </row>
    <row r="194" spans="3:39" x14ac:dyDescent="0.25">
      <c r="C194" s="531" t="s">
        <v>2298</v>
      </c>
      <c r="D194" s="531" t="s">
        <v>2295</v>
      </c>
      <c r="E194" s="157" t="s">
        <v>2302</v>
      </c>
      <c r="F194" s="31">
        <v>1.0072956849207699</v>
      </c>
      <c r="G194" s="31"/>
      <c r="H194" s="31"/>
      <c r="I194" t="s">
        <v>1864</v>
      </c>
      <c r="J194" s="31">
        <v>0.188953706904364</v>
      </c>
      <c r="K194" s="31">
        <v>0.188953706904364</v>
      </c>
      <c r="L194" s="31">
        <v>0.188953706904364</v>
      </c>
      <c r="M194" s="31">
        <v>0.188953706904364</v>
      </c>
      <c r="N194" s="31">
        <v>0.188953706904364</v>
      </c>
      <c r="O194" s="31">
        <v>0.188953706904364</v>
      </c>
      <c r="P194" s="31">
        <v>0.188953706904364</v>
      </c>
      <c r="Q194" s="31">
        <v>0.188953706904364</v>
      </c>
      <c r="AH194" s="31"/>
      <c r="AK194" s="31">
        <v>2.0966714736283101</v>
      </c>
      <c r="AL194" s="31">
        <v>2.0966714736283101</v>
      </c>
      <c r="AM194" s="31"/>
    </row>
    <row r="195" spans="3:39" x14ac:dyDescent="0.25">
      <c r="C195" s="531" t="s">
        <v>2299</v>
      </c>
      <c r="D195" s="531" t="s">
        <v>2295</v>
      </c>
      <c r="E195" s="157" t="s">
        <v>2302</v>
      </c>
      <c r="F195" s="31">
        <v>1257.0976362246199</v>
      </c>
      <c r="G195" s="31"/>
      <c r="H195" s="31"/>
      <c r="I195" t="s">
        <v>616</v>
      </c>
      <c r="J195" s="31">
        <v>3.8982274507707499</v>
      </c>
      <c r="K195" s="31">
        <v>3.8982274507707499</v>
      </c>
      <c r="L195" s="31">
        <v>3.8982274507707499</v>
      </c>
      <c r="M195" s="31">
        <v>3.8982274507707499</v>
      </c>
      <c r="N195" s="31">
        <v>3.8982274507707499</v>
      </c>
      <c r="O195" s="31">
        <v>3.8982274507707499</v>
      </c>
      <c r="P195" s="31">
        <v>3.8982274507707499</v>
      </c>
      <c r="Q195" s="31">
        <v>3.8982274507707499</v>
      </c>
      <c r="AH195" s="31"/>
      <c r="AK195" s="31">
        <v>1.0265977798802099</v>
      </c>
      <c r="AL195" s="31">
        <v>1.0265977798802099</v>
      </c>
      <c r="AM195" s="31"/>
    </row>
    <row r="196" spans="3:39" x14ac:dyDescent="0.25">
      <c r="C196" s="211" t="s">
        <v>2300</v>
      </c>
      <c r="D196" s="211" t="s">
        <v>2292</v>
      </c>
      <c r="E196" s="335" t="s">
        <v>2301</v>
      </c>
      <c r="F196" s="31">
        <v>735.33121511597597</v>
      </c>
      <c r="G196" s="31"/>
      <c r="H196" s="31"/>
      <c r="I196" t="s">
        <v>1210</v>
      </c>
      <c r="J196" s="31">
        <v>133.33488267000399</v>
      </c>
      <c r="K196" s="31">
        <v>133.33488267000399</v>
      </c>
      <c r="L196" s="31">
        <v>133.33488267000399</v>
      </c>
      <c r="M196" s="31">
        <v>133.33488267000399</v>
      </c>
      <c r="N196" s="31">
        <v>133.33488267000399</v>
      </c>
      <c r="O196" s="31">
        <v>133.33488267000399</v>
      </c>
      <c r="P196" s="31">
        <v>133.33488267000399</v>
      </c>
      <c r="Q196" s="31">
        <v>133.33488267000399</v>
      </c>
      <c r="AH196" s="31"/>
      <c r="AK196" s="31">
        <v>0.188953706904364</v>
      </c>
      <c r="AL196" s="31">
        <v>0.188953706904364</v>
      </c>
      <c r="AM196" s="31"/>
    </row>
    <row r="197" spans="3:39" x14ac:dyDescent="0.25">
      <c r="F197" s="31">
        <v>631.61959219900905</v>
      </c>
      <c r="G197" s="31"/>
      <c r="H197" s="31"/>
      <c r="I197" t="s">
        <v>2177</v>
      </c>
      <c r="J197" s="31">
        <v>7.5105598976807801</v>
      </c>
      <c r="K197" s="31">
        <v>7.5105598976807801</v>
      </c>
      <c r="L197" s="31">
        <v>7.5105598976807801</v>
      </c>
      <c r="M197" s="31">
        <v>7.5105598976807801</v>
      </c>
      <c r="N197" s="31">
        <v>7.5105598976807801</v>
      </c>
      <c r="O197" s="31">
        <v>7.5105598976807801</v>
      </c>
      <c r="P197" s="31">
        <v>7.5105598976807801</v>
      </c>
      <c r="Q197" s="31">
        <v>7.5105598976807801</v>
      </c>
      <c r="AH197" s="31"/>
      <c r="AK197" s="31">
        <v>3.8982274507707499</v>
      </c>
      <c r="AL197" s="31">
        <v>3.8982274507707499</v>
      </c>
      <c r="AM197" s="31"/>
    </row>
    <row r="198" spans="3:39" x14ac:dyDescent="0.25">
      <c r="F198" s="31">
        <v>1.8738491283660299</v>
      </c>
      <c r="G198" s="31"/>
      <c r="H198" s="31"/>
      <c r="I198" t="s">
        <v>2314</v>
      </c>
      <c r="J198" s="31">
        <v>5.0225807477281899E-2</v>
      </c>
      <c r="K198" s="31">
        <v>5.0225807477281899E-2</v>
      </c>
      <c r="L198" s="31">
        <v>5.0225807477281899E-2</v>
      </c>
      <c r="M198" s="31">
        <v>5.0225807477281899E-2</v>
      </c>
      <c r="N198" s="31">
        <v>5.0225807477281899E-2</v>
      </c>
      <c r="O198" s="31">
        <v>5.0225807477281899E-2</v>
      </c>
      <c r="P198" s="31">
        <v>5.0225807477281899E-2</v>
      </c>
      <c r="Q198" s="31">
        <v>5.0225807477281899E-2</v>
      </c>
      <c r="AH198" s="31"/>
      <c r="AK198" s="31">
        <v>133.33488267000399</v>
      </c>
      <c r="AL198" s="31">
        <v>133.33488267000399</v>
      </c>
      <c r="AM198" s="31"/>
    </row>
    <row r="199" spans="3:39" x14ac:dyDescent="0.25">
      <c r="C199" t="s">
        <v>801</v>
      </c>
      <c r="D199" t="s">
        <v>2291</v>
      </c>
      <c r="F199" s="31">
        <v>1.1485474573755901</v>
      </c>
      <c r="G199" s="31"/>
      <c r="H199" s="31"/>
      <c r="I199" t="s">
        <v>2178</v>
      </c>
      <c r="J199" s="31">
        <v>1.21433638282359</v>
      </c>
      <c r="K199" s="31">
        <v>1.21433638282359</v>
      </c>
      <c r="L199" s="31">
        <v>1.21433638282359</v>
      </c>
      <c r="M199" s="31">
        <v>1.21433638282359</v>
      </c>
      <c r="N199" s="31">
        <v>1.21433638282359</v>
      </c>
      <c r="O199" s="31">
        <v>1.21433638282359</v>
      </c>
      <c r="P199" s="31">
        <v>1.21433638282359</v>
      </c>
      <c r="Q199" s="31">
        <v>1.21433638282359</v>
      </c>
      <c r="AH199" s="31"/>
      <c r="AK199" s="31">
        <v>7.5105598976807801</v>
      </c>
      <c r="AL199" s="31">
        <v>7.5105598976807801</v>
      </c>
      <c r="AM199" s="31"/>
    </row>
    <row r="200" spans="3:39" x14ac:dyDescent="0.25">
      <c r="C200" s="240">
        <v>65533000</v>
      </c>
      <c r="D200" s="240">
        <v>19750000</v>
      </c>
      <c r="E200" t="s">
        <v>943</v>
      </c>
      <c r="F200" s="31">
        <v>1.52172663142972</v>
      </c>
      <c r="G200" s="31"/>
      <c r="H200" s="31"/>
      <c r="I200" t="s">
        <v>999</v>
      </c>
      <c r="J200" s="31">
        <v>7.3918207234744404</v>
      </c>
      <c r="K200" s="31">
        <v>7.3918207234744404</v>
      </c>
      <c r="L200" s="31">
        <v>7.3918207234744404</v>
      </c>
      <c r="M200" s="31">
        <v>7.3918207234744404</v>
      </c>
      <c r="N200" s="31">
        <v>7.3918207234744404</v>
      </c>
      <c r="O200" s="31">
        <v>7.3918207234744404</v>
      </c>
      <c r="P200" s="31">
        <v>7.3918207234744404</v>
      </c>
      <c r="Q200" s="31">
        <v>7.3918207234744404</v>
      </c>
      <c r="AH200" s="31"/>
      <c r="AK200" s="31">
        <v>5.0225807477281899E-2</v>
      </c>
      <c r="AL200" s="31">
        <v>5.0225807477281899E-2</v>
      </c>
      <c r="AM200" s="31"/>
    </row>
    <row r="201" spans="3:39" x14ac:dyDescent="0.25">
      <c r="C201" s="240">
        <v>524000000</v>
      </c>
      <c r="D201" s="240">
        <v>175000000</v>
      </c>
      <c r="E201" t="s">
        <v>944</v>
      </c>
      <c r="F201" s="31">
        <v>730.25861232998102</v>
      </c>
      <c r="G201" s="31"/>
      <c r="H201" s="31"/>
      <c r="I201" t="s">
        <v>1077</v>
      </c>
      <c r="J201" s="31">
        <v>26.6840054499568</v>
      </c>
      <c r="K201" s="31">
        <v>34.425473741593997</v>
      </c>
      <c r="L201" s="31">
        <v>28.252236281952399</v>
      </c>
      <c r="M201" s="31">
        <v>50.132665864555399</v>
      </c>
      <c r="N201" s="31">
        <v>68.595069206954804</v>
      </c>
      <c r="O201" s="31">
        <v>70.7524220609655</v>
      </c>
      <c r="P201" s="31">
        <v>28.2918789438795</v>
      </c>
      <c r="Q201" s="31">
        <v>90.353032284646403</v>
      </c>
      <c r="AH201" s="31"/>
      <c r="AK201" s="31">
        <v>1.21433638282359</v>
      </c>
      <c r="AL201" s="31">
        <v>1.21433638282359</v>
      </c>
      <c r="AM201" s="31"/>
    </row>
    <row r="202" spans="3:39" x14ac:dyDescent="0.25">
      <c r="F202" s="31">
        <v>2.0966714736283101</v>
      </c>
      <c r="G202" s="31"/>
      <c r="H202" s="31"/>
      <c r="I202" t="s">
        <v>2095</v>
      </c>
      <c r="J202" s="31">
        <v>26.6840054499568</v>
      </c>
      <c r="K202" s="31">
        <v>34.425473741593997</v>
      </c>
      <c r="L202" s="31">
        <v>28.252236281952399</v>
      </c>
      <c r="M202" s="31">
        <v>50.132665864555399</v>
      </c>
      <c r="N202" s="31">
        <v>68.595069206954804</v>
      </c>
      <c r="O202" s="31">
        <v>70.7524220609655</v>
      </c>
      <c r="P202" s="31">
        <v>28.2918789438795</v>
      </c>
      <c r="Q202" s="31">
        <v>90.353032284646403</v>
      </c>
      <c r="AH202" s="31"/>
      <c r="AK202" s="31">
        <v>7.3918207234744404</v>
      </c>
      <c r="AL202" s="31">
        <v>7.3918207234744404</v>
      </c>
      <c r="AM202" s="31"/>
    </row>
    <row r="203" spans="3:39" x14ac:dyDescent="0.25">
      <c r="F203" s="31">
        <v>1.0265977798802099</v>
      </c>
      <c r="G203" s="31"/>
      <c r="H203" s="31"/>
      <c r="I203" t="s">
        <v>1078</v>
      </c>
      <c r="J203" s="31">
        <v>33.249454818609401</v>
      </c>
      <c r="K203" s="31">
        <v>42.895667815950297</v>
      </c>
      <c r="L203" s="31">
        <v>35.203540021124198</v>
      </c>
      <c r="M203" s="31">
        <v>62.467526163793103</v>
      </c>
      <c r="N203" s="31">
        <v>85.472499945832496</v>
      </c>
      <c r="O203" s="31">
        <v>88.160657328417102</v>
      </c>
      <c r="P203" s="31">
        <v>35.252936536917503</v>
      </c>
      <c r="Q203" s="31">
        <v>112.583887389274</v>
      </c>
      <c r="AH203" s="31"/>
      <c r="AK203" s="31">
        <v>68.595069206954804</v>
      </c>
      <c r="AL203" s="31">
        <v>26.6840054499568</v>
      </c>
      <c r="AM203" s="31"/>
    </row>
    <row r="204" spans="3:39" x14ac:dyDescent="0.25">
      <c r="F204" s="31">
        <v>0.188953706904364</v>
      </c>
      <c r="G204" s="31"/>
      <c r="H204" s="31"/>
      <c r="I204" t="s">
        <v>2643</v>
      </c>
      <c r="J204" s="31">
        <v>1.3033532362270901</v>
      </c>
      <c r="K204" s="31">
        <v>1.3033532362270901</v>
      </c>
      <c r="L204" s="31">
        <v>1.3033532362270901</v>
      </c>
      <c r="M204" s="31">
        <v>1.3033532362270901</v>
      </c>
      <c r="N204" s="31">
        <v>1.3033532362270901</v>
      </c>
      <c r="O204" s="31">
        <v>1.3033532362270901</v>
      </c>
      <c r="P204" s="31">
        <v>1.3033532362270901</v>
      </c>
      <c r="Q204" s="31">
        <v>1.3033532362270901</v>
      </c>
      <c r="AH204" s="31"/>
      <c r="AK204" s="31">
        <v>68.595069206954804</v>
      </c>
      <c r="AL204" s="31">
        <v>26.6840054499568</v>
      </c>
      <c r="AM204" s="31"/>
    </row>
    <row r="205" spans="3:39" x14ac:dyDescent="0.25">
      <c r="F205" s="31">
        <v>3.8982274507707499</v>
      </c>
      <c r="G205" s="31"/>
      <c r="H205" s="31"/>
      <c r="I205" t="s">
        <v>2644</v>
      </c>
      <c r="J205" s="31">
        <v>441.680817194859</v>
      </c>
      <c r="K205" s="31">
        <v>441.680817194859</v>
      </c>
      <c r="L205" s="31">
        <v>441.680817194859</v>
      </c>
      <c r="M205" s="31">
        <v>441.680817194859</v>
      </c>
      <c r="N205" s="31">
        <v>441.680817194859</v>
      </c>
      <c r="O205" s="31">
        <v>441.680817194859</v>
      </c>
      <c r="P205" s="31">
        <v>441.680817194859</v>
      </c>
      <c r="Q205" s="31">
        <v>441.680817194859</v>
      </c>
      <c r="AH205" s="31"/>
      <c r="AK205" s="31">
        <v>85.472499945832496</v>
      </c>
      <c r="AL205" s="31">
        <v>33.249454818609401</v>
      </c>
      <c r="AM205" s="31"/>
    </row>
    <row r="206" spans="3:39" x14ac:dyDescent="0.25">
      <c r="F206" s="31">
        <v>133.33488267000399</v>
      </c>
      <c r="G206" s="31"/>
      <c r="H206" s="31"/>
      <c r="I206" t="s">
        <v>2645</v>
      </c>
      <c r="J206" s="31">
        <v>18.181297848809098</v>
      </c>
      <c r="K206" s="31">
        <v>18.181297848809098</v>
      </c>
      <c r="L206" s="31">
        <v>18.181297848809098</v>
      </c>
      <c r="M206" s="31">
        <v>18.181297848809098</v>
      </c>
      <c r="N206" s="31">
        <v>18.181297848809098</v>
      </c>
      <c r="O206" s="31">
        <v>18.181297848809098</v>
      </c>
      <c r="P206" s="31">
        <v>18.181297848809098</v>
      </c>
      <c r="Q206" s="31">
        <v>18.181297848809098</v>
      </c>
      <c r="AH206" s="31"/>
      <c r="AK206" s="31">
        <v>1.3033532362270901</v>
      </c>
      <c r="AL206" s="31">
        <v>1.3033532362270901</v>
      </c>
      <c r="AM206" s="31"/>
    </row>
    <row r="207" spans="3:39" x14ac:dyDescent="0.25">
      <c r="C207" s="688"/>
      <c r="F207" s="31">
        <v>1.21403570948813</v>
      </c>
      <c r="G207" s="31"/>
      <c r="H207" s="31"/>
      <c r="I207" t="s">
        <v>2030</v>
      </c>
      <c r="J207" s="31">
        <v>20.951949677809001</v>
      </c>
      <c r="K207" s="31">
        <v>25.1382731918434</v>
      </c>
      <c r="L207" s="31">
        <v>18.906872263841102</v>
      </c>
      <c r="M207" s="31">
        <v>42.313431786645801</v>
      </c>
      <c r="N207" s="31">
        <v>48.363117509482301</v>
      </c>
      <c r="O207" s="31">
        <v>49.2476672055123</v>
      </c>
      <c r="P207" s="31">
        <v>8.6663801459382093</v>
      </c>
      <c r="Q207" s="31">
        <v>76.650317153199097</v>
      </c>
      <c r="AK207" s="31">
        <v>441.680817194859</v>
      </c>
      <c r="AL207" s="31">
        <v>441.680817194859</v>
      </c>
      <c r="AM207" s="31"/>
    </row>
    <row r="208" spans="3:39" s="31" customFormat="1" x14ac:dyDescent="0.25">
      <c r="I208" s="31" t="s">
        <v>2031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T208" s="10"/>
      <c r="U208" s="10"/>
      <c r="V208" s="10"/>
      <c r="W208" s="10"/>
      <c r="X208" s="10"/>
      <c r="Y208" s="10"/>
      <c r="Z208" s="10"/>
      <c r="AA208" s="10"/>
      <c r="AK208" s="31">
        <v>18.181297848809098</v>
      </c>
      <c r="AL208" s="31">
        <v>18.181297848809098</v>
      </c>
    </row>
    <row r="209" spans="3:40" s="31" customFormat="1" x14ac:dyDescent="0.25">
      <c r="C209" s="688"/>
      <c r="I209" s="31" t="s">
        <v>2098</v>
      </c>
      <c r="J209" s="31">
        <v>0.17938229741469799</v>
      </c>
      <c r="K209" s="31">
        <v>1.8356302673606799</v>
      </c>
      <c r="L209" s="31">
        <v>2.7747312454510902</v>
      </c>
      <c r="M209" s="31">
        <v>5.7393851332622502E-2</v>
      </c>
      <c r="N209" s="31">
        <v>6.9398265032106403</v>
      </c>
      <c r="O209" s="31">
        <v>5.9891750343573698</v>
      </c>
      <c r="P209" s="31">
        <v>10.4888648872868</v>
      </c>
      <c r="Q209" s="31">
        <v>7.2961148175897995E-4</v>
      </c>
      <c r="T209" s="10"/>
      <c r="U209" s="10"/>
      <c r="V209" s="10"/>
      <c r="W209" s="10"/>
      <c r="X209" s="10"/>
      <c r="Y209" s="10"/>
      <c r="Z209" s="10"/>
      <c r="AA209" s="10"/>
      <c r="AK209" s="31">
        <v>48.363117509482301</v>
      </c>
      <c r="AL209" s="31">
        <v>20.951949677809001</v>
      </c>
    </row>
    <row r="210" spans="3:40" s="31" customFormat="1" x14ac:dyDescent="0.25">
      <c r="I210" s="31" t="s">
        <v>2604</v>
      </c>
      <c r="J210" s="31">
        <v>111.10614717449999</v>
      </c>
      <c r="K210" s="31">
        <v>111.10614717449999</v>
      </c>
      <c r="L210" s="31">
        <v>111.10614717449999</v>
      </c>
      <c r="M210" s="31">
        <v>111.10614717449999</v>
      </c>
      <c r="N210" s="31">
        <v>111.10614717449999</v>
      </c>
      <c r="O210" s="31">
        <v>111.10614717449999</v>
      </c>
      <c r="P210" s="31">
        <v>111.10614717449999</v>
      </c>
      <c r="Q210" s="31">
        <v>111.10614717449999</v>
      </c>
      <c r="T210" s="10"/>
      <c r="U210" s="10"/>
      <c r="V210" s="10"/>
      <c r="W210" s="10"/>
      <c r="X210" s="10"/>
      <c r="Y210" s="10"/>
      <c r="Z210" s="10"/>
      <c r="AA210" s="10"/>
      <c r="AK210" s="31">
        <v>0</v>
      </c>
      <c r="AL210" s="31">
        <v>0</v>
      </c>
    </row>
    <row r="211" spans="3:40" s="31" customFormat="1" x14ac:dyDescent="0.25">
      <c r="D211" s="246"/>
      <c r="I211" s="31" t="s">
        <v>2605</v>
      </c>
      <c r="J211" s="31">
        <v>127.51024413008599</v>
      </c>
      <c r="K211" s="31">
        <v>127.51024413008599</v>
      </c>
      <c r="L211" s="31">
        <v>127.51024413008599</v>
      </c>
      <c r="M211" s="31">
        <v>127.51024413008599</v>
      </c>
      <c r="N211" s="31">
        <v>127.51024413008599</v>
      </c>
      <c r="O211" s="31">
        <v>127.51024413008599</v>
      </c>
      <c r="P211" s="31">
        <v>127.51024413008599</v>
      </c>
      <c r="Q211" s="31">
        <v>127.51024413008599</v>
      </c>
      <c r="T211" s="10"/>
      <c r="U211" s="10"/>
      <c r="V211" s="10"/>
      <c r="W211" s="10"/>
      <c r="X211" s="10"/>
      <c r="Y211" s="10"/>
      <c r="Z211" s="10"/>
      <c r="AA211" s="10"/>
      <c r="AK211" s="31">
        <v>6.9398265032106403</v>
      </c>
      <c r="AL211" s="31">
        <v>0.17938229741469799</v>
      </c>
    </row>
    <row r="212" spans="3:40" s="31" customFormat="1" x14ac:dyDescent="0.25">
      <c r="I212" s="31" t="s">
        <v>2606</v>
      </c>
      <c r="J212" s="31">
        <v>7.3829687421400996</v>
      </c>
      <c r="K212" s="31">
        <v>7.3829687421400996</v>
      </c>
      <c r="L212" s="31">
        <v>7.3829687421400996</v>
      </c>
      <c r="M212" s="31">
        <v>7.3829687421400996</v>
      </c>
      <c r="N212" s="31">
        <v>7.3829687421400996</v>
      </c>
      <c r="O212" s="31">
        <v>7.3829687421400996</v>
      </c>
      <c r="P212" s="31">
        <v>7.3829687421400996</v>
      </c>
      <c r="Q212" s="31">
        <v>7.3829687421400996</v>
      </c>
      <c r="T212" s="10"/>
      <c r="U212" s="10"/>
      <c r="V212" s="10"/>
      <c r="W212" s="10"/>
      <c r="X212" s="10"/>
      <c r="Y212" s="10"/>
      <c r="Z212" s="10"/>
      <c r="AA212" s="10"/>
      <c r="AK212" s="31">
        <v>111.10614717449999</v>
      </c>
      <c r="AL212" s="31">
        <v>111.10614717449999</v>
      </c>
    </row>
    <row r="213" spans="3:40" s="31" customFormat="1" x14ac:dyDescent="0.25">
      <c r="I213" s="31" t="s">
        <v>2692</v>
      </c>
      <c r="J213" s="31">
        <v>-1.8333333333333299</v>
      </c>
      <c r="K213" s="31">
        <v>-1.8333333333333299</v>
      </c>
      <c r="L213" s="31">
        <v>-1.8333333333333299</v>
      </c>
      <c r="M213" s="31">
        <v>-1.8333333333333299</v>
      </c>
      <c r="N213" s="31">
        <v>-1.8333333333333299</v>
      </c>
      <c r="O213" s="31">
        <v>-1.8333333333333299</v>
      </c>
      <c r="P213" s="31">
        <v>-1.8333333333333299</v>
      </c>
      <c r="Q213" s="31">
        <v>-1.8333333333333299</v>
      </c>
      <c r="T213" s="10"/>
      <c r="U213" s="10"/>
      <c r="V213" s="10"/>
      <c r="W213" s="10"/>
      <c r="X213" s="10"/>
      <c r="Y213" s="10"/>
      <c r="Z213" s="10"/>
      <c r="AA213" s="10"/>
      <c r="AK213" s="31">
        <v>127.51024413008599</v>
      </c>
      <c r="AL213" s="31">
        <v>127.51024413008599</v>
      </c>
    </row>
    <row r="214" spans="3:40" s="31" customFormat="1" x14ac:dyDescent="0.25">
      <c r="C214" s="688"/>
      <c r="I214" s="31" t="s">
        <v>2706</v>
      </c>
      <c r="J214" s="31">
        <v>-203.27066434564901</v>
      </c>
      <c r="K214" s="31">
        <v>-203.27066434564901</v>
      </c>
      <c r="L214" s="31">
        <v>-203.27066434564901</v>
      </c>
      <c r="M214" s="31">
        <v>-203.27066434564901</v>
      </c>
      <c r="N214" s="31">
        <v>-203.27066434564901</v>
      </c>
      <c r="O214" s="31">
        <v>-203.27066434564901</v>
      </c>
      <c r="P214" s="31">
        <v>-203.27066434564901</v>
      </c>
      <c r="Q214" s="31">
        <v>-203.27066434564901</v>
      </c>
      <c r="T214" s="10"/>
      <c r="U214" s="10"/>
      <c r="V214" s="10"/>
      <c r="W214" s="10"/>
      <c r="X214" s="10"/>
      <c r="Y214" s="10"/>
      <c r="Z214" s="10"/>
      <c r="AA214" s="10"/>
      <c r="AK214" s="31">
        <v>7.3829687421400996</v>
      </c>
      <c r="AL214" s="246">
        <v>7.3829687421400996</v>
      </c>
      <c r="AN214" s="246"/>
    </row>
    <row r="215" spans="3:40" x14ac:dyDescent="0.25">
      <c r="F215" s="31">
        <v>8.1186921675606306E-3</v>
      </c>
      <c r="G215" s="31"/>
      <c r="H215" s="31"/>
      <c r="J215" s="602">
        <f>SUM(J178:J214)</f>
        <v>2578.6895449775511</v>
      </c>
      <c r="K215" s="602">
        <f t="shared" ref="K215:O215" si="3">SUM(K178:K214)</f>
        <v>3118.3227080924676</v>
      </c>
      <c r="L215" s="602">
        <f t="shared" si="3"/>
        <v>3603.9419166253479</v>
      </c>
      <c r="M215" s="602">
        <f t="shared" si="3"/>
        <v>4124.0696296054894</v>
      </c>
      <c r="N215" s="602">
        <f t="shared" si="3"/>
        <v>4239.2093596354671</v>
      </c>
      <c r="O215" s="602">
        <f t="shared" si="3"/>
        <v>4406.7828423135843</v>
      </c>
      <c r="P215" s="602">
        <f>SUM(P178:P214)</f>
        <v>5395.6234778948974</v>
      </c>
      <c r="Q215" s="602">
        <f>SUM(Q178:Q214)</f>
        <v>5480.2204379093791</v>
      </c>
      <c r="AK215" s="31">
        <v>-1.8333333333333299</v>
      </c>
      <c r="AL215" s="31">
        <v>-1.8333333333333299</v>
      </c>
    </row>
    <row r="216" spans="3:40" s="31" customFormat="1" x14ac:dyDescent="0.25">
      <c r="C216" s="691"/>
      <c r="J216" s="720"/>
      <c r="K216" s="720"/>
      <c r="L216" s="720"/>
      <c r="M216" s="720"/>
      <c r="N216" s="720"/>
      <c r="O216" s="720"/>
      <c r="P216" s="720"/>
      <c r="Q216" s="720"/>
      <c r="T216" s="10"/>
      <c r="U216" s="10"/>
      <c r="V216" s="10"/>
      <c r="W216" s="10"/>
      <c r="X216" s="10"/>
      <c r="Y216" s="10"/>
      <c r="Z216" s="10"/>
      <c r="AA216" s="10"/>
      <c r="AK216" s="31">
        <v>-203.27066434564901</v>
      </c>
      <c r="AL216" s="31">
        <v>-203.27066434564901</v>
      </c>
    </row>
    <row r="217" spans="3:40" s="31" customFormat="1" x14ac:dyDescent="0.25">
      <c r="J217" s="602"/>
      <c r="K217" s="602"/>
      <c r="L217" s="602"/>
      <c r="M217" s="602"/>
      <c r="N217" s="602"/>
      <c r="O217" s="602"/>
      <c r="P217" s="602"/>
      <c r="Q217" s="602"/>
      <c r="T217" s="10"/>
      <c r="U217" s="10"/>
      <c r="V217" s="10"/>
      <c r="W217" s="10"/>
      <c r="X217" s="10"/>
      <c r="Y217" s="10"/>
      <c r="Z217" s="10"/>
      <c r="AA217" s="10"/>
      <c r="AK217" s="31">
        <f>SUM(AK180:AK216)</f>
        <v>4239.2093596354671</v>
      </c>
      <c r="AL217" s="31">
        <f>SUM(AL180:AL216)</f>
        <v>2578.6895449775511</v>
      </c>
    </row>
    <row r="218" spans="3:40" s="31" customFormat="1" ht="15.75" thickBot="1" x14ac:dyDescent="0.3">
      <c r="J218" s="602"/>
      <c r="K218" s="602"/>
      <c r="L218" s="602"/>
      <c r="M218" s="602"/>
      <c r="N218" s="602"/>
      <c r="O218" s="602"/>
      <c r="P218" s="602"/>
      <c r="Q218" s="602"/>
      <c r="T218" s="10"/>
      <c r="U218" s="10"/>
      <c r="V218" s="10"/>
      <c r="W218" s="10"/>
      <c r="X218" s="10"/>
      <c r="Y218" s="10"/>
      <c r="Z218" s="10"/>
      <c r="AA218" s="10"/>
      <c r="AK218" s="690">
        <f>N215-AK217</f>
        <v>0</v>
      </c>
      <c r="AL218" s="246">
        <f>J215-AL217</f>
        <v>0</v>
      </c>
    </row>
    <row r="219" spans="3:40" ht="15.75" thickBot="1" x14ac:dyDescent="0.3">
      <c r="C219" s="690"/>
      <c r="F219" s="31">
        <v>0.19628999064819699</v>
      </c>
      <c r="G219" s="31"/>
      <c r="H219" s="31"/>
      <c r="J219" s="804" t="s">
        <v>2286</v>
      </c>
      <c r="K219" s="805"/>
      <c r="L219" s="805"/>
      <c r="M219" s="805"/>
      <c r="N219" s="805"/>
      <c r="O219" s="805"/>
      <c r="P219" s="805"/>
      <c r="Q219" s="806"/>
    </row>
    <row r="220" spans="3:40" x14ac:dyDescent="0.25">
      <c r="F220" s="31">
        <v>7.3918207234744404</v>
      </c>
      <c r="G220" s="31"/>
      <c r="H220" s="31"/>
      <c r="J220" s="31" t="str">
        <f t="shared" ref="J220:Q220" si="4">J177</f>
        <v>Long Beach, CA</v>
      </c>
      <c r="K220" s="31" t="str">
        <f t="shared" si="4"/>
        <v>Portland, OR</v>
      </c>
      <c r="L220" s="31" t="str">
        <f t="shared" si="4"/>
        <v>Portland, ME</v>
      </c>
      <c r="M220" s="31" t="str">
        <f t="shared" si="4"/>
        <v>Miami, FL</v>
      </c>
      <c r="N220" s="31" t="str">
        <f t="shared" si="4"/>
        <v>Denver, CO</v>
      </c>
      <c r="O220" s="31" t="str">
        <f t="shared" si="4"/>
        <v>Detroit, MI</v>
      </c>
      <c r="P220" s="31" t="str">
        <f t="shared" si="4"/>
        <v>Barrow, AK</v>
      </c>
      <c r="Q220" s="31" t="str">
        <f t="shared" si="4"/>
        <v>Kaneohe Bay, HI</v>
      </c>
    </row>
    <row r="221" spans="3:40" x14ac:dyDescent="0.25">
      <c r="F221" s="31">
        <v>51.770824548788497</v>
      </c>
      <c r="G221" s="31"/>
      <c r="H221" s="31"/>
      <c r="I221" t="s">
        <v>2307</v>
      </c>
      <c r="J221">
        <f>J178+J179+J180+J184</f>
        <v>457.31817625960758</v>
      </c>
      <c r="K221" s="31">
        <f t="shared" ref="K221:Q221" si="5">K178+K179+K180+K184</f>
        <v>970.01534864822816</v>
      </c>
      <c r="L221" s="31">
        <f t="shared" si="5"/>
        <v>1276.0381117683335</v>
      </c>
      <c r="M221" s="31">
        <f t="shared" si="5"/>
        <v>97.229968224732843</v>
      </c>
      <c r="N221" s="31">
        <f t="shared" si="5"/>
        <v>1195.1942825005046</v>
      </c>
      <c r="O221" s="31">
        <f t="shared" si="5"/>
        <v>1145.2632552125112</v>
      </c>
      <c r="P221" s="31">
        <f t="shared" si="5"/>
        <v>2870.095480442872</v>
      </c>
      <c r="Q221" s="31">
        <f t="shared" si="5"/>
        <v>55.790743232626518</v>
      </c>
    </row>
    <row r="222" spans="3:40" x14ac:dyDescent="0.25">
      <c r="C222" s="690"/>
      <c r="F222" s="31">
        <v>51.770824548788497</v>
      </c>
      <c r="G222" s="31"/>
      <c r="H222" s="31"/>
      <c r="I222" t="s">
        <v>2308</v>
      </c>
      <c r="J222">
        <f>J181+J182+J183+J185+J186</f>
        <v>452.06842368517698</v>
      </c>
      <c r="K222" s="31">
        <f t="shared" ref="K222:Q222" si="6">K181+K182+K183+K185+K186</f>
        <v>353.18516232201529</v>
      </c>
      <c r="L222" s="31">
        <f t="shared" si="6"/>
        <v>633.74626738386701</v>
      </c>
      <c r="M222" s="31">
        <f t="shared" si="6"/>
        <v>1972.8916857501188</v>
      </c>
      <c r="N222" s="31">
        <f t="shared" si="6"/>
        <v>691.00607507564393</v>
      </c>
      <c r="O222" s="31">
        <f t="shared" si="6"/>
        <v>875.14219808863777</v>
      </c>
      <c r="P222" s="31">
        <f t="shared" si="6"/>
        <v>833.28243952717469</v>
      </c>
      <c r="Q222" s="31">
        <f t="shared" si="6"/>
        <v>2712.8693503174682</v>
      </c>
    </row>
    <row r="223" spans="3:40" x14ac:dyDescent="0.25">
      <c r="F223" s="31">
        <v>64.508744573048403</v>
      </c>
      <c r="G223" s="31"/>
      <c r="H223" s="31"/>
      <c r="I223" t="s">
        <v>2480</v>
      </c>
      <c r="J223">
        <f>J187</f>
        <v>325.55287244178601</v>
      </c>
      <c r="K223" s="31">
        <f t="shared" ref="K223:Q223" si="7">K187</f>
        <v>420.00110825803199</v>
      </c>
      <c r="L223" s="31">
        <f t="shared" si="7"/>
        <v>344.68575910549902</v>
      </c>
      <c r="M223" s="31">
        <f t="shared" si="7"/>
        <v>611.63356475767398</v>
      </c>
      <c r="N223" s="31">
        <f t="shared" si="7"/>
        <v>836.88042477533702</v>
      </c>
      <c r="O223" s="31">
        <f t="shared" si="7"/>
        <v>863.20077686081504</v>
      </c>
      <c r="P223" s="31">
        <f t="shared" si="7"/>
        <v>345.16941147492503</v>
      </c>
      <c r="Q223" s="31">
        <f t="shared" si="7"/>
        <v>1102.3341023242001</v>
      </c>
    </row>
    <row r="224" spans="3:40" x14ac:dyDescent="0.25">
      <c r="C224" s="688"/>
      <c r="F224" s="31">
        <v>1.3033532362270901</v>
      </c>
      <c r="G224" s="31"/>
      <c r="H224" s="31"/>
      <c r="I224" t="s">
        <v>1076</v>
      </c>
      <c r="J224">
        <f>J206+SUM(J210:J212)</f>
        <v>264.18065789553521</v>
      </c>
      <c r="K224" s="31">
        <f t="shared" ref="K224:Q224" si="8">K206+SUM(K210:K212)</f>
        <v>264.18065789553521</v>
      </c>
      <c r="L224" s="31">
        <f t="shared" si="8"/>
        <v>264.18065789553521</v>
      </c>
      <c r="M224" s="31">
        <f t="shared" si="8"/>
        <v>264.18065789553521</v>
      </c>
      <c r="N224" s="31">
        <f t="shared" si="8"/>
        <v>264.18065789553521</v>
      </c>
      <c r="O224" s="31">
        <f t="shared" si="8"/>
        <v>264.18065789553521</v>
      </c>
      <c r="P224" s="31">
        <f t="shared" si="8"/>
        <v>264.18065789553521</v>
      </c>
      <c r="Q224" s="31">
        <f t="shared" si="8"/>
        <v>264.18065789553521</v>
      </c>
    </row>
    <row r="225" spans="3:27" ht="18" x14ac:dyDescent="0.35">
      <c r="F225" s="31">
        <v>43.6960854827879</v>
      </c>
      <c r="G225" s="31"/>
      <c r="H225" s="31"/>
      <c r="I225" t="s">
        <v>2479</v>
      </c>
      <c r="J225">
        <f>J191</f>
        <v>573.977991751486</v>
      </c>
      <c r="K225" s="31">
        <f t="shared" ref="K225:Q225" si="9">K191</f>
        <v>573.977991751486</v>
      </c>
      <c r="L225" s="31">
        <f t="shared" si="9"/>
        <v>573.977991751486</v>
      </c>
      <c r="M225" s="31">
        <f t="shared" si="9"/>
        <v>573.977991751486</v>
      </c>
      <c r="N225" s="31">
        <f t="shared" si="9"/>
        <v>573.977991751486</v>
      </c>
      <c r="O225" s="31">
        <f t="shared" si="9"/>
        <v>573.977991751486</v>
      </c>
      <c r="P225" s="31">
        <f t="shared" si="9"/>
        <v>573.977991751486</v>
      </c>
      <c r="Q225" s="31">
        <f t="shared" si="9"/>
        <v>573.977991751486</v>
      </c>
    </row>
    <row r="226" spans="3:27" x14ac:dyDescent="0.25">
      <c r="F226" s="31">
        <v>0</v>
      </c>
      <c r="G226" s="31"/>
      <c r="H226" s="31"/>
      <c r="I226" t="s">
        <v>616</v>
      </c>
      <c r="K226" s="31"/>
      <c r="L226" s="31"/>
      <c r="M226" s="31"/>
      <c r="N226" s="31"/>
      <c r="O226" s="31"/>
      <c r="P226" s="31"/>
      <c r="Q226" s="31"/>
    </row>
    <row r="227" spans="3:27" x14ac:dyDescent="0.25">
      <c r="C227" s="688"/>
      <c r="F227" s="31">
        <v>0.11577019876518201</v>
      </c>
      <c r="G227" s="31"/>
      <c r="H227" s="31"/>
      <c r="I227" t="s">
        <v>2465</v>
      </c>
      <c r="J227">
        <f>SUM(J192:J196)+SUM(J197:J203)+SUM(J207:J209)+SUM(J188:J190)</f>
        <v>267.71125019185524</v>
      </c>
      <c r="K227" s="31">
        <f t="shared" ref="K227:Q227" si="10">SUM(K192:K196)+SUM(K197:K203)+SUM(K207:K209)+SUM(K188:K190)</f>
        <v>299.08226646506768</v>
      </c>
      <c r="L227" s="31">
        <f t="shared" si="10"/>
        <v>273.43295596852317</v>
      </c>
      <c r="M227" s="31">
        <f t="shared" si="10"/>
        <v>366.2755884738383</v>
      </c>
      <c r="N227" s="31">
        <f t="shared" si="10"/>
        <v>440.08975488485612</v>
      </c>
      <c r="O227" s="31">
        <f t="shared" si="10"/>
        <v>447.13778975249414</v>
      </c>
      <c r="P227" s="31">
        <f t="shared" si="10"/>
        <v>271.03732405080126</v>
      </c>
      <c r="Q227" s="31">
        <f t="shared" si="10"/>
        <v>533.18741963595824</v>
      </c>
    </row>
    <row r="228" spans="3:27" ht="18" x14ac:dyDescent="0.35">
      <c r="F228">
        <f>SUM(F188:F227)</f>
        <v>3839.048487754877</v>
      </c>
      <c r="G228" s="31"/>
      <c r="H228" s="31"/>
      <c r="I228" t="s">
        <v>4909</v>
      </c>
      <c r="J228">
        <f>SUM(J213:J214)</f>
        <v>-205.10399767898235</v>
      </c>
      <c r="K228" s="31">
        <f t="shared" ref="K228:Q228" si="11">SUM(K213:K214)</f>
        <v>-205.10399767898235</v>
      </c>
      <c r="L228" s="31">
        <f t="shared" si="11"/>
        <v>-205.10399767898235</v>
      </c>
      <c r="M228" s="31">
        <f t="shared" si="11"/>
        <v>-205.10399767898235</v>
      </c>
      <c r="N228" s="31">
        <f t="shared" si="11"/>
        <v>-205.10399767898235</v>
      </c>
      <c r="O228" s="31">
        <f t="shared" si="11"/>
        <v>-205.10399767898235</v>
      </c>
      <c r="P228" s="31">
        <f t="shared" si="11"/>
        <v>-205.10399767898235</v>
      </c>
      <c r="Q228" s="31">
        <f t="shared" si="11"/>
        <v>-205.10399767898235</v>
      </c>
    </row>
    <row r="229" spans="3:27" x14ac:dyDescent="0.25">
      <c r="G229" s="31"/>
      <c r="H229" s="31"/>
      <c r="I229" t="s">
        <v>2288</v>
      </c>
      <c r="K229" s="31"/>
      <c r="L229" s="31"/>
      <c r="M229" s="31"/>
      <c r="N229" s="31"/>
      <c r="O229" s="31"/>
      <c r="P229" s="31"/>
      <c r="Q229" s="31"/>
    </row>
    <row r="230" spans="3:27" x14ac:dyDescent="0.25">
      <c r="G230" s="31"/>
      <c r="H230" s="31"/>
      <c r="I230" t="s">
        <v>1386</v>
      </c>
      <c r="J230">
        <f>SUM(J204:J205)</f>
        <v>442.98417043108611</v>
      </c>
      <c r="K230" s="31">
        <f t="shared" ref="K230:Q230" si="12">SUM(K204:K205)</f>
        <v>442.98417043108611</v>
      </c>
      <c r="L230" s="31">
        <f t="shared" si="12"/>
        <v>442.98417043108611</v>
      </c>
      <c r="M230" s="31">
        <f t="shared" si="12"/>
        <v>442.98417043108611</v>
      </c>
      <c r="N230" s="31">
        <f t="shared" si="12"/>
        <v>442.98417043108611</v>
      </c>
      <c r="O230" s="31">
        <f t="shared" si="12"/>
        <v>442.98417043108611</v>
      </c>
      <c r="P230" s="31">
        <f t="shared" si="12"/>
        <v>442.98417043108611</v>
      </c>
      <c r="Q230" s="31">
        <f t="shared" si="12"/>
        <v>442.98417043108611</v>
      </c>
    </row>
    <row r="231" spans="3:27" x14ac:dyDescent="0.25">
      <c r="G231" s="31"/>
      <c r="H231" s="31"/>
      <c r="I231" s="37" t="s">
        <v>2707</v>
      </c>
      <c r="J231" s="602">
        <f>J215</f>
        <v>2578.6895449775511</v>
      </c>
      <c r="K231" s="602">
        <f t="shared" ref="K231:Q231" si="13">K215</f>
        <v>3118.3227080924676</v>
      </c>
      <c r="L231" s="602">
        <f t="shared" si="13"/>
        <v>3603.9419166253479</v>
      </c>
      <c r="M231" s="602">
        <f t="shared" si="13"/>
        <v>4124.0696296054894</v>
      </c>
      <c r="N231" s="602">
        <f t="shared" si="13"/>
        <v>4239.2093596354671</v>
      </c>
      <c r="O231" s="602">
        <f t="shared" si="13"/>
        <v>4406.7828423135843</v>
      </c>
      <c r="P231" s="602">
        <f t="shared" si="13"/>
        <v>5395.6234778948974</v>
      </c>
      <c r="Q231" s="602">
        <f t="shared" si="13"/>
        <v>5480.2204379093791</v>
      </c>
    </row>
    <row r="232" spans="3:27" x14ac:dyDescent="0.25"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</row>
    <row r="233" spans="3:27" x14ac:dyDescent="0.25"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</row>
    <row r="234" spans="3:27" x14ac:dyDescent="0.25">
      <c r="G234" s="31"/>
      <c r="J234" t="str">
        <f>IF(ROUND(SUM(J221:J230),6)=ROUND(SUM(J178:J214),6),"EQUAL","FAIL")</f>
        <v>EQUAL</v>
      </c>
      <c r="K234" s="31" t="str">
        <f t="shared" ref="K234:Q234" si="14">IF(ROUND(SUM(K221:K230),6)=ROUND(SUM(K178:K214),6),"EQUAL","FAIL")</f>
        <v>EQUAL</v>
      </c>
      <c r="L234" s="31" t="str">
        <f t="shared" si="14"/>
        <v>EQUAL</v>
      </c>
      <c r="M234" s="31" t="str">
        <f t="shared" si="14"/>
        <v>EQUAL</v>
      </c>
      <c r="N234" s="31" t="str">
        <f t="shared" si="14"/>
        <v>EQUAL</v>
      </c>
      <c r="O234" s="31" t="str">
        <f t="shared" si="14"/>
        <v>EQUAL</v>
      </c>
      <c r="P234" s="31" t="str">
        <f t="shared" si="14"/>
        <v>EQUAL</v>
      </c>
      <c r="Q234" s="31" t="str">
        <f t="shared" si="14"/>
        <v>EQUAL</v>
      </c>
    </row>
    <row r="235" spans="3:27" s="31" customFormat="1" x14ac:dyDescent="0.25">
      <c r="T235" s="10"/>
      <c r="U235" s="10"/>
      <c r="V235" s="10"/>
      <c r="W235" s="10"/>
      <c r="X235" s="10"/>
      <c r="Y235" s="10"/>
      <c r="Z235" s="10"/>
      <c r="AA235" s="10"/>
    </row>
    <row r="236" spans="3:27" x14ac:dyDescent="0.25">
      <c r="G236" s="31"/>
    </row>
    <row r="237" spans="3:27" x14ac:dyDescent="0.25">
      <c r="G237" s="31"/>
      <c r="I237" t="s">
        <v>2288</v>
      </c>
      <c r="J237">
        <f>SUM(J201:J203)</f>
        <v>86.617465718522993</v>
      </c>
      <c r="K237" s="31">
        <f t="shared" ref="K237:Q237" si="15">SUM(K201:K203)</f>
        <v>111.74661529913828</v>
      </c>
      <c r="L237" s="31">
        <f t="shared" si="15"/>
        <v>91.708012585028996</v>
      </c>
      <c r="M237" s="31">
        <f t="shared" si="15"/>
        <v>162.73285789290389</v>
      </c>
      <c r="N237" s="31">
        <f t="shared" si="15"/>
        <v>222.66263835974212</v>
      </c>
      <c r="O237" s="31">
        <f t="shared" si="15"/>
        <v>229.6655014503481</v>
      </c>
      <c r="P237" s="31">
        <f t="shared" si="15"/>
        <v>91.836694424676494</v>
      </c>
      <c r="Q237" s="31">
        <f t="shared" si="15"/>
        <v>293.2899519585668</v>
      </c>
    </row>
    <row r="238" spans="3:27" s="31" customFormat="1" x14ac:dyDescent="0.25">
      <c r="I238" s="31" t="s">
        <v>616</v>
      </c>
      <c r="J238" s="31">
        <f>SUM(J195:J196)</f>
        <v>137.23311012077474</v>
      </c>
      <c r="K238" s="31">
        <f t="shared" ref="K238:Q238" si="16">SUM(K195:K196)</f>
        <v>137.23311012077474</v>
      </c>
      <c r="L238" s="31">
        <f t="shared" si="16"/>
        <v>137.23311012077474</v>
      </c>
      <c r="M238" s="31">
        <f t="shared" si="16"/>
        <v>137.23311012077474</v>
      </c>
      <c r="N238" s="31">
        <f t="shared" si="16"/>
        <v>137.23311012077474</v>
      </c>
      <c r="O238" s="31">
        <f t="shared" si="16"/>
        <v>137.23311012077474</v>
      </c>
      <c r="P238" s="31">
        <f t="shared" si="16"/>
        <v>137.23311012077474</v>
      </c>
      <c r="Q238" s="31">
        <f t="shared" si="16"/>
        <v>137.23311012077474</v>
      </c>
      <c r="T238" s="10"/>
      <c r="U238" s="10"/>
      <c r="V238" s="10"/>
      <c r="W238" s="10"/>
      <c r="X238" s="10"/>
      <c r="Y238" s="10"/>
      <c r="Z238" s="10"/>
      <c r="AA238" s="10"/>
    </row>
    <row r="239" spans="3:27" s="31" customFormat="1" x14ac:dyDescent="0.25">
      <c r="I239" s="31" t="s">
        <v>310</v>
      </c>
      <c r="J239" s="31">
        <f>SUM(J188:J190)</f>
        <v>3.2501766054648447</v>
      </c>
      <c r="K239" s="31">
        <f t="shared" ref="K239:Q239" si="17">SUM(K188:K190)</f>
        <v>3.6494718140815396</v>
      </c>
      <c r="L239" s="31">
        <f t="shared" si="17"/>
        <v>3.3310639815582448</v>
      </c>
      <c r="M239" s="31">
        <f t="shared" si="17"/>
        <v>4.4596290503122304</v>
      </c>
      <c r="N239" s="31">
        <f t="shared" si="17"/>
        <v>5.4118966197773899</v>
      </c>
      <c r="O239" s="31">
        <f t="shared" si="17"/>
        <v>5.5231701696325999</v>
      </c>
      <c r="P239" s="31">
        <f t="shared" si="17"/>
        <v>3.3331087002560458</v>
      </c>
      <c r="Q239" s="31">
        <f t="shared" si="17"/>
        <v>6.5341450200668199</v>
      </c>
      <c r="T239" s="10"/>
      <c r="U239" s="10"/>
      <c r="V239" s="10"/>
      <c r="W239" s="10"/>
      <c r="X239" s="10"/>
      <c r="Y239" s="10"/>
      <c r="Z239" s="10"/>
      <c r="AA239" s="10"/>
    </row>
    <row r="240" spans="3:27" s="31" customFormat="1" x14ac:dyDescent="0.25">
      <c r="I240" s="31" t="s">
        <v>365</v>
      </c>
      <c r="J240" s="31">
        <f>SUM(J192:J194)</f>
        <v>3.3122229604128841</v>
      </c>
      <c r="K240" s="31">
        <f t="shared" ref="K240:Q240" si="18">SUM(K192:K194)</f>
        <v>3.3122229604128841</v>
      </c>
      <c r="L240" s="31">
        <f t="shared" si="18"/>
        <v>3.3122229604128841</v>
      </c>
      <c r="M240" s="31">
        <f t="shared" si="18"/>
        <v>3.3122229604128841</v>
      </c>
      <c r="N240" s="31">
        <f t="shared" si="18"/>
        <v>3.3122229604128841</v>
      </c>
      <c r="O240" s="31">
        <f t="shared" si="18"/>
        <v>3.3122229604128841</v>
      </c>
      <c r="P240" s="31">
        <f t="shared" si="18"/>
        <v>3.3122229604128841</v>
      </c>
      <c r="Q240" s="31">
        <f t="shared" si="18"/>
        <v>3.3122229604128841</v>
      </c>
      <c r="T240" s="10"/>
      <c r="U240" s="10"/>
      <c r="V240" s="10"/>
      <c r="W240" s="10"/>
      <c r="X240" s="10"/>
      <c r="Y240" s="10"/>
      <c r="Z240" s="10"/>
      <c r="AA240" s="10"/>
    </row>
    <row r="241" spans="1:27" s="31" customFormat="1" x14ac:dyDescent="0.25">
      <c r="I241" s="31" t="s">
        <v>1618</v>
      </c>
      <c r="J241" s="31">
        <f>SUM(J197:J200)</f>
        <v>16.166942811456092</v>
      </c>
      <c r="K241" s="31">
        <f t="shared" ref="K241:Q241" si="19">SUM(K197:K200)</f>
        <v>16.166942811456092</v>
      </c>
      <c r="L241" s="31">
        <f t="shared" si="19"/>
        <v>16.166942811456092</v>
      </c>
      <c r="M241" s="31">
        <f t="shared" si="19"/>
        <v>16.166942811456092</v>
      </c>
      <c r="N241" s="31">
        <f t="shared" si="19"/>
        <v>16.166942811456092</v>
      </c>
      <c r="O241" s="31">
        <f t="shared" si="19"/>
        <v>16.166942811456092</v>
      </c>
      <c r="P241" s="31">
        <f t="shared" si="19"/>
        <v>16.166942811456092</v>
      </c>
      <c r="Q241" s="31">
        <f t="shared" si="19"/>
        <v>16.166942811456092</v>
      </c>
      <c r="T241" s="10"/>
      <c r="U241" s="10"/>
      <c r="V241" s="10"/>
      <c r="W241" s="10"/>
      <c r="X241" s="10"/>
      <c r="Y241" s="10"/>
      <c r="Z241" s="10"/>
      <c r="AA241" s="10"/>
    </row>
    <row r="242" spans="1:27" s="31" customFormat="1" x14ac:dyDescent="0.25">
      <c r="T242" s="10"/>
      <c r="U242" s="10"/>
      <c r="V242" s="10"/>
      <c r="W242" s="10"/>
      <c r="X242" s="10"/>
      <c r="Y242" s="10"/>
      <c r="Z242" s="10"/>
      <c r="AA242" s="10"/>
    </row>
    <row r="243" spans="1:27" s="31" customFormat="1" x14ac:dyDescent="0.25">
      <c r="I243" s="31" t="s">
        <v>4910</v>
      </c>
      <c r="J243" s="31">
        <f>J207</f>
        <v>20.951949677809001</v>
      </c>
      <c r="K243" s="31">
        <f t="shared" ref="K243:Q243" si="20">K207</f>
        <v>25.1382731918434</v>
      </c>
      <c r="L243" s="31">
        <f t="shared" si="20"/>
        <v>18.906872263841102</v>
      </c>
      <c r="M243" s="31">
        <f t="shared" si="20"/>
        <v>42.313431786645801</v>
      </c>
      <c r="N243" s="31">
        <f t="shared" si="20"/>
        <v>48.363117509482301</v>
      </c>
      <c r="O243" s="31">
        <f t="shared" si="20"/>
        <v>49.2476672055123</v>
      </c>
      <c r="P243" s="31">
        <f t="shared" si="20"/>
        <v>8.6663801459382093</v>
      </c>
      <c r="Q243" s="31">
        <f t="shared" si="20"/>
        <v>76.650317153199097</v>
      </c>
      <c r="T243" s="10"/>
      <c r="U243" s="10"/>
      <c r="V243" s="10"/>
      <c r="W243" s="10"/>
      <c r="X243" s="10"/>
      <c r="Y243" s="10"/>
      <c r="Z243" s="10"/>
      <c r="AA243" s="10"/>
    </row>
    <row r="244" spans="1:27" s="31" customFormat="1" x14ac:dyDescent="0.25">
      <c r="I244" s="31" t="s">
        <v>2708</v>
      </c>
      <c r="J244" s="31">
        <f>J208</f>
        <v>0</v>
      </c>
      <c r="K244" s="31">
        <f t="shared" ref="K244:Q244" si="21">K208</f>
        <v>0</v>
      </c>
      <c r="L244" s="31">
        <f t="shared" si="21"/>
        <v>0</v>
      </c>
      <c r="M244" s="31">
        <f t="shared" si="21"/>
        <v>0</v>
      </c>
      <c r="N244" s="31">
        <f t="shared" si="21"/>
        <v>0</v>
      </c>
      <c r="O244" s="31">
        <f t="shared" si="21"/>
        <v>0</v>
      </c>
      <c r="P244" s="31">
        <f t="shared" si="21"/>
        <v>0</v>
      </c>
      <c r="Q244" s="31">
        <f t="shared" si="21"/>
        <v>0</v>
      </c>
      <c r="T244" s="10"/>
      <c r="U244" s="10"/>
      <c r="V244" s="10"/>
      <c r="W244" s="10"/>
      <c r="X244" s="10"/>
      <c r="Y244" s="10"/>
      <c r="Z244" s="10"/>
      <c r="AA244" s="10"/>
    </row>
    <row r="245" spans="1:27" s="31" customFormat="1" x14ac:dyDescent="0.25">
      <c r="I245" s="31" t="s">
        <v>2709</v>
      </c>
      <c r="J245" s="31">
        <f>J209</f>
        <v>0.17938229741469799</v>
      </c>
      <c r="K245" s="31">
        <f t="shared" ref="K245:Q245" si="22">K209</f>
        <v>1.8356302673606799</v>
      </c>
      <c r="L245" s="31">
        <f t="shared" si="22"/>
        <v>2.7747312454510902</v>
      </c>
      <c r="M245" s="31">
        <f t="shared" si="22"/>
        <v>5.7393851332622502E-2</v>
      </c>
      <c r="N245" s="31">
        <f t="shared" si="22"/>
        <v>6.9398265032106403</v>
      </c>
      <c r="O245" s="31">
        <f t="shared" si="22"/>
        <v>5.9891750343573698</v>
      </c>
      <c r="P245" s="31">
        <f t="shared" si="22"/>
        <v>10.4888648872868</v>
      </c>
      <c r="Q245" s="31">
        <f t="shared" si="22"/>
        <v>7.2961148175897995E-4</v>
      </c>
      <c r="T245" s="10"/>
      <c r="U245" s="10"/>
      <c r="V245" s="10"/>
      <c r="W245" s="10"/>
      <c r="X245" s="10"/>
      <c r="Y245" s="10"/>
      <c r="Z245" s="10"/>
      <c r="AA245" s="10"/>
    </row>
    <row r="246" spans="1:27" s="31" customFormat="1" x14ac:dyDescent="0.25">
      <c r="J246" s="37">
        <f>SUM(J237:J245)</f>
        <v>267.71125019185524</v>
      </c>
      <c r="K246" s="37">
        <f t="shared" ref="K246:Q246" si="23">SUM(K237:K245)</f>
        <v>299.08226646506762</v>
      </c>
      <c r="L246" s="37">
        <f t="shared" si="23"/>
        <v>273.43295596852317</v>
      </c>
      <c r="M246" s="37">
        <f t="shared" si="23"/>
        <v>366.2755884738383</v>
      </c>
      <c r="N246" s="37">
        <f t="shared" si="23"/>
        <v>440.08975488485623</v>
      </c>
      <c r="O246" s="37">
        <f t="shared" si="23"/>
        <v>447.13778975249403</v>
      </c>
      <c r="P246" s="37">
        <f t="shared" si="23"/>
        <v>271.03732405080132</v>
      </c>
      <c r="Q246" s="37">
        <f t="shared" si="23"/>
        <v>533.18741963595824</v>
      </c>
      <c r="T246" s="10"/>
      <c r="U246" s="10"/>
      <c r="V246" s="10"/>
      <c r="W246" s="10"/>
      <c r="X246" s="10"/>
      <c r="Y246" s="10"/>
      <c r="Z246" s="10"/>
      <c r="AA246" s="10"/>
    </row>
    <row r="247" spans="1:27" x14ac:dyDescent="0.25">
      <c r="K247" s="31"/>
      <c r="L247" s="31"/>
      <c r="M247" s="31"/>
      <c r="N247" s="31"/>
      <c r="O247" s="31"/>
      <c r="P247" s="31"/>
      <c r="Q247" s="31"/>
    </row>
    <row r="248" spans="1:27" x14ac:dyDescent="0.25">
      <c r="J248" s="31" t="str">
        <f t="shared" ref="J248:Q248" si="24">IF(ROUND(SUM(J221:J226)+J228+J230+SUM(J237:J245),6)=ROUND(SUM(J178:J214),6),"EQUAL","FAIL")</f>
        <v>EQUAL</v>
      </c>
      <c r="K248" s="31" t="str">
        <f t="shared" si="24"/>
        <v>EQUAL</v>
      </c>
      <c r="L248" s="31" t="str">
        <f t="shared" si="24"/>
        <v>EQUAL</v>
      </c>
      <c r="M248" s="31" t="str">
        <f t="shared" si="24"/>
        <v>EQUAL</v>
      </c>
      <c r="N248" s="31" t="str">
        <f t="shared" si="24"/>
        <v>EQUAL</v>
      </c>
      <c r="O248" s="31" t="str">
        <f t="shared" si="24"/>
        <v>EQUAL</v>
      </c>
      <c r="P248" s="31" t="str">
        <f t="shared" si="24"/>
        <v>EQUAL</v>
      </c>
      <c r="Q248" s="31" t="str">
        <f t="shared" si="24"/>
        <v>EQUAL</v>
      </c>
    </row>
    <row r="250" spans="1:27" s="394" customFormat="1" x14ac:dyDescent="0.25">
      <c r="T250" s="629"/>
      <c r="U250" s="629"/>
      <c r="V250" s="629"/>
      <c r="W250" s="629"/>
      <c r="X250" s="629"/>
      <c r="Y250" s="629"/>
      <c r="Z250" s="629"/>
      <c r="AA250" s="629"/>
    </row>
    <row r="252" spans="1:27" x14ac:dyDescent="0.25">
      <c r="C252" t="s">
        <v>2348</v>
      </c>
    </row>
    <row r="254" spans="1:27" ht="15.75" thickBot="1" x14ac:dyDescent="0.3">
      <c r="A254" s="31"/>
      <c r="B254" s="31"/>
      <c r="C254" s="48" t="s">
        <v>1648</v>
      </c>
      <c r="D254" s="48" t="s">
        <v>2281</v>
      </c>
      <c r="E254" s="48" t="s">
        <v>2282</v>
      </c>
      <c r="F254" s="48" t="s">
        <v>2283</v>
      </c>
      <c r="G254" s="48" t="s">
        <v>2349</v>
      </c>
      <c r="H254" s="48" t="s">
        <v>2284</v>
      </c>
      <c r="I254" s="741" t="s">
        <v>2489</v>
      </c>
      <c r="J254" s="741" t="s">
        <v>2490</v>
      </c>
      <c r="K254" s="741" t="s">
        <v>2491</v>
      </c>
      <c r="N254" s="31"/>
    </row>
    <row r="255" spans="1:27" x14ac:dyDescent="0.25">
      <c r="A255" s="31"/>
      <c r="B255" s="31"/>
      <c r="C255" s="31">
        <v>2</v>
      </c>
      <c r="D255" s="31">
        <v>820.79051106337613</v>
      </c>
      <c r="E255" s="31">
        <v>925.14698501236762</v>
      </c>
      <c r="F255">
        <v>997.02639810000005</v>
      </c>
      <c r="G255">
        <v>1904.4358867827889</v>
      </c>
      <c r="H255">
        <v>1497.431360109616</v>
      </c>
      <c r="I255">
        <v>1000</v>
      </c>
      <c r="J255">
        <v>1500</v>
      </c>
      <c r="K255">
        <v>1250</v>
      </c>
      <c r="N255" s="31"/>
    </row>
    <row r="256" spans="1:27" x14ac:dyDescent="0.25">
      <c r="A256" s="31"/>
      <c r="B256" s="31"/>
      <c r="C256" s="31">
        <v>5</v>
      </c>
      <c r="D256" s="31">
        <v>1022.7393168589767</v>
      </c>
      <c r="E256" s="31">
        <v>1227.4310427154885</v>
      </c>
      <c r="F256">
        <v>1247.569508951746</v>
      </c>
      <c r="G256">
        <v>2248.3045502942123</v>
      </c>
      <c r="H256">
        <v>1856.2720934853096</v>
      </c>
      <c r="I256">
        <v>2000</v>
      </c>
      <c r="J256">
        <v>2500</v>
      </c>
      <c r="K256">
        <v>2250</v>
      </c>
      <c r="N256" s="31"/>
    </row>
    <row r="257" spans="1:14" x14ac:dyDescent="0.25">
      <c r="A257" s="31"/>
      <c r="B257" s="31"/>
      <c r="C257" s="31">
        <v>10</v>
      </c>
      <c r="D257" s="31">
        <v>1341.248677</v>
      </c>
      <c r="E257" s="31">
        <v>1713.9248102899664</v>
      </c>
      <c r="F257">
        <v>1644.0354175499319</v>
      </c>
      <c r="G257">
        <v>2685.3407678732219</v>
      </c>
      <c r="H257">
        <v>2417.0962972499187</v>
      </c>
      <c r="I257">
        <v>3000</v>
      </c>
      <c r="J257">
        <v>3500</v>
      </c>
      <c r="K257">
        <v>3250</v>
      </c>
      <c r="N257" s="31"/>
    </row>
    <row r="258" spans="1:14" x14ac:dyDescent="0.25">
      <c r="A258" s="31"/>
      <c r="B258" s="31"/>
      <c r="C258" s="31">
        <v>20</v>
      </c>
      <c r="D258" s="31">
        <v>1885.0556045041258</v>
      </c>
      <c r="E258" s="31">
        <v>2594.5375904252955</v>
      </c>
      <c r="F258">
        <v>2326.0814209999999</v>
      </c>
      <c r="G258">
        <v>3666.4940323524493</v>
      </c>
      <c r="H258">
        <v>3352.5502527738217</v>
      </c>
      <c r="I258">
        <v>4000</v>
      </c>
      <c r="J258">
        <v>4500</v>
      </c>
      <c r="K258">
        <v>4250</v>
      </c>
      <c r="N258" s="31"/>
    </row>
    <row r="259" spans="1:14" x14ac:dyDescent="0.25">
      <c r="C259">
        <v>30</v>
      </c>
      <c r="D259" s="32">
        <v>2246.543694</v>
      </c>
      <c r="E259" s="32">
        <v>3281.5716510000002</v>
      </c>
      <c r="F259" s="32">
        <v>2783.7955550000001</v>
      </c>
      <c r="G259" s="32">
        <v>4080.4926</v>
      </c>
      <c r="H259" s="32">
        <v>3937.9272500000002</v>
      </c>
      <c r="I259" s="32">
        <v>5000</v>
      </c>
      <c r="J259" s="32">
        <v>5500</v>
      </c>
      <c r="K259" s="32">
        <v>5250</v>
      </c>
      <c r="N259" s="31"/>
    </row>
    <row r="260" spans="1:14" x14ac:dyDescent="0.25">
      <c r="C260">
        <v>40</v>
      </c>
      <c r="D260">
        <v>2793.4035178038857</v>
      </c>
      <c r="E260">
        <v>4161.8072413004802</v>
      </c>
      <c r="F260">
        <v>3467.4455717039455</v>
      </c>
      <c r="G260">
        <v>4952.870666612901</v>
      </c>
      <c r="H260">
        <v>4884.3114973129195</v>
      </c>
      <c r="I260">
        <v>6000</v>
      </c>
      <c r="J260">
        <v>6500</v>
      </c>
      <c r="K260">
        <v>6250</v>
      </c>
      <c r="L260" s="31">
        <v>45.339468308047302</v>
      </c>
      <c r="N260" s="31"/>
    </row>
    <row r="261" spans="1:14" x14ac:dyDescent="0.25">
      <c r="C261">
        <v>50</v>
      </c>
      <c r="D261">
        <v>3340.337070853253</v>
      </c>
      <c r="E261">
        <v>5041.895550541346</v>
      </c>
      <c r="F261">
        <v>4151.1867951017803</v>
      </c>
      <c r="G261">
        <v>5824.9509145836782</v>
      </c>
      <c r="H261">
        <v>5830.8506734886068</v>
      </c>
      <c r="I261">
        <v>7000</v>
      </c>
      <c r="J261">
        <v>7500</v>
      </c>
      <c r="K261">
        <v>7250</v>
      </c>
      <c r="L261" s="31">
        <v>0</v>
      </c>
      <c r="N261" s="31"/>
    </row>
    <row r="262" spans="1:14" x14ac:dyDescent="0.25">
      <c r="C262">
        <v>60</v>
      </c>
      <c r="D262">
        <v>3887.270040225555</v>
      </c>
      <c r="E262">
        <v>5917.850696577043</v>
      </c>
      <c r="F262">
        <v>4834.2023223260903</v>
      </c>
      <c r="G262">
        <v>6691.201712157912</v>
      </c>
      <c r="H262">
        <v>6777.4710887167075</v>
      </c>
      <c r="I262">
        <v>8000</v>
      </c>
      <c r="J262">
        <v>8500</v>
      </c>
      <c r="K262">
        <v>8250</v>
      </c>
      <c r="L262" s="31">
        <v>911.35902517290697</v>
      </c>
      <c r="N262" s="31"/>
    </row>
    <row r="263" spans="1:14" x14ac:dyDescent="0.25">
      <c r="L263" s="31">
        <v>277.440466834696</v>
      </c>
      <c r="N263" s="31"/>
    </row>
    <row r="264" spans="1:14" x14ac:dyDescent="0.25">
      <c r="L264" s="31">
        <v>0</v>
      </c>
      <c r="N264" s="31"/>
    </row>
    <row r="265" spans="1:14" x14ac:dyDescent="0.25">
      <c r="D265" s="10">
        <f>(D262-D257)/D257</f>
        <v>1.8982470640122429</v>
      </c>
      <c r="E265" s="10">
        <f t="shared" ref="E265:H265" si="25">(E262-E257)/E257</f>
        <v>2.4528064831361212</v>
      </c>
      <c r="F265" s="10">
        <f t="shared" si="25"/>
        <v>1.9404490138846222</v>
      </c>
      <c r="G265" s="10">
        <f t="shared" si="25"/>
        <v>1.4917514351287766</v>
      </c>
      <c r="H265" s="10">
        <f t="shared" si="25"/>
        <v>1.8039723102583292</v>
      </c>
      <c r="L265" s="31">
        <v>0</v>
      </c>
      <c r="N265" s="31"/>
    </row>
    <row r="266" spans="1:14" x14ac:dyDescent="0.25">
      <c r="L266" s="31">
        <v>0</v>
      </c>
      <c r="N266" s="31"/>
    </row>
    <row r="267" spans="1:14" x14ac:dyDescent="0.25">
      <c r="L267" s="31">
        <v>7.3964749532329302E-2</v>
      </c>
      <c r="N267" s="31"/>
    </row>
    <row r="268" spans="1:14" x14ac:dyDescent="0.25">
      <c r="C268" t="s">
        <v>2858</v>
      </c>
      <c r="D268" t="str">
        <f>J177</f>
        <v>Long Beach, CA</v>
      </c>
      <c r="E268" s="31" t="str">
        <f t="shared" ref="E268:J268" si="26">K177</f>
        <v>Portland, OR</v>
      </c>
      <c r="F268" s="31" t="str">
        <f t="shared" si="26"/>
        <v>Portland, ME</v>
      </c>
      <c r="G268" s="31" t="str">
        <f t="shared" si="26"/>
        <v>Miami, FL</v>
      </c>
      <c r="H268" s="31" t="str">
        <f t="shared" si="26"/>
        <v>Denver, CO</v>
      </c>
      <c r="I268" s="31" t="str">
        <f t="shared" si="26"/>
        <v>Detroit, MI</v>
      </c>
      <c r="J268" s="31" t="str">
        <f t="shared" si="26"/>
        <v>Barrow, AK</v>
      </c>
      <c r="K268" s="31" t="str">
        <f>Q177</f>
        <v>Kaneohe Bay, HI</v>
      </c>
      <c r="L268" s="31">
        <v>0.246381591496246</v>
      </c>
      <c r="N268" s="31"/>
    </row>
    <row r="269" spans="1:14" x14ac:dyDescent="0.25">
      <c r="C269">
        <v>12</v>
      </c>
      <c r="D269">
        <v>1790.0669340993627</v>
      </c>
      <c r="E269">
        <v>2219.7731202136047</v>
      </c>
      <c r="F269">
        <v>2117.2272481705468</v>
      </c>
      <c r="G269">
        <v>2763.8917230783418</v>
      </c>
      <c r="H269">
        <v>3047.5652012889868</v>
      </c>
      <c r="I269">
        <v>3166.2901906511211</v>
      </c>
      <c r="J269">
        <v>2932.6362654249592</v>
      </c>
      <c r="K269">
        <v>3910.428705626347</v>
      </c>
      <c r="L269" s="31">
        <v>345.16941147492503</v>
      </c>
      <c r="N269" s="31"/>
    </row>
    <row r="270" spans="1:14" x14ac:dyDescent="0.25">
      <c r="C270">
        <v>60</v>
      </c>
      <c r="D270">
        <v>4657.5820627860467</v>
      </c>
      <c r="E270">
        <v>6685.2416535598495</v>
      </c>
      <c r="F270">
        <v>5606.824177607501</v>
      </c>
      <c r="G270">
        <v>7342.3302063198817</v>
      </c>
      <c r="H270">
        <v>7267.3802661125355</v>
      </c>
      <c r="I270">
        <v>7568.3415316807113</v>
      </c>
      <c r="J270">
        <v>10280.711128221064</v>
      </c>
      <c r="K270">
        <v>9362.6837009834726</v>
      </c>
      <c r="L270" s="31">
        <v>1.8738491283660299</v>
      </c>
      <c r="N270" s="31"/>
    </row>
    <row r="271" spans="1:14" x14ac:dyDescent="0.25">
      <c r="L271" s="31">
        <v>0.627661736288327</v>
      </c>
      <c r="N271" s="31"/>
    </row>
    <row r="272" spans="1:14" x14ac:dyDescent="0.25">
      <c r="D272" s="10">
        <f>(D270-D269)/D269</f>
        <v>1.6019038584886316</v>
      </c>
      <c r="E272" s="10">
        <f t="shared" ref="E272:K272" si="27">(E270-E269)/E269</f>
        <v>2.0116779019815056</v>
      </c>
      <c r="F272" s="10">
        <f t="shared" si="27"/>
        <v>1.6481919607128825</v>
      </c>
      <c r="G272" s="10">
        <f t="shared" si="27"/>
        <v>1.6565187575952538</v>
      </c>
      <c r="H272" s="10">
        <f t="shared" si="27"/>
        <v>1.3846512826169401</v>
      </c>
      <c r="I272" s="10">
        <f t="shared" si="27"/>
        <v>1.3902867633633873</v>
      </c>
      <c r="J272" s="10">
        <f t="shared" si="27"/>
        <v>2.5056209491194159</v>
      </c>
      <c r="K272" s="10">
        <f t="shared" si="27"/>
        <v>1.3942857435330274</v>
      </c>
      <c r="L272" s="31">
        <v>0.83159783560168898</v>
      </c>
      <c r="N272" s="31"/>
    </row>
    <row r="273" spans="3:27" s="31" customFormat="1" x14ac:dyDescent="0.25">
      <c r="D273" s="10"/>
      <c r="E273" s="10"/>
      <c r="F273" s="10"/>
      <c r="G273" s="10"/>
      <c r="H273" s="10"/>
      <c r="I273" s="10"/>
      <c r="J273" s="10"/>
      <c r="K273" s="10"/>
      <c r="L273" s="31">
        <v>191.32599725047501</v>
      </c>
      <c r="T273" s="10"/>
      <c r="U273" s="10"/>
      <c r="V273" s="10"/>
      <c r="W273" s="10"/>
      <c r="X273" s="10"/>
      <c r="Y273" s="10"/>
      <c r="Z273" s="10"/>
      <c r="AA273" s="10"/>
    </row>
    <row r="274" spans="3:27" s="31" customFormat="1" ht="15.75" thickBot="1" x14ac:dyDescent="0.3">
      <c r="C274" s="48" t="s">
        <v>1648</v>
      </c>
      <c r="D274" s="48" t="s">
        <v>2281</v>
      </c>
      <c r="E274" s="48" t="s">
        <v>2282</v>
      </c>
      <c r="F274" s="48" t="s">
        <v>2283</v>
      </c>
      <c r="G274" s="48" t="s">
        <v>2349</v>
      </c>
      <c r="H274" s="48" t="s">
        <v>2284</v>
      </c>
      <c r="I274" s="741" t="s">
        <v>2489</v>
      </c>
      <c r="J274" s="741" t="s">
        <v>2490</v>
      </c>
      <c r="K274" s="741" t="s">
        <v>2491</v>
      </c>
      <c r="L274" s="31">
        <v>2.0966714736283101</v>
      </c>
      <c r="T274" s="10"/>
      <c r="U274" s="10"/>
      <c r="V274" s="10"/>
      <c r="W274" s="10"/>
      <c r="X274" s="10"/>
      <c r="Y274" s="10"/>
      <c r="Z274" s="10"/>
      <c r="AA274" s="10"/>
    </row>
    <row r="275" spans="3:27" s="31" customFormat="1" x14ac:dyDescent="0.25">
      <c r="C275" s="31">
        <v>10</v>
      </c>
      <c r="D275" s="31">
        <v>1587.9174633465366</v>
      </c>
      <c r="E275" s="31">
        <v>1952.0247989147097</v>
      </c>
      <c r="F275" s="31">
        <v>1885.1184701177594</v>
      </c>
      <c r="G275" s="31">
        <v>2775.0143060319374</v>
      </c>
      <c r="H275" s="31">
        <v>2479.4153674912664</v>
      </c>
      <c r="I275" s="31">
        <v>2545.7694200201081</v>
      </c>
      <c r="J275" s="31">
        <v>3570.6355138831482</v>
      </c>
      <c r="K275" s="31">
        <v>2869.9506211813227</v>
      </c>
      <c r="L275" s="31">
        <v>1.0265977798802099</v>
      </c>
      <c r="T275" s="10"/>
      <c r="U275" s="10"/>
      <c r="V275" s="10"/>
      <c r="W275" s="10"/>
      <c r="X275" s="10"/>
      <c r="Y275" s="10"/>
      <c r="Z275" s="10"/>
      <c r="AA275" s="10"/>
    </row>
    <row r="276" spans="3:27" s="31" customFormat="1" x14ac:dyDescent="0.25">
      <c r="C276" s="31">
        <v>20</v>
      </c>
      <c r="D276" s="31">
        <v>2187.9734929671636</v>
      </c>
      <c r="E276" s="31">
        <v>2886.5988900618399</v>
      </c>
      <c r="F276" s="31">
        <v>2635.3865874217468</v>
      </c>
      <c r="G276" s="31">
        <v>3355.3149963760993</v>
      </c>
      <c r="H276" s="31">
        <v>3500.543442488141</v>
      </c>
      <c r="I276" s="31">
        <v>4077.0873960633749</v>
      </c>
      <c r="J276" s="31">
        <v>4884.5110668563248</v>
      </c>
      <c r="K276" s="31">
        <v>3916.9026679700914</v>
      </c>
      <c r="L276" s="31">
        <v>0.188953706904364</v>
      </c>
      <c r="T276" s="10"/>
      <c r="U276" s="10"/>
      <c r="V276" s="10"/>
      <c r="W276" s="10"/>
      <c r="X276" s="10"/>
      <c r="Y276" s="10"/>
      <c r="Z276" s="10"/>
      <c r="AA276" s="10"/>
    </row>
    <row r="277" spans="3:27" s="31" customFormat="1" x14ac:dyDescent="0.25">
      <c r="C277" s="31">
        <v>30</v>
      </c>
      <c r="D277" s="31">
        <v>2578.6895449775511</v>
      </c>
      <c r="E277" s="31">
        <v>3603.9419166253479</v>
      </c>
      <c r="F277" s="31">
        <v>3118.3227080924676</v>
      </c>
      <c r="G277" s="31">
        <v>4239.2093596354671</v>
      </c>
      <c r="H277" s="31">
        <v>4124.0696296054894</v>
      </c>
      <c r="I277" s="31">
        <v>5395.6234778948974</v>
      </c>
      <c r="J277" s="31">
        <v>5480.2204379093791</v>
      </c>
      <c r="K277" s="31">
        <v>4406.7828423135843</v>
      </c>
      <c r="L277" s="31">
        <v>3.8982274507707499</v>
      </c>
      <c r="T277" s="10"/>
      <c r="U277" s="10"/>
      <c r="V277" s="10"/>
      <c r="W277" s="10"/>
      <c r="X277" s="10"/>
      <c r="Y277" s="10"/>
      <c r="Z277" s="10"/>
      <c r="AA277" s="10"/>
    </row>
    <row r="278" spans="3:27" s="31" customFormat="1" x14ac:dyDescent="0.25">
      <c r="C278" s="31">
        <v>40</v>
      </c>
      <c r="D278" s="31">
        <v>3138.2214531055174</v>
      </c>
      <c r="E278" s="31">
        <v>4490.8169946522175</v>
      </c>
      <c r="F278" s="31">
        <v>3811.1122604528682</v>
      </c>
      <c r="G278" s="31">
        <v>5110.878240190118</v>
      </c>
      <c r="H278" s="31">
        <v>5070.6975200589732</v>
      </c>
      <c r="I278" s="31">
        <v>6879.5377928797507</v>
      </c>
      <c r="J278" s="31">
        <v>6659.5398430503446</v>
      </c>
      <c r="K278" s="31">
        <v>5321.3413386746806</v>
      </c>
      <c r="L278" s="31">
        <v>133.33488267000399</v>
      </c>
      <c r="T278" s="10"/>
      <c r="U278" s="10"/>
      <c r="V278" s="10"/>
      <c r="W278" s="10"/>
      <c r="X278" s="10"/>
      <c r="Y278" s="10"/>
      <c r="Z278" s="10"/>
      <c r="AA278" s="10"/>
    </row>
    <row r="279" spans="3:27" s="31" customFormat="1" x14ac:dyDescent="0.25">
      <c r="C279" s="31">
        <v>50</v>
      </c>
      <c r="D279" s="32">
        <v>3683.5446768312354</v>
      </c>
      <c r="E279" s="32">
        <v>5374.4538269520635</v>
      </c>
      <c r="F279" s="32">
        <v>4492.5982264684162</v>
      </c>
      <c r="G279" s="32">
        <v>5971.1495355808602</v>
      </c>
      <c r="H279" s="32">
        <v>6008.9213321200941</v>
      </c>
      <c r="I279" s="31">
        <v>8369.65580170057</v>
      </c>
      <c r="J279" s="31">
        <v>7832.21700052913</v>
      </c>
      <c r="K279" s="31">
        <v>6229.8700677523066</v>
      </c>
      <c r="L279" s="31">
        <v>7.5105598976807801</v>
      </c>
      <c r="T279" s="10"/>
      <c r="U279" s="10"/>
      <c r="V279" s="10"/>
      <c r="W279" s="10"/>
      <c r="X279" s="10"/>
      <c r="Y279" s="10"/>
      <c r="Z279" s="10"/>
      <c r="AA279" s="10"/>
    </row>
    <row r="280" spans="3:27" s="31" customFormat="1" x14ac:dyDescent="0.25">
      <c r="C280" s="31">
        <v>60</v>
      </c>
      <c r="D280" s="31">
        <v>4237.8717908589997</v>
      </c>
      <c r="E280" s="31">
        <v>6265.5313816328025</v>
      </c>
      <c r="F280" s="31">
        <v>5187.1139056804532</v>
      </c>
      <c r="G280" s="31">
        <v>6847.6699941854868</v>
      </c>
      <c r="H280" s="31">
        <v>6922.6199343928347</v>
      </c>
      <c r="I280" s="31">
        <v>9861.0008562940129</v>
      </c>
      <c r="J280" s="31">
        <v>8942.9734290564193</v>
      </c>
      <c r="K280" s="31">
        <v>7148.6312597536644</v>
      </c>
      <c r="L280" s="31">
        <v>5.0225807477281899E-2</v>
      </c>
      <c r="T280" s="10"/>
      <c r="U280" s="10"/>
      <c r="V280" s="10"/>
      <c r="W280" s="10"/>
      <c r="X280" s="10"/>
      <c r="Y280" s="10"/>
      <c r="Z280" s="10"/>
      <c r="AA280" s="10"/>
    </row>
    <row r="281" spans="3:27" s="31" customFormat="1" x14ac:dyDescent="0.25">
      <c r="L281" s="31">
        <v>1.21433638282359</v>
      </c>
      <c r="T281" s="10"/>
      <c r="U281" s="10"/>
      <c r="V281" s="10"/>
      <c r="W281" s="10"/>
      <c r="X281" s="10"/>
      <c r="Y281" s="10"/>
      <c r="Z281" s="10"/>
      <c r="AA281" s="10"/>
    </row>
    <row r="282" spans="3:27" s="31" customFormat="1" x14ac:dyDescent="0.25">
      <c r="L282" s="31">
        <v>7.3918207234744404</v>
      </c>
      <c r="T282" s="10"/>
      <c r="U282" s="10"/>
      <c r="V282" s="10"/>
      <c r="W282" s="10"/>
      <c r="X282" s="10"/>
      <c r="Y282" s="10"/>
      <c r="Z282" s="10"/>
      <c r="AA282" s="10"/>
    </row>
    <row r="283" spans="3:27" s="31" customFormat="1" x14ac:dyDescent="0.25">
      <c r="D283" s="10">
        <f>(D280-D275)/D275</f>
        <v>1.668823719545022</v>
      </c>
      <c r="E283" s="10">
        <f t="shared" ref="E283:K283" si="28">(E280-E275)/E275</f>
        <v>2.2097601347668969</v>
      </c>
      <c r="F283" s="10">
        <f t="shared" si="28"/>
        <v>1.7516116296693145</v>
      </c>
      <c r="G283" s="10">
        <f t="shared" si="28"/>
        <v>1.4676161053660086</v>
      </c>
      <c r="H283" s="10">
        <f t="shared" si="28"/>
        <v>1.7920371976226444</v>
      </c>
      <c r="I283" s="10">
        <f t="shared" si="28"/>
        <v>2.8734854691655949</v>
      </c>
      <c r="J283" s="10">
        <f t="shared" si="28"/>
        <v>1.5045887193707796</v>
      </c>
      <c r="K283" s="10">
        <f t="shared" si="28"/>
        <v>1.4908551411979207</v>
      </c>
      <c r="L283" s="31">
        <v>28.2918789438795</v>
      </c>
      <c r="T283" s="10"/>
      <c r="U283" s="10"/>
      <c r="V283" s="10"/>
      <c r="W283" s="10"/>
      <c r="X283" s="10"/>
      <c r="Y283" s="10"/>
      <c r="Z283" s="10"/>
      <c r="AA283" s="10"/>
    </row>
    <row r="284" spans="3:27" x14ac:dyDescent="0.25">
      <c r="L284" s="31">
        <v>28.2918789438795</v>
      </c>
      <c r="N284" s="31"/>
      <c r="Q284" s="32"/>
    </row>
    <row r="285" spans="3:27" x14ac:dyDescent="0.25">
      <c r="L285" s="31">
        <v>35.252936536917503</v>
      </c>
      <c r="N285" s="31"/>
    </row>
    <row r="286" spans="3:27" x14ac:dyDescent="0.25">
      <c r="C286" s="69" t="s">
        <v>2280</v>
      </c>
      <c r="D286" s="69" t="s">
        <v>212</v>
      </c>
      <c r="E286" s="69" t="s">
        <v>2274</v>
      </c>
      <c r="F286" s="69" t="s">
        <v>2252</v>
      </c>
      <c r="G286" s="69" t="s">
        <v>2273</v>
      </c>
      <c r="L286" s="31">
        <v>1.3033532362270901</v>
      </c>
      <c r="N286" s="31"/>
    </row>
    <row r="287" spans="3:27" x14ac:dyDescent="0.25">
      <c r="C287" s="69">
        <v>265</v>
      </c>
      <c r="D287" s="69" t="s">
        <v>2270</v>
      </c>
      <c r="E287" s="69" t="s">
        <v>2271</v>
      </c>
      <c r="F287" s="69" t="s">
        <v>2195</v>
      </c>
      <c r="G287" s="69">
        <v>722970</v>
      </c>
      <c r="L287" s="31">
        <v>441.680817194859</v>
      </c>
      <c r="N287" s="31"/>
    </row>
    <row r="288" spans="3:27" x14ac:dyDescent="0.25">
      <c r="C288" s="69">
        <v>750</v>
      </c>
      <c r="D288" s="69" t="s">
        <v>2276</v>
      </c>
      <c r="E288" s="69" t="s">
        <v>2275</v>
      </c>
      <c r="F288" s="69" t="s">
        <v>2209</v>
      </c>
      <c r="G288" s="69">
        <v>726060</v>
      </c>
      <c r="L288" s="31">
        <v>18.181297848809098</v>
      </c>
      <c r="N288" s="31"/>
    </row>
    <row r="289" spans="3:27" x14ac:dyDescent="0.25">
      <c r="C289" s="69">
        <v>876</v>
      </c>
      <c r="D289" s="69" t="s">
        <v>2276</v>
      </c>
      <c r="E289" s="69" t="s">
        <v>2275</v>
      </c>
      <c r="F289" s="69" t="s">
        <v>2227</v>
      </c>
      <c r="G289" s="69">
        <v>726986</v>
      </c>
      <c r="L289" s="31">
        <v>15.533842678424501</v>
      </c>
      <c r="N289" s="31"/>
    </row>
    <row r="290" spans="3:27" x14ac:dyDescent="0.25">
      <c r="C290" s="69">
        <v>509</v>
      </c>
      <c r="D290" s="69" t="s">
        <v>2278</v>
      </c>
      <c r="E290" s="69" t="s">
        <v>2277</v>
      </c>
      <c r="F290" s="69" t="s">
        <v>2196</v>
      </c>
      <c r="G290" s="69">
        <v>724666</v>
      </c>
      <c r="L290" s="31">
        <v>126.22524014196399</v>
      </c>
      <c r="N290" s="31"/>
    </row>
    <row r="291" spans="3:27" x14ac:dyDescent="0.25">
      <c r="C291" s="69">
        <v>84</v>
      </c>
      <c r="D291" s="69" t="s">
        <v>2278</v>
      </c>
      <c r="E291" s="69" t="s">
        <v>2279</v>
      </c>
      <c r="F291" s="69" t="s">
        <v>2199</v>
      </c>
      <c r="G291" s="69">
        <v>722020</v>
      </c>
      <c r="L291" s="31">
        <v>10.2895342729242</v>
      </c>
      <c r="N291" s="31"/>
    </row>
    <row r="292" spans="3:27" x14ac:dyDescent="0.25">
      <c r="C292" s="69">
        <v>6</v>
      </c>
      <c r="D292" s="69" t="s">
        <v>2278</v>
      </c>
      <c r="E292" s="69" t="s">
        <v>2492</v>
      </c>
      <c r="F292" s="69" t="s">
        <v>2192</v>
      </c>
      <c r="G292" s="69">
        <v>700260</v>
      </c>
      <c r="L292" s="31">
        <v>51.8598495352092</v>
      </c>
      <c r="N292" s="31"/>
    </row>
    <row r="293" spans="3:27" x14ac:dyDescent="0.25">
      <c r="C293" s="69">
        <v>1003</v>
      </c>
      <c r="D293" s="69" t="s">
        <v>2278</v>
      </c>
      <c r="E293" s="69" t="s">
        <v>2493</v>
      </c>
      <c r="F293" s="69" t="s">
        <v>2201</v>
      </c>
      <c r="G293" s="69">
        <v>911760</v>
      </c>
      <c r="L293" s="31">
        <v>59.516617603510298</v>
      </c>
      <c r="N293" s="31"/>
    </row>
    <row r="294" spans="3:27" x14ac:dyDescent="0.25">
      <c r="C294" s="69">
        <v>631</v>
      </c>
      <c r="D294" s="69" t="s">
        <v>2278</v>
      </c>
      <c r="E294" s="69" t="s">
        <v>2494</v>
      </c>
      <c r="F294" s="69" t="s">
        <v>2212</v>
      </c>
      <c r="G294" s="69">
        <v>725370</v>
      </c>
      <c r="L294" s="31">
        <v>3.44607078750736</v>
      </c>
      <c r="N294" s="31"/>
    </row>
    <row r="295" spans="3:27" x14ac:dyDescent="0.25">
      <c r="L295" s="31">
        <v>-1.8333333333333299</v>
      </c>
      <c r="N295" s="213"/>
    </row>
    <row r="296" spans="3:27" x14ac:dyDescent="0.25">
      <c r="L296" s="31">
        <v>-203.27066434564901</v>
      </c>
    </row>
    <row r="297" spans="3:27" x14ac:dyDescent="0.25">
      <c r="C297" s="31"/>
      <c r="D297" s="31"/>
      <c r="E297" s="31"/>
      <c r="F297" s="31"/>
      <c r="G297" s="31"/>
      <c r="L297" s="37">
        <f>SUM(L260:L296)</f>
        <v>2545.7694200201081</v>
      </c>
    </row>
    <row r="298" spans="3:27" x14ac:dyDescent="0.25">
      <c r="C298" s="73"/>
      <c r="D298" s="621" t="s">
        <v>835</v>
      </c>
      <c r="E298" s="621" t="s">
        <v>390</v>
      </c>
      <c r="F298" s="621" t="s">
        <v>77</v>
      </c>
      <c r="G298" s="621" t="s">
        <v>1889</v>
      </c>
      <c r="L298" s="31"/>
    </row>
    <row r="299" spans="3:27" s="31" customFormat="1" x14ac:dyDescent="0.25">
      <c r="C299" t="s">
        <v>2475</v>
      </c>
      <c r="D299" s="619">
        <f>'Indoor Inputs'!F80</f>
        <v>26.666666666666668</v>
      </c>
      <c r="E299" s="619">
        <f>'Indoor Inputs'!F81</f>
        <v>23.888888888888889</v>
      </c>
      <c r="F299" s="619">
        <f>'Indoor Inputs'!F82</f>
        <v>29.444444444444443</v>
      </c>
      <c r="G299" s="619">
        <f>'Indoor Inputs'!F83</f>
        <v>23.888888888888889</v>
      </c>
      <c r="T299" s="10"/>
      <c r="U299" s="10"/>
      <c r="V299" s="10"/>
      <c r="W299" s="10"/>
      <c r="X299" s="10"/>
      <c r="Y299" s="10"/>
      <c r="Z299" s="10"/>
      <c r="AA299" s="10"/>
    </row>
    <row r="300" spans="3:27" s="31" customFormat="1" x14ac:dyDescent="0.25">
      <c r="C300" t="s">
        <v>2472</v>
      </c>
      <c r="D300" s="619">
        <f>'Indoor Inputs'!H87</f>
        <v>21.111111111111111</v>
      </c>
      <c r="E300" s="619">
        <f>'Indoor Inputs'!H86</f>
        <v>15.555555555555555</v>
      </c>
      <c r="F300" s="619">
        <f>'Indoor Inputs'!H87</f>
        <v>21.111111111111111</v>
      </c>
      <c r="G300" s="619">
        <f>'Indoor Inputs'!H88</f>
        <v>15.555555555555555</v>
      </c>
      <c r="T300" s="10"/>
      <c r="U300" s="10"/>
      <c r="V300" s="10"/>
      <c r="W300" s="10"/>
      <c r="X300" s="10"/>
      <c r="Y300" s="10"/>
      <c r="Z300" s="10"/>
      <c r="AA300" s="10"/>
    </row>
    <row r="301" spans="3:27" x14ac:dyDescent="0.25">
      <c r="C301" s="31" t="s">
        <v>2473</v>
      </c>
      <c r="D301" s="620">
        <f>'Indoor Inputs'!F65</f>
        <v>0.7</v>
      </c>
      <c r="E301" s="620">
        <f>'Indoor Inputs'!F68</f>
        <v>0.5</v>
      </c>
      <c r="F301" s="620">
        <f>'Indoor Inputs'!F71</f>
        <v>0.5</v>
      </c>
      <c r="G301" s="620">
        <f>'Indoor Inputs'!F74</f>
        <v>0.5</v>
      </c>
      <c r="L301" s="31"/>
    </row>
    <row r="302" spans="3:27" x14ac:dyDescent="0.25">
      <c r="C302" s="31" t="s">
        <v>2474</v>
      </c>
      <c r="D302" s="620">
        <f>'Indoor Inputs'!H67</f>
        <v>0.4</v>
      </c>
      <c r="E302" s="620">
        <f>'Indoor Inputs'!H70</f>
        <v>0.4</v>
      </c>
      <c r="F302" s="620">
        <f>'Indoor Inputs'!H73</f>
        <v>0.4</v>
      </c>
      <c r="G302" s="620">
        <f>'Indoor Inputs'!H76</f>
        <v>0.3</v>
      </c>
      <c r="L302" s="31"/>
    </row>
    <row r="303" spans="3:27" ht="17.25" x14ac:dyDescent="0.25">
      <c r="C303" s="53" t="s">
        <v>2477</v>
      </c>
      <c r="D303" s="622">
        <f>'Indoor Inputs'!G60</f>
        <v>403.64625000000001</v>
      </c>
      <c r="E303" s="622">
        <f>'Indoor Inputs'!G61</f>
        <v>403.64625000000001</v>
      </c>
      <c r="F303" s="622">
        <f>'Indoor Inputs'!G62</f>
        <v>672.74374999999998</v>
      </c>
      <c r="G303" s="622">
        <f>'Indoor Inputs'!G63</f>
        <v>30</v>
      </c>
      <c r="L303" s="31"/>
    </row>
    <row r="304" spans="3:27" x14ac:dyDescent="0.25">
      <c r="C304" s="53" t="s">
        <v>2478</v>
      </c>
      <c r="D304" s="623">
        <f>'Indoor Inputs'!G55</f>
        <v>24</v>
      </c>
      <c r="E304" s="623">
        <f>'Indoor Inputs'!G56</f>
        <v>18</v>
      </c>
      <c r="F304" s="623">
        <f>'Indoor Inputs'!G57</f>
        <v>12</v>
      </c>
      <c r="G304" s="623">
        <f>'Indoor Inputs'!G58</f>
        <v>18</v>
      </c>
      <c r="L304" s="31"/>
    </row>
    <row r="305" spans="2:27" x14ac:dyDescent="0.25">
      <c r="C305" s="73" t="s">
        <v>2476</v>
      </c>
      <c r="D305" s="613" t="s">
        <v>1241</v>
      </c>
      <c r="E305" s="613">
        <v>700</v>
      </c>
      <c r="F305" s="613">
        <v>1400</v>
      </c>
      <c r="G305" s="613" t="s">
        <v>1241</v>
      </c>
      <c r="L305" s="31"/>
    </row>
    <row r="306" spans="2:27" x14ac:dyDescent="0.25">
      <c r="C306" s="31"/>
      <c r="L306" s="31"/>
    </row>
    <row r="307" spans="2:27" x14ac:dyDescent="0.25">
      <c r="L307" s="31"/>
    </row>
    <row r="308" spans="2:27" x14ac:dyDescent="0.25">
      <c r="L308" s="37"/>
    </row>
    <row r="310" spans="2:27" s="624" customFormat="1" x14ac:dyDescent="0.25">
      <c r="T310" s="630"/>
      <c r="U310" s="630"/>
      <c r="V310" s="630"/>
      <c r="W310" s="630"/>
      <c r="X310" s="630"/>
      <c r="Y310" s="630"/>
      <c r="Z310" s="630"/>
      <c r="AA310" s="630"/>
    </row>
    <row r="311" spans="2:27" ht="15.75" thickBot="1" x14ac:dyDescent="0.3"/>
    <row r="312" spans="2:27" ht="15.75" thickBot="1" x14ac:dyDescent="0.3">
      <c r="C312" s="800" t="s">
        <v>2284</v>
      </c>
      <c r="D312" s="796"/>
      <c r="E312" s="796"/>
      <c r="F312" s="796"/>
      <c r="G312" s="796"/>
      <c r="H312" s="796"/>
      <c r="I312" s="797"/>
    </row>
    <row r="313" spans="2:27" x14ac:dyDescent="0.25">
      <c r="C313" s="265">
        <v>5</v>
      </c>
      <c r="D313" s="265">
        <v>10</v>
      </c>
      <c r="E313" s="265">
        <v>20</v>
      </c>
      <c r="F313" s="265">
        <v>30</v>
      </c>
      <c r="G313" s="265">
        <v>40</v>
      </c>
      <c r="H313" s="265">
        <v>50</v>
      </c>
      <c r="I313" s="265">
        <v>60</v>
      </c>
    </row>
    <row r="314" spans="2:27" x14ac:dyDescent="0.25">
      <c r="B314" s="171" t="s">
        <v>978</v>
      </c>
      <c r="C314" s="31">
        <v>7.7381413597606397</v>
      </c>
      <c r="D314" s="31">
        <v>15.476282719521301</v>
      </c>
      <c r="E314" s="31">
        <v>30.952565439042601</v>
      </c>
      <c r="F314" s="31">
        <v>46.428848158563902</v>
      </c>
    </row>
    <row r="315" spans="2:27" x14ac:dyDescent="0.25">
      <c r="B315" s="171" t="s">
        <v>979</v>
      </c>
      <c r="C315" s="31">
        <v>0.914966409382031</v>
      </c>
      <c r="D315" s="31">
        <v>1.82993281876406</v>
      </c>
      <c r="E315" s="31">
        <v>3.6598656375281302</v>
      </c>
      <c r="F315" s="31">
        <v>5.4897984562921902</v>
      </c>
    </row>
    <row r="316" spans="2:27" x14ac:dyDescent="0.25">
      <c r="B316" s="171" t="s">
        <v>2304</v>
      </c>
      <c r="C316" s="31">
        <v>7.4182683787597403</v>
      </c>
      <c r="D316" s="31">
        <v>14.8365367575195</v>
      </c>
      <c r="E316" s="31">
        <v>29.673073515039</v>
      </c>
      <c r="F316" s="31">
        <v>44.509610272558497</v>
      </c>
    </row>
    <row r="317" spans="2:27" x14ac:dyDescent="0.25">
      <c r="B317" s="171" t="s">
        <v>2303</v>
      </c>
      <c r="C317" s="31">
        <v>3.2727399975337401</v>
      </c>
      <c r="D317" s="31">
        <v>6.5454799950674696</v>
      </c>
      <c r="E317" s="31">
        <v>13.0909599901349</v>
      </c>
      <c r="F317" s="31">
        <v>19.636439985202401</v>
      </c>
    </row>
    <row r="318" spans="2:27" x14ac:dyDescent="0.25">
      <c r="B318" s="171" t="s">
        <v>1763</v>
      </c>
      <c r="C318" s="31">
        <v>3.4370942402875602E-2</v>
      </c>
      <c r="D318" s="31">
        <v>6.8741884805751302E-2</v>
      </c>
      <c r="E318" s="31">
        <v>0.13748376961150299</v>
      </c>
      <c r="F318" s="31">
        <v>0.20622565441725399</v>
      </c>
    </row>
    <row r="319" spans="2:27" x14ac:dyDescent="0.25">
      <c r="B319" s="171" t="s">
        <v>2305</v>
      </c>
      <c r="C319" s="31">
        <v>6.6314945132202305E-2</v>
      </c>
      <c r="D319" s="31">
        <v>0.132629890264405</v>
      </c>
      <c r="E319" s="31">
        <v>0.265259780528809</v>
      </c>
      <c r="F319" s="31">
        <v>0.39788967079321402</v>
      </c>
    </row>
    <row r="320" spans="2:27" x14ac:dyDescent="0.25">
      <c r="B320" s="171" t="s">
        <v>2306</v>
      </c>
      <c r="C320" s="31">
        <v>0.16788261415346201</v>
      </c>
      <c r="D320" s="31">
        <v>0.33576522830692401</v>
      </c>
      <c r="E320" s="31">
        <v>0.67153045661384803</v>
      </c>
      <c r="F320" s="31">
        <v>1.0072956849207699</v>
      </c>
    </row>
    <row r="321" spans="2:6" x14ac:dyDescent="0.25">
      <c r="B321" s="171" t="s">
        <v>1761</v>
      </c>
      <c r="C321" s="31">
        <v>209.51627270410299</v>
      </c>
      <c r="D321" s="31">
        <v>419.03254540820598</v>
      </c>
      <c r="E321" s="31">
        <v>838.06509081641104</v>
      </c>
      <c r="F321" s="31">
        <v>1257.0976362246199</v>
      </c>
    </row>
    <row r="322" spans="2:6" x14ac:dyDescent="0.25">
      <c r="B322" s="171" t="s">
        <v>1762</v>
      </c>
      <c r="C322" s="31">
        <v>122.55520251932801</v>
      </c>
      <c r="D322" s="31">
        <v>245.11040503865701</v>
      </c>
      <c r="E322" s="31">
        <v>490.22081007731299</v>
      </c>
      <c r="F322" s="31">
        <v>735.33121511597597</v>
      </c>
    </row>
    <row r="323" spans="2:6" x14ac:dyDescent="0.25">
      <c r="B323" s="171" t="s">
        <v>552</v>
      </c>
      <c r="C323" s="31">
        <v>631.61959219900905</v>
      </c>
      <c r="D323" s="31">
        <v>631.61959219900905</v>
      </c>
      <c r="E323" s="31">
        <v>631.61959219900905</v>
      </c>
      <c r="F323" s="31">
        <v>631.61959219900905</v>
      </c>
    </row>
    <row r="324" spans="2:6" x14ac:dyDescent="0.25">
      <c r="B324" s="171" t="s">
        <v>998</v>
      </c>
      <c r="C324" s="31">
        <v>1.8738491283660299</v>
      </c>
      <c r="D324" s="31">
        <v>1.8738491283660299</v>
      </c>
      <c r="E324" s="31">
        <v>1.8738491283660299</v>
      </c>
      <c r="F324" s="31">
        <v>1.8738491283660299</v>
      </c>
    </row>
    <row r="325" spans="2:6" x14ac:dyDescent="0.25">
      <c r="B325" s="31" t="s">
        <v>1286</v>
      </c>
      <c r="C325" s="31">
        <v>1.1485474573755901</v>
      </c>
      <c r="D325" s="31">
        <v>1.1485474573755901</v>
      </c>
      <c r="E325" s="31">
        <v>1.1485474573755901</v>
      </c>
      <c r="F325" s="31">
        <v>1.1485474573755901</v>
      </c>
    </row>
    <row r="326" spans="2:6" x14ac:dyDescent="0.25">
      <c r="B326" s="31" t="s">
        <v>1282</v>
      </c>
      <c r="C326" s="31">
        <v>1.52172663142972</v>
      </c>
      <c r="D326" s="31">
        <v>1.52172663142972</v>
      </c>
      <c r="E326" s="31">
        <v>1.52172663142972</v>
      </c>
      <c r="F326" s="31">
        <v>1.52172663142972</v>
      </c>
    </row>
    <row r="327" spans="2:6" x14ac:dyDescent="0.25">
      <c r="B327" s="31" t="s">
        <v>721</v>
      </c>
      <c r="C327" s="31">
        <v>121.709768721656</v>
      </c>
      <c r="D327" s="31">
        <v>243.41953744331099</v>
      </c>
      <c r="E327" s="31">
        <v>486.83907488662197</v>
      </c>
      <c r="F327" s="31">
        <v>730.25861232998102</v>
      </c>
    </row>
    <row r="328" spans="2:6" x14ac:dyDescent="0.25">
      <c r="B328" s="31" t="s">
        <v>1862</v>
      </c>
      <c r="C328" s="31">
        <v>2.0966714736283101</v>
      </c>
      <c r="D328" s="31">
        <v>2.0966714736283101</v>
      </c>
      <c r="E328" s="31">
        <v>2.0966714736283101</v>
      </c>
      <c r="F328" s="31">
        <v>2.0966714736283101</v>
      </c>
    </row>
    <row r="329" spans="2:6" x14ac:dyDescent="0.25">
      <c r="B329" s="31" t="s">
        <v>1863</v>
      </c>
      <c r="C329" s="31">
        <v>1.0265977798802099</v>
      </c>
      <c r="D329" s="31">
        <v>1.0265977798802099</v>
      </c>
      <c r="E329" s="31">
        <v>1.0265977798802099</v>
      </c>
      <c r="F329" s="31">
        <v>1.0265977798802099</v>
      </c>
    </row>
    <row r="330" spans="2:6" x14ac:dyDescent="0.25">
      <c r="B330" s="31" t="s">
        <v>1864</v>
      </c>
      <c r="C330" s="31">
        <v>0.188953706904364</v>
      </c>
      <c r="D330" s="31">
        <v>0.188953706904364</v>
      </c>
      <c r="E330" s="31">
        <v>0.188953706904364</v>
      </c>
      <c r="F330" s="31">
        <v>0.188953706904364</v>
      </c>
    </row>
    <row r="331" spans="2:6" x14ac:dyDescent="0.25">
      <c r="B331" s="31" t="s">
        <v>616</v>
      </c>
      <c r="C331" s="31">
        <v>3.8982274507707499</v>
      </c>
      <c r="D331" s="31">
        <v>3.8982274507707499</v>
      </c>
      <c r="E331" s="31">
        <v>3.8982274507707499</v>
      </c>
      <c r="F331" s="31">
        <v>3.8982274507707499</v>
      </c>
    </row>
    <row r="332" spans="2:6" x14ac:dyDescent="0.25">
      <c r="B332" s="31" t="s">
        <v>1210</v>
      </c>
      <c r="C332" s="31">
        <v>133.33488267000399</v>
      </c>
      <c r="D332" s="31">
        <v>133.33488267000399</v>
      </c>
      <c r="E332" s="31">
        <v>133.33488267000399</v>
      </c>
      <c r="F332" s="31">
        <v>133.33488267000399</v>
      </c>
    </row>
    <row r="333" spans="2:6" x14ac:dyDescent="0.25">
      <c r="B333" s="31" t="s">
        <v>2177</v>
      </c>
      <c r="C333" s="31">
        <v>1.21403570948813</v>
      </c>
      <c r="D333" s="31">
        <v>1.21403570948813</v>
      </c>
      <c r="E333" s="31">
        <v>1.21403570948813</v>
      </c>
      <c r="F333" s="31">
        <v>1.21403570948813</v>
      </c>
    </row>
    <row r="334" spans="2:6" x14ac:dyDescent="0.25">
      <c r="B334" s="31" t="s">
        <v>2314</v>
      </c>
      <c r="C334" s="31">
        <v>8.1186921675606306E-3</v>
      </c>
      <c r="D334" s="31">
        <v>8.1186921675606306E-3</v>
      </c>
      <c r="E334" s="31">
        <v>8.1186921675606306E-3</v>
      </c>
      <c r="F334" s="31">
        <v>8.1186921675606306E-3</v>
      </c>
    </row>
    <row r="335" spans="2:6" x14ac:dyDescent="0.25">
      <c r="B335" s="31" t="s">
        <v>2178</v>
      </c>
      <c r="C335" s="31">
        <v>0.19628999064819699</v>
      </c>
      <c r="D335" s="31">
        <v>0.19628999064819699</v>
      </c>
      <c r="E335" s="31">
        <v>0.19628999064819699</v>
      </c>
      <c r="F335" s="31">
        <v>0.19628999064819699</v>
      </c>
    </row>
    <row r="336" spans="2:6" x14ac:dyDescent="0.25">
      <c r="B336" s="31" t="s">
        <v>999</v>
      </c>
      <c r="C336" s="31">
        <v>7.3918207234744404</v>
      </c>
      <c r="D336" s="31">
        <v>7.3918207234744404</v>
      </c>
      <c r="E336" s="31">
        <v>7.3918207234744404</v>
      </c>
      <c r="F336" s="31">
        <v>7.3918207234744404</v>
      </c>
    </row>
    <row r="337" spans="2:27" x14ac:dyDescent="0.25">
      <c r="B337" s="31" t="s">
        <v>1077</v>
      </c>
      <c r="C337" s="31">
        <v>51.770824548788497</v>
      </c>
      <c r="D337" s="31">
        <v>51.770824548788497</v>
      </c>
      <c r="E337" s="31">
        <v>51.770824548788497</v>
      </c>
      <c r="F337" s="31">
        <v>51.770824548788497</v>
      </c>
    </row>
    <row r="338" spans="2:27" x14ac:dyDescent="0.25">
      <c r="B338" s="31" t="s">
        <v>2095</v>
      </c>
      <c r="C338" s="31">
        <v>51.770824548788497</v>
      </c>
      <c r="D338" s="31">
        <v>51.770824548788497</v>
      </c>
      <c r="E338" s="31">
        <v>51.770824548788497</v>
      </c>
      <c r="F338" s="31">
        <v>51.770824548788497</v>
      </c>
    </row>
    <row r="339" spans="2:27" x14ac:dyDescent="0.25">
      <c r="B339" s="31" t="s">
        <v>1078</v>
      </c>
      <c r="C339" s="31">
        <v>64.508744573048403</v>
      </c>
      <c r="D339" s="31">
        <v>64.508744573048403</v>
      </c>
      <c r="E339" s="31">
        <v>64.508744573048403</v>
      </c>
      <c r="F339" s="31">
        <v>64.508744573048403</v>
      </c>
    </row>
    <row r="340" spans="2:27" x14ac:dyDescent="0.25">
      <c r="B340" s="31" t="s">
        <v>2355</v>
      </c>
      <c r="C340" s="31">
        <v>1.3033532362270901</v>
      </c>
      <c r="D340" s="31">
        <v>1.3033532362270901</v>
      </c>
      <c r="E340" s="31">
        <v>1.3033532362270901</v>
      </c>
      <c r="F340" s="31">
        <v>1.3033532362270901</v>
      </c>
    </row>
    <row r="341" spans="2:27" x14ac:dyDescent="0.25">
      <c r="B341" s="31" t="s">
        <v>2030</v>
      </c>
      <c r="C341" s="257">
        <v>49.673008548288003</v>
      </c>
      <c r="D341" s="257">
        <v>46.377104540377204</v>
      </c>
      <c r="E341" s="257">
        <v>44.222103130379203</v>
      </c>
      <c r="F341" s="257">
        <v>43.6960854827879</v>
      </c>
    </row>
    <row r="342" spans="2:27" x14ac:dyDescent="0.25">
      <c r="B342" s="31" t="s">
        <v>2031</v>
      </c>
      <c r="C342" s="257">
        <v>246.424810759743</v>
      </c>
      <c r="D342" s="257">
        <v>254.716354229335</v>
      </c>
      <c r="E342" s="257">
        <v>333.47041277255801</v>
      </c>
      <c r="F342" s="257">
        <v>0</v>
      </c>
    </row>
    <row r="343" spans="2:27" x14ac:dyDescent="0.25">
      <c r="B343" s="31" t="s">
        <v>2098</v>
      </c>
      <c r="C343" s="257">
        <v>0.122613403429507</v>
      </c>
      <c r="D343" s="257">
        <v>0.118239359613118</v>
      </c>
      <c r="E343" s="257">
        <v>0.11662376624406599</v>
      </c>
      <c r="F343" s="257">
        <v>0.11577019876518201</v>
      </c>
    </row>
    <row r="344" spans="2:27" ht="15.75" thickBot="1" x14ac:dyDescent="0.3"/>
    <row r="345" spans="2:27" ht="15.75" thickBot="1" x14ac:dyDescent="0.3">
      <c r="B345" s="31"/>
      <c r="C345" s="800" t="s">
        <v>625</v>
      </c>
      <c r="D345" s="796"/>
      <c r="E345" s="796"/>
      <c r="F345" s="796"/>
      <c r="G345" s="796"/>
      <c r="H345" s="796"/>
      <c r="I345" s="797"/>
      <c r="K345" s="31"/>
      <c r="L345" s="800" t="s">
        <v>2481</v>
      </c>
      <c r="M345" s="796"/>
      <c r="N345" s="796"/>
      <c r="O345" s="796"/>
      <c r="P345" s="796"/>
      <c r="Q345" s="796"/>
      <c r="R345" s="797"/>
      <c r="U345" s="801" t="s">
        <v>2481</v>
      </c>
      <c r="V345" s="802"/>
      <c r="W345" s="802"/>
      <c r="X345" s="802"/>
      <c r="Y345" s="802"/>
      <c r="Z345" s="802"/>
      <c r="AA345" s="803"/>
    </row>
    <row r="346" spans="2:27" x14ac:dyDescent="0.25">
      <c r="B346" s="171"/>
      <c r="C346" s="265">
        <v>5</v>
      </c>
      <c r="D346" s="265">
        <v>10</v>
      </c>
      <c r="E346" s="265">
        <v>20</v>
      </c>
      <c r="F346" s="265">
        <v>30</v>
      </c>
      <c r="G346" s="265">
        <v>40</v>
      </c>
      <c r="H346" s="265">
        <v>50</v>
      </c>
      <c r="I346" s="265">
        <v>60</v>
      </c>
      <c r="K346" s="171"/>
      <c r="L346" s="265">
        <v>5</v>
      </c>
      <c r="M346" s="265">
        <v>10</v>
      </c>
      <c r="N346" s="265">
        <v>20</v>
      </c>
      <c r="O346" s="265">
        <v>30</v>
      </c>
      <c r="P346" s="265">
        <v>40</v>
      </c>
      <c r="Q346" s="265">
        <v>50</v>
      </c>
      <c r="R346" s="265">
        <v>60</v>
      </c>
      <c r="U346" s="632">
        <v>5</v>
      </c>
      <c r="V346" s="632">
        <v>10</v>
      </c>
      <c r="W346" s="632">
        <v>20</v>
      </c>
      <c r="X346" s="632">
        <v>30</v>
      </c>
      <c r="Y346" s="632">
        <v>40</v>
      </c>
      <c r="Z346" s="632">
        <v>50</v>
      </c>
      <c r="AA346" s="632">
        <v>60</v>
      </c>
    </row>
    <row r="347" spans="2:27" x14ac:dyDescent="0.25">
      <c r="B347" s="171" t="s">
        <v>978</v>
      </c>
      <c r="C347" s="31">
        <v>25.192440809674</v>
      </c>
      <c r="D347" s="31">
        <v>50.384881619348</v>
      </c>
      <c r="E347" s="31">
        <v>100.769763238696</v>
      </c>
      <c r="F347" s="31">
        <v>151.15464485804401</v>
      </c>
      <c r="G347" s="31">
        <v>201.539526477392</v>
      </c>
      <c r="H347" s="31">
        <v>251.92440809674</v>
      </c>
      <c r="I347" s="31">
        <v>302.30928971608898</v>
      </c>
      <c r="K347" s="171" t="s">
        <v>978</v>
      </c>
      <c r="L347" s="31">
        <v>25.192440809674</v>
      </c>
      <c r="M347" s="31">
        <v>50.384881619348</v>
      </c>
      <c r="N347" s="31">
        <v>100.769763238696</v>
      </c>
      <c r="O347" s="31">
        <v>151.15464485804401</v>
      </c>
      <c r="P347" s="31">
        <v>201.539526477392</v>
      </c>
      <c r="Q347" s="31">
        <v>251.92440809674</v>
      </c>
      <c r="R347" s="31">
        <v>302.30928971608898</v>
      </c>
      <c r="T347" s="631" t="s">
        <v>978</v>
      </c>
      <c r="U347" s="10">
        <f>(L347-C347)/L347</f>
        <v>0</v>
      </c>
      <c r="V347" s="10">
        <f t="shared" ref="V347:AA362" si="29">(M347-D347)/M347</f>
        <v>0</v>
      </c>
      <c r="W347" s="10">
        <f t="shared" si="29"/>
        <v>0</v>
      </c>
      <c r="X347" s="10">
        <f t="shared" si="29"/>
        <v>0</v>
      </c>
      <c r="Y347" s="10">
        <f t="shared" si="29"/>
        <v>0</v>
      </c>
      <c r="Z347" s="10">
        <f t="shared" si="29"/>
        <v>0</v>
      </c>
      <c r="AA347" s="10">
        <f t="shared" si="29"/>
        <v>0</v>
      </c>
    </row>
    <row r="348" spans="2:27" x14ac:dyDescent="0.25">
      <c r="B348" s="171" t="s">
        <v>979</v>
      </c>
      <c r="C348" s="31">
        <v>2.1820723375478002</v>
      </c>
      <c r="D348" s="31">
        <v>4.3641446750956003</v>
      </c>
      <c r="E348" s="31">
        <v>8.7282893501912007</v>
      </c>
      <c r="F348" s="31">
        <v>13.092434025286799</v>
      </c>
      <c r="G348" s="31">
        <v>17.456578700382401</v>
      </c>
      <c r="H348" s="31">
        <v>21.820723375478</v>
      </c>
      <c r="I348" s="31">
        <v>26.184868050573598</v>
      </c>
      <c r="K348" s="171" t="s">
        <v>979</v>
      </c>
      <c r="L348" s="31">
        <v>2.1820723375478002</v>
      </c>
      <c r="M348" s="31">
        <v>4.3641446750956003</v>
      </c>
      <c r="N348" s="31">
        <v>8.7282893501912007</v>
      </c>
      <c r="O348" s="31">
        <v>13.092434025286799</v>
      </c>
      <c r="P348" s="31">
        <v>17.456578700382401</v>
      </c>
      <c r="Q348" s="31">
        <v>21.820723375478</v>
      </c>
      <c r="R348" s="31">
        <v>26.184868050573598</v>
      </c>
      <c r="T348" s="631" t="s">
        <v>979</v>
      </c>
      <c r="U348" s="10">
        <f t="shared" ref="U348:U376" si="30">(L348-C348)/L348</f>
        <v>0</v>
      </c>
      <c r="V348" s="10">
        <f t="shared" si="29"/>
        <v>0</v>
      </c>
      <c r="W348" s="10">
        <f t="shared" si="29"/>
        <v>0</v>
      </c>
      <c r="X348" s="10">
        <f t="shared" si="29"/>
        <v>0</v>
      </c>
      <c r="Y348" s="10">
        <f t="shared" si="29"/>
        <v>0</v>
      </c>
      <c r="Z348" s="10">
        <f t="shared" si="29"/>
        <v>0</v>
      </c>
      <c r="AA348" s="10">
        <f t="shared" si="29"/>
        <v>0</v>
      </c>
    </row>
    <row r="349" spans="2:27" x14ac:dyDescent="0.25">
      <c r="B349" s="171" t="s">
        <v>2304</v>
      </c>
      <c r="C349" s="31">
        <v>161.764536200751</v>
      </c>
      <c r="D349" s="31">
        <v>323.52907240150199</v>
      </c>
      <c r="E349" s="31">
        <v>647.05814480300296</v>
      </c>
      <c r="F349" s="31">
        <v>970.58721720450399</v>
      </c>
      <c r="G349" s="31">
        <v>1294.11628960601</v>
      </c>
      <c r="H349" s="31">
        <v>1617.6453620075199</v>
      </c>
      <c r="I349" s="31">
        <v>1941.17443440901</v>
      </c>
      <c r="K349" s="171" t="s">
        <v>2304</v>
      </c>
      <c r="L349" s="31">
        <v>161.764536200751</v>
      </c>
      <c r="M349" s="31">
        <v>323.52907240150199</v>
      </c>
      <c r="N349" s="31">
        <v>647.05814480300296</v>
      </c>
      <c r="O349" s="31">
        <v>970.58721720450399</v>
      </c>
      <c r="P349" s="31">
        <v>1294.11628960601</v>
      </c>
      <c r="Q349" s="31">
        <v>1617.6453620075199</v>
      </c>
      <c r="R349" s="31">
        <v>1941.17443440901</v>
      </c>
      <c r="T349" s="631" t="s">
        <v>2304</v>
      </c>
      <c r="U349" s="10">
        <f t="shared" si="30"/>
        <v>0</v>
      </c>
      <c r="V349" s="10">
        <f t="shared" si="29"/>
        <v>0</v>
      </c>
      <c r="W349" s="10">
        <f t="shared" si="29"/>
        <v>0</v>
      </c>
      <c r="X349" s="10">
        <f t="shared" si="29"/>
        <v>0</v>
      </c>
      <c r="Y349" s="10">
        <f t="shared" si="29"/>
        <v>0</v>
      </c>
      <c r="Z349" s="10">
        <f t="shared" si="29"/>
        <v>0</v>
      </c>
      <c r="AA349" s="10">
        <f t="shared" si="29"/>
        <v>0</v>
      </c>
    </row>
    <row r="350" spans="2:27" x14ac:dyDescent="0.25">
      <c r="B350" s="171" t="s">
        <v>2303</v>
      </c>
      <c r="C350" s="31">
        <v>101.019397916138</v>
      </c>
      <c r="D350" s="31">
        <v>202.03879583227601</v>
      </c>
      <c r="E350" s="31">
        <v>404.07759166455202</v>
      </c>
      <c r="F350" s="31">
        <v>606.116387496828</v>
      </c>
      <c r="G350" s="31">
        <v>808.15518332910494</v>
      </c>
      <c r="H350" s="31">
        <v>1010.19397916138</v>
      </c>
      <c r="I350" s="31">
        <v>1212.2327749936601</v>
      </c>
      <c r="K350" s="171" t="s">
        <v>2303</v>
      </c>
      <c r="L350" s="31">
        <v>101.019397916138</v>
      </c>
      <c r="M350" s="31">
        <v>202.03879583227601</v>
      </c>
      <c r="N350" s="31">
        <v>404.07759166455202</v>
      </c>
      <c r="O350" s="31">
        <v>606.116387496828</v>
      </c>
      <c r="P350" s="31">
        <v>808.15518332910494</v>
      </c>
      <c r="Q350" s="31">
        <v>1010.19397916138</v>
      </c>
      <c r="R350" s="31">
        <v>1212.2327749936601</v>
      </c>
      <c r="T350" s="631" t="s">
        <v>2303</v>
      </c>
      <c r="U350" s="10">
        <f t="shared" si="30"/>
        <v>0</v>
      </c>
      <c r="V350" s="10">
        <f t="shared" si="29"/>
        <v>0</v>
      </c>
      <c r="W350" s="10">
        <f t="shared" si="29"/>
        <v>0</v>
      </c>
      <c r="X350" s="10">
        <f t="shared" si="29"/>
        <v>0</v>
      </c>
      <c r="Y350" s="10">
        <f t="shared" si="29"/>
        <v>0</v>
      </c>
      <c r="Z350" s="10">
        <f t="shared" si="29"/>
        <v>0</v>
      </c>
      <c r="AA350" s="10">
        <f t="shared" si="29"/>
        <v>0</v>
      </c>
    </row>
    <row r="351" spans="2:27" x14ac:dyDescent="0.25">
      <c r="B351" s="171" t="s">
        <v>1763</v>
      </c>
      <c r="C351" s="31">
        <v>1.9131567647270999</v>
      </c>
      <c r="D351" s="31">
        <v>3.8263135294541999</v>
      </c>
      <c r="E351" s="31">
        <v>7.6526270589083998</v>
      </c>
      <c r="F351" s="31">
        <v>11.478940588362599</v>
      </c>
      <c r="G351" s="31">
        <v>15.3052541178168</v>
      </c>
      <c r="H351" s="31">
        <v>19.131567647271002</v>
      </c>
      <c r="I351" s="31">
        <v>22.957881176725198</v>
      </c>
      <c r="K351" s="171" t="s">
        <v>1763</v>
      </c>
      <c r="L351" s="31">
        <v>1.9131567647270999</v>
      </c>
      <c r="M351" s="31">
        <v>3.8263135294541999</v>
      </c>
      <c r="N351" s="31">
        <v>7.6526270589083998</v>
      </c>
      <c r="O351" s="31">
        <v>11.478940588362599</v>
      </c>
      <c r="P351" s="31">
        <v>15.3052541178168</v>
      </c>
      <c r="Q351" s="31">
        <v>19.131567647271002</v>
      </c>
      <c r="R351" s="31">
        <v>22.957881176725198</v>
      </c>
      <c r="T351" s="631" t="s">
        <v>1763</v>
      </c>
      <c r="U351" s="10">
        <f t="shared" si="30"/>
        <v>0</v>
      </c>
      <c r="V351" s="10">
        <f t="shared" si="29"/>
        <v>0</v>
      </c>
      <c r="W351" s="10">
        <f t="shared" si="29"/>
        <v>0</v>
      </c>
      <c r="X351" s="10">
        <f t="shared" si="29"/>
        <v>0</v>
      </c>
      <c r="Y351" s="10">
        <f t="shared" si="29"/>
        <v>0</v>
      </c>
      <c r="Z351" s="10">
        <f t="shared" si="29"/>
        <v>0</v>
      </c>
      <c r="AA351" s="10">
        <f t="shared" si="29"/>
        <v>0</v>
      </c>
    </row>
    <row r="352" spans="2:27" x14ac:dyDescent="0.25">
      <c r="B352" s="171" t="s">
        <v>2305</v>
      </c>
      <c r="C352" s="31">
        <v>2.9800794175047698</v>
      </c>
      <c r="D352" s="31">
        <v>5.9601588350095396</v>
      </c>
      <c r="E352" s="31">
        <v>11.9203176700191</v>
      </c>
      <c r="F352" s="31">
        <v>17.8804765050286</v>
      </c>
      <c r="G352" s="31">
        <v>23.840635340038201</v>
      </c>
      <c r="H352" s="31">
        <v>29.800794175047699</v>
      </c>
      <c r="I352" s="31">
        <v>35.7609530100572</v>
      </c>
      <c r="K352" s="171" t="s">
        <v>2305</v>
      </c>
      <c r="L352" s="31">
        <v>2.9800794175047698</v>
      </c>
      <c r="M352" s="31">
        <v>5.9601588350095396</v>
      </c>
      <c r="N352" s="31">
        <v>11.9203176700191</v>
      </c>
      <c r="O352" s="31">
        <v>17.8804765050286</v>
      </c>
      <c r="P352" s="31">
        <v>23.840635340038201</v>
      </c>
      <c r="Q352" s="31">
        <v>29.800794175047699</v>
      </c>
      <c r="R352" s="31">
        <v>35.7609530100572</v>
      </c>
      <c r="T352" s="631" t="s">
        <v>2305</v>
      </c>
      <c r="U352" s="10">
        <f t="shared" si="30"/>
        <v>0</v>
      </c>
      <c r="V352" s="10">
        <f t="shared" si="29"/>
        <v>0</v>
      </c>
      <c r="W352" s="10">
        <f t="shared" si="29"/>
        <v>0</v>
      </c>
      <c r="X352" s="10">
        <f t="shared" si="29"/>
        <v>0</v>
      </c>
      <c r="Y352" s="10">
        <f t="shared" si="29"/>
        <v>0</v>
      </c>
      <c r="Z352" s="10">
        <f t="shared" si="29"/>
        <v>0</v>
      </c>
      <c r="AA352" s="10">
        <f t="shared" si="29"/>
        <v>0</v>
      </c>
    </row>
    <row r="353" spans="2:27" x14ac:dyDescent="0.25">
      <c r="B353" s="171" t="s">
        <v>2306</v>
      </c>
      <c r="C353" s="31">
        <v>10.333924430521099</v>
      </c>
      <c r="D353" s="31">
        <v>20.667848861042302</v>
      </c>
      <c r="E353" s="31">
        <v>41.335697722084497</v>
      </c>
      <c r="F353" s="31">
        <v>62.003546583126798</v>
      </c>
      <c r="G353" s="31">
        <v>82.671395444169093</v>
      </c>
      <c r="H353" s="31">
        <v>103.339244305211</v>
      </c>
      <c r="I353" s="31">
        <v>124.00709316625399</v>
      </c>
      <c r="K353" s="171" t="s">
        <v>2306</v>
      </c>
      <c r="L353" s="31">
        <v>10.333924430521099</v>
      </c>
      <c r="M353" s="31">
        <v>20.667848861042302</v>
      </c>
      <c r="N353" s="31">
        <v>41.335697722084497</v>
      </c>
      <c r="O353" s="31">
        <v>62.003546583126798</v>
      </c>
      <c r="P353" s="31">
        <v>82.671395444169093</v>
      </c>
      <c r="Q353" s="31">
        <v>103.339244305211</v>
      </c>
      <c r="R353" s="31">
        <v>124.00709316625399</v>
      </c>
      <c r="T353" s="631" t="s">
        <v>2306</v>
      </c>
      <c r="U353" s="10">
        <f t="shared" si="30"/>
        <v>0</v>
      </c>
      <c r="V353" s="10">
        <f t="shared" si="29"/>
        <v>0</v>
      </c>
      <c r="W353" s="10">
        <f t="shared" si="29"/>
        <v>0</v>
      </c>
      <c r="X353" s="10">
        <f t="shared" si="29"/>
        <v>0</v>
      </c>
      <c r="Y353" s="10">
        <f t="shared" si="29"/>
        <v>0</v>
      </c>
      <c r="Z353" s="10">
        <f t="shared" si="29"/>
        <v>0</v>
      </c>
      <c r="AA353" s="10">
        <f t="shared" si="29"/>
        <v>0</v>
      </c>
    </row>
    <row r="354" spans="2:27" x14ac:dyDescent="0.25">
      <c r="B354" s="171" t="s">
        <v>1761</v>
      </c>
      <c r="C354" s="31">
        <v>5.2984442021333802</v>
      </c>
      <c r="D354" s="31">
        <v>10.596888404266799</v>
      </c>
      <c r="E354" s="31">
        <v>21.193776808533499</v>
      </c>
      <c r="F354" s="31">
        <v>31.790665212800199</v>
      </c>
      <c r="G354" s="31">
        <v>42.387553617066999</v>
      </c>
      <c r="H354" s="31">
        <v>52.984442021333699</v>
      </c>
      <c r="I354" s="31">
        <v>63.581330425600498</v>
      </c>
      <c r="K354" s="171" t="s">
        <v>1761</v>
      </c>
      <c r="L354" s="31">
        <v>5.2984442021333802</v>
      </c>
      <c r="M354" s="31">
        <v>10.596888404266799</v>
      </c>
      <c r="N354" s="31">
        <v>21.193776808533499</v>
      </c>
      <c r="O354" s="31">
        <v>31.790665212800199</v>
      </c>
      <c r="P354" s="31">
        <v>42.387553617066999</v>
      </c>
      <c r="Q354" s="31">
        <v>52.984442021333699</v>
      </c>
      <c r="R354" s="31">
        <v>63.581330425600498</v>
      </c>
      <c r="T354" s="631" t="s">
        <v>1761</v>
      </c>
      <c r="U354" s="10">
        <f t="shared" si="30"/>
        <v>0</v>
      </c>
      <c r="V354" s="10">
        <f t="shared" si="29"/>
        <v>0</v>
      </c>
      <c r="W354" s="10">
        <f t="shared" si="29"/>
        <v>0</v>
      </c>
      <c r="X354" s="10">
        <f t="shared" si="29"/>
        <v>0</v>
      </c>
      <c r="Y354" s="10">
        <f t="shared" si="29"/>
        <v>0</v>
      </c>
      <c r="Z354" s="10">
        <f t="shared" si="29"/>
        <v>0</v>
      </c>
      <c r="AA354" s="10">
        <f t="shared" si="29"/>
        <v>0</v>
      </c>
    </row>
    <row r="355" spans="2:27" x14ac:dyDescent="0.25">
      <c r="B355" s="171" t="s">
        <v>1762</v>
      </c>
      <c r="C355" s="31">
        <v>4.0725633015989997</v>
      </c>
      <c r="D355" s="31">
        <v>8.1451266031979994</v>
      </c>
      <c r="E355" s="31">
        <v>16.290253206395999</v>
      </c>
      <c r="F355" s="31">
        <v>24.435379809594</v>
      </c>
      <c r="G355" s="31">
        <v>32.580506412791998</v>
      </c>
      <c r="H355" s="31">
        <v>40.725633015990098</v>
      </c>
      <c r="I355" s="31">
        <v>48.8707596191881</v>
      </c>
      <c r="K355" s="171" t="s">
        <v>1762</v>
      </c>
      <c r="L355" s="31">
        <v>4.0725633015989997</v>
      </c>
      <c r="M355" s="31">
        <v>8.1451266031979994</v>
      </c>
      <c r="N355" s="31">
        <v>16.290253206395999</v>
      </c>
      <c r="O355" s="31">
        <v>24.435379809594</v>
      </c>
      <c r="P355" s="31">
        <v>32.580506412791998</v>
      </c>
      <c r="Q355" s="31">
        <v>40.725633015990098</v>
      </c>
      <c r="R355" s="31">
        <v>48.8707596191881</v>
      </c>
      <c r="T355" s="631" t="s">
        <v>1762</v>
      </c>
      <c r="U355" s="10">
        <f t="shared" si="30"/>
        <v>0</v>
      </c>
      <c r="V355" s="10">
        <f t="shared" si="29"/>
        <v>0</v>
      </c>
      <c r="W355" s="10">
        <f t="shared" si="29"/>
        <v>0</v>
      </c>
      <c r="X355" s="10">
        <f t="shared" si="29"/>
        <v>0</v>
      </c>
      <c r="Y355" s="10">
        <f t="shared" si="29"/>
        <v>0</v>
      </c>
      <c r="Z355" s="10">
        <f t="shared" si="29"/>
        <v>0</v>
      </c>
      <c r="AA355" s="10">
        <f t="shared" si="29"/>
        <v>0</v>
      </c>
    </row>
    <row r="356" spans="2:27" x14ac:dyDescent="0.25">
      <c r="B356" s="31" t="s">
        <v>552</v>
      </c>
      <c r="C356" s="31">
        <v>855.60633367519995</v>
      </c>
      <c r="D356" s="31">
        <v>855.60633367519995</v>
      </c>
      <c r="E356" s="31">
        <v>855.60633367519995</v>
      </c>
      <c r="F356" s="31">
        <v>855.60633367519995</v>
      </c>
      <c r="G356" s="31">
        <v>855.60633367519995</v>
      </c>
      <c r="H356" s="31">
        <v>855.60633367519995</v>
      </c>
      <c r="I356" s="31">
        <v>855.60633367519995</v>
      </c>
      <c r="K356" s="31" t="s">
        <v>552</v>
      </c>
      <c r="L356" s="31">
        <v>855.60633367519995</v>
      </c>
      <c r="M356" s="31">
        <v>855.60633367519995</v>
      </c>
      <c r="N356" s="31">
        <v>855.60633367519995</v>
      </c>
      <c r="O356" s="31">
        <v>855.60633367519995</v>
      </c>
      <c r="P356" s="31">
        <v>855.60633367519995</v>
      </c>
      <c r="Q356" s="31">
        <v>855.60633367519995</v>
      </c>
      <c r="R356" s="31">
        <v>855.60633367519995</v>
      </c>
      <c r="T356" s="10" t="s">
        <v>552</v>
      </c>
      <c r="U356" s="10">
        <f t="shared" si="30"/>
        <v>0</v>
      </c>
      <c r="V356" s="10">
        <f t="shared" si="29"/>
        <v>0</v>
      </c>
      <c r="W356" s="10">
        <f t="shared" si="29"/>
        <v>0</v>
      </c>
      <c r="X356" s="10">
        <f t="shared" si="29"/>
        <v>0</v>
      </c>
      <c r="Y356" s="10">
        <f t="shared" si="29"/>
        <v>0</v>
      </c>
      <c r="Z356" s="10">
        <f t="shared" si="29"/>
        <v>0</v>
      </c>
      <c r="AA356" s="10">
        <f t="shared" si="29"/>
        <v>0</v>
      </c>
    </row>
    <row r="357" spans="2:27" x14ac:dyDescent="0.25">
      <c r="B357" s="31" t="s">
        <v>998</v>
      </c>
      <c r="C357" s="31">
        <v>1.8738491283660299</v>
      </c>
      <c r="D357" s="31">
        <v>1.8738491283660299</v>
      </c>
      <c r="E357" s="31">
        <v>1.8738491283660299</v>
      </c>
      <c r="F357" s="31">
        <v>1.8738491283660299</v>
      </c>
      <c r="G357" s="31">
        <v>1.8738491283660299</v>
      </c>
      <c r="H357" s="31">
        <v>1.8738491283660299</v>
      </c>
      <c r="I357" s="31">
        <v>1.8738491283660299</v>
      </c>
      <c r="K357" s="31" t="s">
        <v>998</v>
      </c>
      <c r="L357" s="31">
        <v>1.8738491283660299</v>
      </c>
      <c r="M357" s="31">
        <v>1.8738491283660299</v>
      </c>
      <c r="N357" s="31">
        <v>1.8738491283660299</v>
      </c>
      <c r="O357" s="31">
        <v>1.8738491283660299</v>
      </c>
      <c r="P357" s="31">
        <v>1.8738491283660299</v>
      </c>
      <c r="Q357" s="31">
        <v>1.8738491283660299</v>
      </c>
      <c r="R357" s="31">
        <v>1.8738491283660299</v>
      </c>
      <c r="T357" s="10" t="s">
        <v>998</v>
      </c>
      <c r="U357" s="10">
        <f t="shared" si="30"/>
        <v>0</v>
      </c>
      <c r="V357" s="10">
        <f t="shared" si="29"/>
        <v>0</v>
      </c>
      <c r="W357" s="10">
        <f t="shared" si="29"/>
        <v>0</v>
      </c>
      <c r="X357" s="10">
        <f t="shared" si="29"/>
        <v>0</v>
      </c>
      <c r="Y357" s="10">
        <f t="shared" si="29"/>
        <v>0</v>
      </c>
      <c r="Z357" s="10">
        <f t="shared" si="29"/>
        <v>0</v>
      </c>
      <c r="AA357" s="10">
        <f t="shared" si="29"/>
        <v>0</v>
      </c>
    </row>
    <row r="358" spans="2:27" x14ac:dyDescent="0.25">
      <c r="B358" s="31" t="s">
        <v>1286</v>
      </c>
      <c r="C358" s="31">
        <v>1.5558486329339101</v>
      </c>
      <c r="D358" s="31">
        <v>1.5558486329339101</v>
      </c>
      <c r="E358" s="31">
        <v>1.5558486329339101</v>
      </c>
      <c r="F358" s="31">
        <v>1.5558486329339101</v>
      </c>
      <c r="G358" s="31">
        <v>1.5558486329339101</v>
      </c>
      <c r="H358" s="31">
        <v>1.5558486329339101</v>
      </c>
      <c r="I358" s="31">
        <v>1.5558486329339101</v>
      </c>
      <c r="K358" s="31" t="s">
        <v>1286</v>
      </c>
      <c r="L358" s="31">
        <v>1.5558486329339101</v>
      </c>
      <c r="M358" s="31">
        <v>1.5558486329339101</v>
      </c>
      <c r="N358" s="31">
        <v>1.5558486329339101</v>
      </c>
      <c r="O358" s="31">
        <v>1.5558486329339101</v>
      </c>
      <c r="P358" s="31">
        <v>1.5558486329339101</v>
      </c>
      <c r="Q358" s="31">
        <v>1.5558486329339101</v>
      </c>
      <c r="R358" s="31">
        <v>1.5558486329339101</v>
      </c>
      <c r="T358" s="10" t="s">
        <v>1286</v>
      </c>
      <c r="U358" s="10">
        <f t="shared" si="30"/>
        <v>0</v>
      </c>
      <c r="V358" s="10">
        <f t="shared" si="29"/>
        <v>0</v>
      </c>
      <c r="W358" s="10">
        <f t="shared" si="29"/>
        <v>0</v>
      </c>
      <c r="X358" s="10">
        <f t="shared" si="29"/>
        <v>0</v>
      </c>
      <c r="Y358" s="10">
        <f t="shared" si="29"/>
        <v>0</v>
      </c>
      <c r="Z358" s="10">
        <f t="shared" si="29"/>
        <v>0</v>
      </c>
      <c r="AA358" s="10">
        <f t="shared" si="29"/>
        <v>0</v>
      </c>
    </row>
    <row r="359" spans="2:27" x14ac:dyDescent="0.25">
      <c r="B359" s="31" t="s">
        <v>1282</v>
      </c>
      <c r="C359" s="31">
        <v>2.0613656701821701</v>
      </c>
      <c r="D359" s="31">
        <v>2.0613656701821701</v>
      </c>
      <c r="E359" s="31">
        <v>2.0613656701821701</v>
      </c>
      <c r="F359" s="31">
        <v>2.0613656701821701</v>
      </c>
      <c r="G359" s="31">
        <v>2.0613656701821701</v>
      </c>
      <c r="H359" s="31">
        <v>2.0613656701821701</v>
      </c>
      <c r="I359" s="31">
        <v>2.0613656701821701</v>
      </c>
      <c r="K359" s="31" t="s">
        <v>1282</v>
      </c>
      <c r="L359" s="31">
        <v>2.0613656701821701</v>
      </c>
      <c r="M359" s="31">
        <v>2.0613656701821701</v>
      </c>
      <c r="N359" s="31">
        <v>2.0613656701821701</v>
      </c>
      <c r="O359" s="31">
        <v>2.0613656701821701</v>
      </c>
      <c r="P359" s="31">
        <v>2.0613656701821701</v>
      </c>
      <c r="Q359" s="31">
        <v>2.0613656701821701</v>
      </c>
      <c r="R359" s="31">
        <v>2.0613656701821701</v>
      </c>
      <c r="T359" s="10" t="s">
        <v>1282</v>
      </c>
      <c r="U359" s="10">
        <f t="shared" si="30"/>
        <v>0</v>
      </c>
      <c r="V359" s="10">
        <f t="shared" si="29"/>
        <v>0</v>
      </c>
      <c r="W359" s="10">
        <f t="shared" si="29"/>
        <v>0</v>
      </c>
      <c r="X359" s="10">
        <f t="shared" si="29"/>
        <v>0</v>
      </c>
      <c r="Y359" s="10">
        <f t="shared" si="29"/>
        <v>0</v>
      </c>
      <c r="Z359" s="10">
        <f t="shared" si="29"/>
        <v>0</v>
      </c>
      <c r="AA359" s="10">
        <f t="shared" si="29"/>
        <v>0</v>
      </c>
    </row>
    <row r="360" spans="2:27" x14ac:dyDescent="0.25">
      <c r="B360" s="31" t="s">
        <v>721</v>
      </c>
      <c r="C360" s="31">
        <v>121.709768721656</v>
      </c>
      <c r="D360" s="31">
        <v>243.41953744331099</v>
      </c>
      <c r="E360" s="31">
        <v>486.83907488662197</v>
      </c>
      <c r="F360" s="31">
        <v>730.25861232998102</v>
      </c>
      <c r="G360" s="31">
        <v>973.67814977324394</v>
      </c>
      <c r="H360" s="31">
        <v>1217.09768721654</v>
      </c>
      <c r="I360" s="31">
        <v>1460.51722465996</v>
      </c>
      <c r="K360" s="31" t="s">
        <v>721</v>
      </c>
      <c r="L360" s="31">
        <v>121.709768721656</v>
      </c>
      <c r="M360" s="31">
        <v>243.41953744331099</v>
      </c>
      <c r="N360" s="31">
        <v>486.83907488662197</v>
      </c>
      <c r="O360" s="31">
        <v>730.25861232998102</v>
      </c>
      <c r="P360" s="31">
        <v>973.67814977324394</v>
      </c>
      <c r="Q360" s="31">
        <v>1217.09768721654</v>
      </c>
      <c r="R360" s="31">
        <v>1460.51722465996</v>
      </c>
      <c r="T360" s="10" t="s">
        <v>721</v>
      </c>
      <c r="U360" s="10">
        <f t="shared" si="30"/>
        <v>0</v>
      </c>
      <c r="V360" s="10">
        <f t="shared" si="29"/>
        <v>0</v>
      </c>
      <c r="W360" s="10">
        <f t="shared" si="29"/>
        <v>0</v>
      </c>
      <c r="X360" s="10">
        <f t="shared" si="29"/>
        <v>0</v>
      </c>
      <c r="Y360" s="10">
        <f t="shared" si="29"/>
        <v>0</v>
      </c>
      <c r="Z360" s="10">
        <f t="shared" si="29"/>
        <v>0</v>
      </c>
      <c r="AA360" s="10">
        <f t="shared" si="29"/>
        <v>0</v>
      </c>
    </row>
    <row r="361" spans="2:27" x14ac:dyDescent="0.25">
      <c r="B361" s="31" t="s">
        <v>1862</v>
      </c>
      <c r="C361" s="31">
        <v>2.0966714736283101</v>
      </c>
      <c r="D361" s="31">
        <v>2.0966714736283101</v>
      </c>
      <c r="E361" s="31">
        <v>2.0966714736283101</v>
      </c>
      <c r="F361" s="31">
        <v>2.0966714736283101</v>
      </c>
      <c r="G361" s="31">
        <v>2.0966714736283101</v>
      </c>
      <c r="H361" s="31">
        <v>2.0966714736283101</v>
      </c>
      <c r="I361" s="31">
        <v>2.0966714736283101</v>
      </c>
      <c r="K361" s="31" t="s">
        <v>1862</v>
      </c>
      <c r="L361" s="31">
        <v>2.0966714736283101</v>
      </c>
      <c r="M361" s="31">
        <v>2.0966714736283101</v>
      </c>
      <c r="N361" s="31">
        <v>2.0966714736283101</v>
      </c>
      <c r="O361" s="31">
        <v>2.0966714736283101</v>
      </c>
      <c r="P361" s="31">
        <v>2.0966714736283101</v>
      </c>
      <c r="Q361" s="31">
        <v>2.0966714736283101</v>
      </c>
      <c r="R361" s="31">
        <v>2.0966714736283101</v>
      </c>
      <c r="T361" s="10" t="s">
        <v>1862</v>
      </c>
      <c r="U361" s="10">
        <f t="shared" si="30"/>
        <v>0</v>
      </c>
      <c r="V361" s="10">
        <f t="shared" si="29"/>
        <v>0</v>
      </c>
      <c r="W361" s="10">
        <f t="shared" si="29"/>
        <v>0</v>
      </c>
      <c r="X361" s="10">
        <f t="shared" si="29"/>
        <v>0</v>
      </c>
      <c r="Y361" s="10">
        <f t="shared" si="29"/>
        <v>0</v>
      </c>
      <c r="Z361" s="10">
        <f t="shared" si="29"/>
        <v>0</v>
      </c>
      <c r="AA361" s="10">
        <f t="shared" si="29"/>
        <v>0</v>
      </c>
    </row>
    <row r="362" spans="2:27" x14ac:dyDescent="0.25">
      <c r="B362" s="31" t="s">
        <v>1863</v>
      </c>
      <c r="C362" s="31">
        <v>1.0265977798802099</v>
      </c>
      <c r="D362" s="31">
        <v>1.0265977798802099</v>
      </c>
      <c r="E362" s="31">
        <v>1.0265977798802099</v>
      </c>
      <c r="F362" s="31">
        <v>1.0265977798802099</v>
      </c>
      <c r="G362" s="31">
        <v>1.0265977798802099</v>
      </c>
      <c r="H362" s="31">
        <v>1.0265977798802099</v>
      </c>
      <c r="I362" s="31">
        <v>1.0265977798802099</v>
      </c>
      <c r="K362" s="31" t="s">
        <v>1863</v>
      </c>
      <c r="L362" s="31">
        <v>1.0265977798802099</v>
      </c>
      <c r="M362" s="31">
        <v>1.0265977798802099</v>
      </c>
      <c r="N362" s="31">
        <v>1.0265977798802099</v>
      </c>
      <c r="O362" s="31">
        <v>1.0265977798802099</v>
      </c>
      <c r="P362" s="31">
        <v>1.0265977798802099</v>
      </c>
      <c r="Q362" s="31">
        <v>1.0265977798802099</v>
      </c>
      <c r="R362" s="31">
        <v>1.0265977798802099</v>
      </c>
      <c r="T362" s="10" t="s">
        <v>1863</v>
      </c>
      <c r="U362" s="10">
        <f t="shared" si="30"/>
        <v>0</v>
      </c>
      <c r="V362" s="10">
        <f t="shared" si="29"/>
        <v>0</v>
      </c>
      <c r="W362" s="10">
        <f t="shared" si="29"/>
        <v>0</v>
      </c>
      <c r="X362" s="10">
        <f t="shared" si="29"/>
        <v>0</v>
      </c>
      <c r="Y362" s="10">
        <f t="shared" si="29"/>
        <v>0</v>
      </c>
      <c r="Z362" s="10">
        <f t="shared" si="29"/>
        <v>0</v>
      </c>
      <c r="AA362" s="10">
        <f t="shared" si="29"/>
        <v>0</v>
      </c>
    </row>
    <row r="363" spans="2:27" x14ac:dyDescent="0.25">
      <c r="B363" s="31" t="s">
        <v>1864</v>
      </c>
      <c r="C363" s="31">
        <v>0.188953706904364</v>
      </c>
      <c r="D363" s="31">
        <v>0.188953706904364</v>
      </c>
      <c r="E363" s="31">
        <v>0.188953706904364</v>
      </c>
      <c r="F363" s="31">
        <v>0.188953706904364</v>
      </c>
      <c r="G363" s="31">
        <v>0.188953706904364</v>
      </c>
      <c r="H363" s="31">
        <v>0.188953706904364</v>
      </c>
      <c r="I363" s="31">
        <v>0.188953706904364</v>
      </c>
      <c r="K363" s="31" t="s">
        <v>1864</v>
      </c>
      <c r="L363" s="31">
        <v>0.188953706904364</v>
      </c>
      <c r="M363" s="31">
        <v>0.188953706904364</v>
      </c>
      <c r="N363" s="31">
        <v>0.188953706904364</v>
      </c>
      <c r="O363" s="31">
        <v>0.188953706904364</v>
      </c>
      <c r="P363" s="31">
        <v>0.188953706904364</v>
      </c>
      <c r="Q363" s="31">
        <v>0.188953706904364</v>
      </c>
      <c r="R363" s="31">
        <v>0.188953706904364</v>
      </c>
      <c r="T363" s="10" t="s">
        <v>1864</v>
      </c>
      <c r="U363" s="10">
        <f t="shared" si="30"/>
        <v>0</v>
      </c>
      <c r="V363" s="10">
        <f t="shared" ref="V363:V376" si="31">(M363-D363)/M363</f>
        <v>0</v>
      </c>
      <c r="W363" s="10">
        <f t="shared" ref="W363:W376" si="32">(N363-E363)/N363</f>
        <v>0</v>
      </c>
      <c r="X363" s="10">
        <f t="shared" ref="X363:X376" si="33">(O363-F363)/O363</f>
        <v>0</v>
      </c>
      <c r="Y363" s="10">
        <f t="shared" ref="Y363:Y376" si="34">(P363-G363)/P363</f>
        <v>0</v>
      </c>
      <c r="Z363" s="10">
        <f t="shared" ref="Z363:Z376" si="35">(Q363-H363)/Q363</f>
        <v>0</v>
      </c>
      <c r="AA363" s="10">
        <f t="shared" ref="AA363:AA376" si="36">(R363-I363)/R363</f>
        <v>0</v>
      </c>
    </row>
    <row r="364" spans="2:27" x14ac:dyDescent="0.25">
      <c r="B364" s="31" t="s">
        <v>616</v>
      </c>
      <c r="C364" s="31">
        <v>3.8982274507707499</v>
      </c>
      <c r="D364" s="31">
        <v>3.8982274507707499</v>
      </c>
      <c r="E364" s="31">
        <v>3.8982274507707499</v>
      </c>
      <c r="F364" s="31">
        <v>3.8982274507707499</v>
      </c>
      <c r="G364" s="31">
        <v>3.8982274507707499</v>
      </c>
      <c r="H364" s="31">
        <v>3.8982274507707499</v>
      </c>
      <c r="I364" s="31">
        <v>3.8982274507707499</v>
      </c>
      <c r="K364" s="31" t="s">
        <v>616</v>
      </c>
      <c r="L364" s="31">
        <v>3.8982274507707499</v>
      </c>
      <c r="M364" s="31">
        <v>3.8982274507707499</v>
      </c>
      <c r="N364" s="31">
        <v>3.8982274507707499</v>
      </c>
      <c r="O364" s="31">
        <v>3.8982274507707499</v>
      </c>
      <c r="P364" s="31">
        <v>3.8982274507707499</v>
      </c>
      <c r="Q364" s="31">
        <v>3.8982274507707499</v>
      </c>
      <c r="R364" s="31">
        <v>3.8982274507707499</v>
      </c>
      <c r="T364" s="10" t="s">
        <v>616</v>
      </c>
      <c r="U364" s="10">
        <f t="shared" si="30"/>
        <v>0</v>
      </c>
      <c r="V364" s="10">
        <f t="shared" si="31"/>
        <v>0</v>
      </c>
      <c r="W364" s="10">
        <f t="shared" si="32"/>
        <v>0</v>
      </c>
      <c r="X364" s="10">
        <f t="shared" si="33"/>
        <v>0</v>
      </c>
      <c r="Y364" s="10">
        <f t="shared" si="34"/>
        <v>0</v>
      </c>
      <c r="Z364" s="10">
        <f t="shared" si="35"/>
        <v>0</v>
      </c>
      <c r="AA364" s="10">
        <f t="shared" si="36"/>
        <v>0</v>
      </c>
    </row>
    <row r="365" spans="2:27" x14ac:dyDescent="0.25">
      <c r="B365" s="31" t="s">
        <v>1210</v>
      </c>
      <c r="C365" s="31">
        <v>133.33488267000399</v>
      </c>
      <c r="D365" s="31">
        <v>133.33488267000399</v>
      </c>
      <c r="E365" s="31">
        <v>133.33488267000399</v>
      </c>
      <c r="F365" s="31">
        <v>133.33488267000399</v>
      </c>
      <c r="G365" s="31">
        <v>133.33488267000399</v>
      </c>
      <c r="H365" s="31">
        <v>133.33488267000399</v>
      </c>
      <c r="I365" s="31">
        <v>133.33488267000399</v>
      </c>
      <c r="K365" s="31" t="s">
        <v>1210</v>
      </c>
      <c r="L365" s="31">
        <v>133.33488267000399</v>
      </c>
      <c r="M365" s="31">
        <v>133.33488267000399</v>
      </c>
      <c r="N365" s="31">
        <v>133.33488267000399</v>
      </c>
      <c r="O365" s="31">
        <v>133.33488267000399</v>
      </c>
      <c r="P365" s="31">
        <v>133.33488267000399</v>
      </c>
      <c r="Q365" s="31">
        <v>133.33488267000399</v>
      </c>
      <c r="R365" s="31">
        <v>133.33488267000399</v>
      </c>
      <c r="T365" s="10" t="s">
        <v>1210</v>
      </c>
      <c r="U365" s="10">
        <f t="shared" si="30"/>
        <v>0</v>
      </c>
      <c r="V365" s="10">
        <f t="shared" si="31"/>
        <v>0</v>
      </c>
      <c r="W365" s="10">
        <f t="shared" si="32"/>
        <v>0</v>
      </c>
      <c r="X365" s="10">
        <f t="shared" si="33"/>
        <v>0</v>
      </c>
      <c r="Y365" s="10">
        <f t="shared" si="34"/>
        <v>0</v>
      </c>
      <c r="Z365" s="10">
        <f t="shared" si="35"/>
        <v>0</v>
      </c>
      <c r="AA365" s="10">
        <f t="shared" si="36"/>
        <v>0</v>
      </c>
    </row>
    <row r="366" spans="2:27" x14ac:dyDescent="0.25">
      <c r="B366" s="31" t="s">
        <v>2177</v>
      </c>
      <c r="C366" s="31">
        <v>1.21403570948813</v>
      </c>
      <c r="D366" s="31">
        <v>1.21403570948813</v>
      </c>
      <c r="E366" s="31">
        <v>1.21403570948813</v>
      </c>
      <c r="F366" s="31">
        <v>1.21403570948813</v>
      </c>
      <c r="G366" s="31">
        <v>1.21403570948813</v>
      </c>
      <c r="H366" s="31">
        <v>1.21403570948813</v>
      </c>
      <c r="I366" s="31">
        <v>1.21403570948813</v>
      </c>
      <c r="K366" s="31" t="s">
        <v>2177</v>
      </c>
      <c r="L366" s="31">
        <v>1.21403570948813</v>
      </c>
      <c r="M366" s="31">
        <v>1.21403570948813</v>
      </c>
      <c r="N366" s="31">
        <v>1.21403570948813</v>
      </c>
      <c r="O366" s="31">
        <v>1.21403570948813</v>
      </c>
      <c r="P366" s="31">
        <v>1.21403570948813</v>
      </c>
      <c r="Q366" s="31">
        <v>1.21403570948813</v>
      </c>
      <c r="R366" s="31">
        <v>1.21403570948813</v>
      </c>
      <c r="T366" s="10" t="s">
        <v>2177</v>
      </c>
      <c r="U366" s="10">
        <f t="shared" si="30"/>
        <v>0</v>
      </c>
      <c r="V366" s="10">
        <f t="shared" si="31"/>
        <v>0</v>
      </c>
      <c r="W366" s="10">
        <f t="shared" si="32"/>
        <v>0</v>
      </c>
      <c r="X366" s="10">
        <f t="shared" si="33"/>
        <v>0</v>
      </c>
      <c r="Y366" s="10">
        <f t="shared" si="34"/>
        <v>0</v>
      </c>
      <c r="Z366" s="10">
        <f t="shared" si="35"/>
        <v>0</v>
      </c>
      <c r="AA366" s="10">
        <f t="shared" si="36"/>
        <v>0</v>
      </c>
    </row>
    <row r="367" spans="2:27" x14ac:dyDescent="0.25">
      <c r="B367" s="31" t="s">
        <v>2314</v>
      </c>
      <c r="C367" s="31">
        <v>8.1186921675606306E-3</v>
      </c>
      <c r="D367" s="31">
        <v>8.1186921675606306E-3</v>
      </c>
      <c r="E367" s="31">
        <v>8.1186921675606306E-3</v>
      </c>
      <c r="F367" s="31">
        <v>8.1186921675606306E-3</v>
      </c>
      <c r="G367" s="31">
        <v>8.1186921675606306E-3</v>
      </c>
      <c r="H367" s="31">
        <v>8.1186921675606306E-3</v>
      </c>
      <c r="I367" s="31">
        <v>8.1186921675606306E-3</v>
      </c>
      <c r="K367" s="31" t="s">
        <v>2314</v>
      </c>
      <c r="L367" s="31">
        <v>8.1186921675606306E-3</v>
      </c>
      <c r="M367" s="31">
        <v>8.1186921675606306E-3</v>
      </c>
      <c r="N367" s="31">
        <v>8.1186921675606306E-3</v>
      </c>
      <c r="O367" s="31">
        <v>8.1186921675606306E-3</v>
      </c>
      <c r="P367" s="31">
        <v>8.1186921675606306E-3</v>
      </c>
      <c r="Q367" s="31">
        <v>8.1186921675606306E-3</v>
      </c>
      <c r="R367" s="31">
        <v>8.1186921675606306E-3</v>
      </c>
      <c r="T367" s="10" t="s">
        <v>2314</v>
      </c>
      <c r="U367" s="10">
        <f t="shared" si="30"/>
        <v>0</v>
      </c>
      <c r="V367" s="10">
        <f t="shared" si="31"/>
        <v>0</v>
      </c>
      <c r="W367" s="10">
        <f t="shared" si="32"/>
        <v>0</v>
      </c>
      <c r="X367" s="10">
        <f t="shared" si="33"/>
        <v>0</v>
      </c>
      <c r="Y367" s="10">
        <f t="shared" si="34"/>
        <v>0</v>
      </c>
      <c r="Z367" s="10">
        <f t="shared" si="35"/>
        <v>0</v>
      </c>
      <c r="AA367" s="10">
        <f t="shared" si="36"/>
        <v>0</v>
      </c>
    </row>
    <row r="368" spans="2:27" x14ac:dyDescent="0.25">
      <c r="B368" s="31" t="s">
        <v>2178</v>
      </c>
      <c r="C368" s="31">
        <v>0.19628999064819699</v>
      </c>
      <c r="D368" s="31">
        <v>0.19628999064819699</v>
      </c>
      <c r="E368" s="31">
        <v>0.19628999064819699</v>
      </c>
      <c r="F368" s="31">
        <v>0.19628999064819699</v>
      </c>
      <c r="G368" s="31">
        <v>0.19628999064819699</v>
      </c>
      <c r="H368" s="31">
        <v>0.19628999064819699</v>
      </c>
      <c r="I368" s="31">
        <v>0.19628999064819699</v>
      </c>
      <c r="K368" s="31" t="s">
        <v>2178</v>
      </c>
      <c r="L368" s="31">
        <v>0.19628999064819699</v>
      </c>
      <c r="M368" s="31">
        <v>0.19628999064819699</v>
      </c>
      <c r="N368" s="31">
        <v>0.19628999064819699</v>
      </c>
      <c r="O368" s="31">
        <v>0.19628999064819699</v>
      </c>
      <c r="P368" s="31">
        <v>0.19628999064819699</v>
      </c>
      <c r="Q368" s="31">
        <v>0.19628999064819699</v>
      </c>
      <c r="R368" s="31">
        <v>0.19628999064819699</v>
      </c>
      <c r="T368" s="10" t="s">
        <v>2178</v>
      </c>
      <c r="U368" s="10">
        <f t="shared" si="30"/>
        <v>0</v>
      </c>
      <c r="V368" s="10">
        <f t="shared" si="31"/>
        <v>0</v>
      </c>
      <c r="W368" s="10">
        <f t="shared" si="32"/>
        <v>0</v>
      </c>
      <c r="X368" s="10">
        <f t="shared" si="33"/>
        <v>0</v>
      </c>
      <c r="Y368" s="10">
        <f t="shared" si="34"/>
        <v>0</v>
      </c>
      <c r="Z368" s="10">
        <f t="shared" si="35"/>
        <v>0</v>
      </c>
      <c r="AA368" s="10">
        <f t="shared" si="36"/>
        <v>0</v>
      </c>
    </row>
    <row r="369" spans="2:27" x14ac:dyDescent="0.25">
      <c r="B369" s="31" t="s">
        <v>999</v>
      </c>
      <c r="C369" s="31">
        <v>7.3918207234744404</v>
      </c>
      <c r="D369" s="31">
        <v>7.3918207234744404</v>
      </c>
      <c r="E369" s="31">
        <v>7.3918207234744404</v>
      </c>
      <c r="F369" s="31">
        <v>7.3918207234744404</v>
      </c>
      <c r="G369" s="31">
        <v>7.3918207234744404</v>
      </c>
      <c r="H369" s="31">
        <v>7.3918207234744404</v>
      </c>
      <c r="I369" s="31">
        <v>7.3918207234744404</v>
      </c>
      <c r="K369" s="31" t="s">
        <v>999</v>
      </c>
      <c r="L369" s="31">
        <v>7.3918207234744404</v>
      </c>
      <c r="M369" s="31">
        <v>7.3918207234744404</v>
      </c>
      <c r="N369" s="31">
        <v>7.3918207234744404</v>
      </c>
      <c r="O369" s="31">
        <v>7.3918207234744404</v>
      </c>
      <c r="P369" s="31">
        <v>7.3918207234744404</v>
      </c>
      <c r="Q369" s="31">
        <v>7.3918207234744404</v>
      </c>
      <c r="R369" s="31">
        <v>7.3918207234744404</v>
      </c>
      <c r="T369" s="10" t="s">
        <v>999</v>
      </c>
      <c r="U369" s="10">
        <f t="shared" si="30"/>
        <v>0</v>
      </c>
      <c r="V369" s="10">
        <f t="shared" si="31"/>
        <v>0</v>
      </c>
      <c r="W369" s="10">
        <f t="shared" si="32"/>
        <v>0</v>
      </c>
      <c r="X369" s="10">
        <f t="shared" si="33"/>
        <v>0</v>
      </c>
      <c r="Y369" s="10">
        <f t="shared" si="34"/>
        <v>0</v>
      </c>
      <c r="Z369" s="10">
        <f t="shared" si="35"/>
        <v>0</v>
      </c>
      <c r="AA369" s="10">
        <f t="shared" si="36"/>
        <v>0</v>
      </c>
    </row>
    <row r="370" spans="2:27" x14ac:dyDescent="0.25">
      <c r="B370" s="31" t="s">
        <v>1077</v>
      </c>
      <c r="C370" s="31">
        <v>70.129942026203807</v>
      </c>
      <c r="D370" s="31">
        <v>70.129942026203807</v>
      </c>
      <c r="E370" s="31">
        <v>70.129942026203807</v>
      </c>
      <c r="F370" s="31">
        <v>70.129942026203807</v>
      </c>
      <c r="G370" s="31">
        <v>70.129942026203807</v>
      </c>
      <c r="H370" s="31">
        <v>70.129942026203807</v>
      </c>
      <c r="I370" s="31">
        <v>70.129942026203807</v>
      </c>
      <c r="K370" s="31" t="s">
        <v>1077</v>
      </c>
      <c r="L370" s="31">
        <v>70.129942026203807</v>
      </c>
      <c r="M370" s="31">
        <v>70.129942026203807</v>
      </c>
      <c r="N370" s="31">
        <v>70.129942026203807</v>
      </c>
      <c r="O370" s="31">
        <v>70.129942026203807</v>
      </c>
      <c r="P370" s="31">
        <v>70.129942026203807</v>
      </c>
      <c r="Q370" s="31">
        <v>70.129942026203807</v>
      </c>
      <c r="R370" s="31">
        <v>70.129942026203807</v>
      </c>
      <c r="T370" s="10" t="s">
        <v>1077</v>
      </c>
      <c r="U370" s="10">
        <f t="shared" si="30"/>
        <v>0</v>
      </c>
      <c r="V370" s="10">
        <f t="shared" si="31"/>
        <v>0</v>
      </c>
      <c r="W370" s="10">
        <f t="shared" si="32"/>
        <v>0</v>
      </c>
      <c r="X370" s="10">
        <f t="shared" si="33"/>
        <v>0</v>
      </c>
      <c r="Y370" s="10">
        <f t="shared" si="34"/>
        <v>0</v>
      </c>
      <c r="Z370" s="10">
        <f t="shared" si="35"/>
        <v>0</v>
      </c>
      <c r="AA370" s="10">
        <f t="shared" si="36"/>
        <v>0</v>
      </c>
    </row>
    <row r="371" spans="2:27" x14ac:dyDescent="0.25">
      <c r="B371" s="31" t="s">
        <v>2095</v>
      </c>
      <c r="C371" s="31">
        <v>70.129942026203807</v>
      </c>
      <c r="D371" s="31">
        <v>70.129942026203807</v>
      </c>
      <c r="E371" s="31">
        <v>70.129942026203807</v>
      </c>
      <c r="F371" s="31">
        <v>70.129942026203807</v>
      </c>
      <c r="G371" s="31">
        <v>70.129942026203807</v>
      </c>
      <c r="H371" s="31">
        <v>70.129942026203807</v>
      </c>
      <c r="I371" s="31">
        <v>70.129942026203807</v>
      </c>
      <c r="K371" s="31" t="s">
        <v>2095</v>
      </c>
      <c r="L371" s="31">
        <v>70.129942026203807</v>
      </c>
      <c r="M371" s="31">
        <v>70.129942026203807</v>
      </c>
      <c r="N371" s="31">
        <v>70.129942026203807</v>
      </c>
      <c r="O371" s="31">
        <v>70.129942026203807</v>
      </c>
      <c r="P371" s="31">
        <v>70.129942026203807</v>
      </c>
      <c r="Q371" s="31">
        <v>70.129942026203807</v>
      </c>
      <c r="R371" s="31">
        <v>70.129942026203807</v>
      </c>
      <c r="T371" s="10" t="s">
        <v>2095</v>
      </c>
      <c r="U371" s="10">
        <f t="shared" si="30"/>
        <v>0</v>
      </c>
      <c r="V371" s="10">
        <f t="shared" si="31"/>
        <v>0</v>
      </c>
      <c r="W371" s="10">
        <f t="shared" si="32"/>
        <v>0</v>
      </c>
      <c r="X371" s="10">
        <f t="shared" si="33"/>
        <v>0</v>
      </c>
      <c r="Y371" s="10">
        <f t="shared" si="34"/>
        <v>0</v>
      </c>
      <c r="Z371" s="10">
        <f t="shared" si="35"/>
        <v>0</v>
      </c>
      <c r="AA371" s="10">
        <f t="shared" si="36"/>
        <v>0</v>
      </c>
    </row>
    <row r="372" spans="2:27" x14ac:dyDescent="0.25">
      <c r="B372" s="31" t="s">
        <v>1078</v>
      </c>
      <c r="C372" s="31">
        <v>87.385019584296799</v>
      </c>
      <c r="D372" s="31">
        <v>87.385019584296799</v>
      </c>
      <c r="E372" s="31">
        <v>87.385019584296799</v>
      </c>
      <c r="F372" s="31">
        <v>87.385019584296799</v>
      </c>
      <c r="G372" s="31">
        <v>87.385019584296799</v>
      </c>
      <c r="H372" s="31">
        <v>87.385019584296799</v>
      </c>
      <c r="I372" s="31">
        <v>87.385019584296799</v>
      </c>
      <c r="K372" s="31" t="s">
        <v>1078</v>
      </c>
      <c r="L372" s="31">
        <v>87.385019584296799</v>
      </c>
      <c r="M372" s="31">
        <v>87.385019584296799</v>
      </c>
      <c r="N372" s="31">
        <v>87.385019584296799</v>
      </c>
      <c r="O372" s="31">
        <v>87.385019584296799</v>
      </c>
      <c r="P372" s="31">
        <v>87.385019584296799</v>
      </c>
      <c r="Q372" s="31">
        <v>87.385019584296799</v>
      </c>
      <c r="R372" s="31">
        <v>87.385019584296799</v>
      </c>
      <c r="T372" s="10" t="s">
        <v>1078</v>
      </c>
      <c r="U372" s="10">
        <f t="shared" si="30"/>
        <v>0</v>
      </c>
      <c r="V372" s="10">
        <f t="shared" si="31"/>
        <v>0</v>
      </c>
      <c r="W372" s="10">
        <f t="shared" si="32"/>
        <v>0</v>
      </c>
      <c r="X372" s="10">
        <f t="shared" si="33"/>
        <v>0</v>
      </c>
      <c r="Y372" s="10">
        <f t="shared" si="34"/>
        <v>0</v>
      </c>
      <c r="Z372" s="10">
        <f t="shared" si="35"/>
        <v>0</v>
      </c>
      <c r="AA372" s="10">
        <f t="shared" si="36"/>
        <v>0</v>
      </c>
    </row>
    <row r="373" spans="2:27" x14ac:dyDescent="0.25">
      <c r="B373" s="31" t="s">
        <v>2355</v>
      </c>
      <c r="C373" s="31">
        <v>1.3033532362270901</v>
      </c>
      <c r="D373" s="31">
        <v>1.3033532362270901</v>
      </c>
      <c r="E373" s="31">
        <v>1.3033532362270901</v>
      </c>
      <c r="F373" s="31">
        <v>1.3033532362270901</v>
      </c>
      <c r="G373" s="31">
        <v>1.3033532362270901</v>
      </c>
      <c r="H373" s="31">
        <v>1.3033532362270901</v>
      </c>
      <c r="I373" s="31">
        <v>1.3033532362270901</v>
      </c>
      <c r="K373" s="31" t="s">
        <v>2355</v>
      </c>
      <c r="L373" s="31">
        <v>1.3033532362270901</v>
      </c>
      <c r="M373" s="31">
        <v>1.3033532362270901</v>
      </c>
      <c r="N373" s="31">
        <v>1.3033532362270901</v>
      </c>
      <c r="O373" s="31">
        <v>1.3033532362270901</v>
      </c>
      <c r="P373" s="31">
        <v>1.3033532362270901</v>
      </c>
      <c r="Q373" s="31">
        <v>1.3033532362270901</v>
      </c>
      <c r="R373" s="31">
        <v>1.3033532362270901</v>
      </c>
      <c r="T373" s="10" t="s">
        <v>2355</v>
      </c>
      <c r="U373" s="10">
        <f t="shared" si="30"/>
        <v>0</v>
      </c>
      <c r="V373" s="10">
        <f t="shared" si="31"/>
        <v>0</v>
      </c>
      <c r="W373" s="10">
        <f t="shared" si="32"/>
        <v>0</v>
      </c>
      <c r="X373" s="10">
        <f t="shared" si="33"/>
        <v>0</v>
      </c>
      <c r="Y373" s="10">
        <f t="shared" si="34"/>
        <v>0</v>
      </c>
      <c r="Z373" s="10">
        <f t="shared" si="35"/>
        <v>0</v>
      </c>
      <c r="AA373" s="10">
        <f t="shared" si="36"/>
        <v>0</v>
      </c>
    </row>
    <row r="374" spans="2:27" x14ac:dyDescent="0.25">
      <c r="B374" s="31" t="s">
        <v>2030</v>
      </c>
      <c r="C374" s="257">
        <v>56.020544343835901</v>
      </c>
      <c r="D374" s="257">
        <v>53.129599501635198</v>
      </c>
      <c r="E374" s="257">
        <v>51.138934934572099</v>
      </c>
      <c r="F374" s="257">
        <v>49.445283262261398</v>
      </c>
      <c r="G374" s="257">
        <v>35.198063817589599</v>
      </c>
      <c r="H374" s="257">
        <v>9.2839261883810806</v>
      </c>
      <c r="I374" s="257">
        <v>0</v>
      </c>
      <c r="K374" s="31" t="s">
        <v>2030</v>
      </c>
      <c r="L374" s="257">
        <v>56.020544249610701</v>
      </c>
      <c r="M374" s="257">
        <v>53.129599456077202</v>
      </c>
      <c r="N374" s="257">
        <v>51.138935020853197</v>
      </c>
      <c r="O374" s="257">
        <v>49.445283259552298</v>
      </c>
      <c r="P374" s="257">
        <v>35.198063817157497</v>
      </c>
      <c r="Q374" s="257">
        <v>9.2839261883810806</v>
      </c>
      <c r="R374" s="257">
        <v>0</v>
      </c>
      <c r="T374" s="10" t="s">
        <v>2030</v>
      </c>
      <c r="U374" s="10">
        <f t="shared" si="30"/>
        <v>-1.6819758063577562E-9</v>
      </c>
      <c r="V374" s="10">
        <f t="shared" si="31"/>
        <v>-8.574880472058905E-10</v>
      </c>
      <c r="W374" s="10">
        <f t="shared" si="32"/>
        <v>1.6871899617533157E-9</v>
      </c>
      <c r="X374" s="10">
        <f t="shared" si="33"/>
        <v>-5.4789867119709139E-11</v>
      </c>
      <c r="Y374" s="10">
        <f t="shared" si="34"/>
        <v>-1.2276310314749727E-11</v>
      </c>
      <c r="Z374" s="10">
        <f t="shared" si="35"/>
        <v>0</v>
      </c>
      <c r="AA374" s="10" t="e">
        <f t="shared" si="36"/>
        <v>#DIV/0!</v>
      </c>
    </row>
    <row r="375" spans="2:27" x14ac:dyDescent="0.25">
      <c r="B375" s="31" t="s">
        <v>2031</v>
      </c>
      <c r="C375" s="257">
        <v>303.27679279029297</v>
      </c>
      <c r="D375" s="257">
        <v>309.98969346521602</v>
      </c>
      <c r="E375" s="257">
        <v>0</v>
      </c>
      <c r="F375" s="257">
        <v>0</v>
      </c>
      <c r="G375" s="257">
        <v>0</v>
      </c>
      <c r="H375" s="257">
        <v>0</v>
      </c>
      <c r="I375" s="257">
        <v>0</v>
      </c>
      <c r="K375" s="31" t="s">
        <v>2031</v>
      </c>
      <c r="L375" s="257">
        <v>303.276792766146</v>
      </c>
      <c r="M375" s="257">
        <v>309.98969312892802</v>
      </c>
      <c r="N375" s="257">
        <v>0</v>
      </c>
      <c r="O375" s="257">
        <v>0</v>
      </c>
      <c r="P375" s="257">
        <v>0</v>
      </c>
      <c r="Q375" s="257">
        <v>0</v>
      </c>
      <c r="R375" s="257">
        <v>0</v>
      </c>
      <c r="T375" s="10" t="s">
        <v>2031</v>
      </c>
      <c r="U375" s="10">
        <f t="shared" si="30"/>
        <v>-7.9620238742939467E-11</v>
      </c>
      <c r="V375" s="10">
        <f t="shared" si="31"/>
        <v>-1.084836057503524E-9</v>
      </c>
      <c r="W375" s="10" t="e">
        <f t="shared" si="32"/>
        <v>#DIV/0!</v>
      </c>
      <c r="X375" s="10" t="e">
        <f t="shared" si="33"/>
        <v>#DIV/0!</v>
      </c>
      <c r="Y375" s="10" t="e">
        <f t="shared" si="34"/>
        <v>#DIV/0!</v>
      </c>
      <c r="Z375" s="10" t="e">
        <f t="shared" si="35"/>
        <v>#DIV/0!</v>
      </c>
      <c r="AA375" s="10" t="e">
        <f t="shared" si="36"/>
        <v>#DIV/0!</v>
      </c>
    </row>
    <row r="376" spans="2:27" x14ac:dyDescent="0.25">
      <c r="B376" s="31" t="s">
        <v>2098</v>
      </c>
      <c r="C376" s="257">
        <v>9.8332640368334197</v>
      </c>
      <c r="D376" s="257">
        <v>9.4472043129811691</v>
      </c>
      <c r="E376" s="257">
        <v>9.2698348882413999</v>
      </c>
      <c r="F376" s="257">
        <v>9.1704353674086807</v>
      </c>
      <c r="G376" s="257">
        <v>9.12841133960627</v>
      </c>
      <c r="H376" s="257">
        <v>9.0975788528498196</v>
      </c>
      <c r="I376" s="257">
        <v>9.0457887004471598</v>
      </c>
      <c r="K376" s="31" t="s">
        <v>2098</v>
      </c>
      <c r="L376" s="257">
        <v>7.7870877666222302</v>
      </c>
      <c r="M376" s="257">
        <v>7.3934075141630897</v>
      </c>
      <c r="N376" s="257">
        <v>7.1941928140509503</v>
      </c>
      <c r="O376" s="257">
        <v>7.0951110038785403</v>
      </c>
      <c r="P376" s="257">
        <v>7.0505586315913504</v>
      </c>
      <c r="Q376" s="257">
        <v>7.0203086523119804</v>
      </c>
      <c r="R376" s="257">
        <v>6.9725992471316003</v>
      </c>
      <c r="T376" s="10" t="s">
        <v>2098</v>
      </c>
      <c r="U376" s="10">
        <f t="shared" si="30"/>
        <v>-0.2627652765109067</v>
      </c>
      <c r="V376" s="10">
        <f t="shared" si="31"/>
        <v>-0.27778758236763618</v>
      </c>
      <c r="W376" s="10">
        <f t="shared" si="32"/>
        <v>-0.28851632529733162</v>
      </c>
      <c r="X376" s="10">
        <f t="shared" si="33"/>
        <v>-0.29250061942592087</v>
      </c>
      <c r="Y376" s="10">
        <f t="shared" si="34"/>
        <v>-0.29470752838005077</v>
      </c>
      <c r="Z376" s="10">
        <f t="shared" si="35"/>
        <v>-0.29589442621639395</v>
      </c>
      <c r="AA376" s="10">
        <f t="shared" si="36"/>
        <v>-0.29733380334004306</v>
      </c>
    </row>
    <row r="377" spans="2:27" x14ac:dyDescent="0.25">
      <c r="F377" s="477"/>
    </row>
  </sheetData>
  <mergeCells count="8">
    <mergeCell ref="C345:I345"/>
    <mergeCell ref="L345:R345"/>
    <mergeCell ref="U345:AA345"/>
    <mergeCell ref="D116:E116"/>
    <mergeCell ref="F116:G116"/>
    <mergeCell ref="C312:I312"/>
    <mergeCell ref="J176:Q176"/>
    <mergeCell ref="J219:Q219"/>
  </mergeCells>
  <hyperlinks>
    <hyperlink ref="L47" r:id="rId1"/>
    <hyperlink ref="R50" r:id="rId2"/>
    <hyperlink ref="R62" r:id="rId3"/>
    <hyperlink ref="O73" r:id="rId4"/>
    <hyperlink ref="M149" r:id="rId5"/>
  </hyperlinks>
  <pageMargins left="0.7" right="0.7" top="0.75" bottom="0.75" header="0.3" footer="0.3"/>
  <pageSetup orientation="portrait" horizontalDpi="1200" verticalDpi="1200" r:id="rId6"/>
  <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K1224"/>
  <sheetViews>
    <sheetView topLeftCell="A1189" workbookViewId="0">
      <selection activeCell="B213" sqref="B213:G1224"/>
    </sheetView>
  </sheetViews>
  <sheetFormatPr defaultRowHeight="15" x14ac:dyDescent="0.25"/>
  <cols>
    <col min="2" max="2" width="55.85546875" bestFit="1" customWidth="1"/>
    <col min="3" max="3" width="15.5703125" customWidth="1"/>
    <col min="4" max="4" width="21" bestFit="1" customWidth="1"/>
    <col min="5" max="5" width="10" bestFit="1" customWidth="1"/>
    <col min="6" max="6" width="10.85546875" bestFit="1" customWidth="1"/>
    <col min="7" max="7" width="9.42578125" bestFit="1" customWidth="1"/>
  </cols>
  <sheetData>
    <row r="1" spans="2:5" s="31" customFormat="1" x14ac:dyDescent="0.25"/>
    <row r="2" spans="2:5" s="31" customFormat="1" x14ac:dyDescent="0.25">
      <c r="B2" s="335" t="s">
        <v>2728</v>
      </c>
    </row>
    <row r="3" spans="2:5" x14ac:dyDescent="0.25">
      <c r="B3" s="704" t="s">
        <v>2710</v>
      </c>
      <c r="C3" s="704" t="s">
        <v>212</v>
      </c>
      <c r="D3" s="704" t="s">
        <v>194</v>
      </c>
      <c r="E3" s="2"/>
    </row>
    <row r="4" spans="2:5" ht="18" x14ac:dyDescent="0.25">
      <c r="B4" s="12" t="str">
        <f>'Indoor Inputs'!E6</f>
        <v>Facility Size</v>
      </c>
      <c r="C4" s="705">
        <f>15000/m2_to_ft2</f>
        <v>1393.5469485966983</v>
      </c>
      <c r="D4" s="12" t="s">
        <v>2812</v>
      </c>
    </row>
    <row r="5" spans="2:5" ht="18" x14ac:dyDescent="0.25">
      <c r="B5" s="12" t="str">
        <f>'Indoor Inputs'!E8</f>
        <v>Useable Grow Area</v>
      </c>
      <c r="C5" s="705">
        <f>'Indoor Inputs'!K8</f>
        <v>938.18181818181813</v>
      </c>
      <c r="D5" s="12" t="s">
        <v>2812</v>
      </c>
    </row>
    <row r="6" spans="2:5" x14ac:dyDescent="0.25">
      <c r="B6" s="12" t="str">
        <f>'Indoor Inputs'!E9</f>
        <v>Facility Height</v>
      </c>
      <c r="C6" s="705">
        <f>'Indoor Inputs'!K9</f>
        <v>4.5720000000000001</v>
      </c>
      <c r="D6" s="12" t="s">
        <v>583</v>
      </c>
    </row>
    <row r="7" spans="2:5" x14ac:dyDescent="0.25">
      <c r="B7" s="12" t="str">
        <f>'Indoor Inputs'!E11</f>
        <v>Exterior Wall Thickness</v>
      </c>
      <c r="C7" s="12">
        <f>'Indoor Inputs'!G11</f>
        <v>0.30480000000000002</v>
      </c>
      <c r="D7" s="12" t="str">
        <f>'Indoor Inputs'!L11</f>
        <v>meters</v>
      </c>
    </row>
    <row r="8" spans="2:5" x14ac:dyDescent="0.25">
      <c r="B8" s="12" t="str">
        <f>'Indoor Inputs'!E12</f>
        <v>Thermal Conductivity</v>
      </c>
      <c r="C8" s="705">
        <f>'Indoor Inputs'!K12</f>
        <v>5.8000000000000003E-2</v>
      </c>
      <c r="D8" s="12" t="str">
        <f>'Indoor Inputs'!L12</f>
        <v>W/m*K</v>
      </c>
    </row>
    <row r="9" spans="2:5" ht="18" x14ac:dyDescent="0.25">
      <c r="B9" s="12" t="s">
        <v>2715</v>
      </c>
      <c r="C9" s="706">
        <f>'Indoor Inputs'!G13</f>
        <v>30</v>
      </c>
      <c r="D9" s="12" t="s">
        <v>2813</v>
      </c>
    </row>
    <row r="10" spans="2:5" ht="18" x14ac:dyDescent="0.25">
      <c r="B10" s="12" t="s">
        <v>2716</v>
      </c>
      <c r="C10" s="706">
        <f>'Indoor Inputs'!G14</f>
        <v>30</v>
      </c>
      <c r="D10" s="12" t="s">
        <v>2813</v>
      </c>
    </row>
    <row r="11" spans="2:5" x14ac:dyDescent="0.25">
      <c r="B11" s="12" t="str">
        <f>'Indoor Inputs'!E29</f>
        <v>Harvest Quantity</v>
      </c>
      <c r="C11" s="705">
        <f>'Indoor Inputs'!K29</f>
        <v>6.1864406779661021</v>
      </c>
      <c r="D11" s="12" t="s">
        <v>276</v>
      </c>
    </row>
    <row r="12" spans="2:5" x14ac:dyDescent="0.25">
      <c r="B12" s="12" t="str">
        <f>'Indoor Inputs'!E48</f>
        <v>COP Chiller</v>
      </c>
      <c r="C12" s="705">
        <f>'Indoor Inputs'!G48</f>
        <v>3.25</v>
      </c>
      <c r="D12" s="12"/>
    </row>
    <row r="13" spans="2:5" x14ac:dyDescent="0.25">
      <c r="B13" s="12" t="str">
        <f>'Indoor Inputs'!E49</f>
        <v>Heating Efficiency</v>
      </c>
      <c r="C13" s="705">
        <f>'Indoor Inputs'!G49</f>
        <v>0.8</v>
      </c>
      <c r="D13" s="12" t="str">
        <f>'Indoor Inputs'!L49</f>
        <v>% of energy delivered</v>
      </c>
    </row>
    <row r="14" spans="2:5" x14ac:dyDescent="0.25">
      <c r="B14" s="12" t="str">
        <f>'Indoor Inputs'!E50</f>
        <v>Clone Room Duration</v>
      </c>
      <c r="C14" s="12">
        <f>'Indoor Inputs'!G50</f>
        <v>3.1428571428571428</v>
      </c>
      <c r="D14" s="12" t="str">
        <f>'Indoor Inputs'!I50</f>
        <v>weeks/harvest</v>
      </c>
    </row>
    <row r="15" spans="2:5" x14ac:dyDescent="0.25">
      <c r="B15" s="12" t="str">
        <f>'Indoor Inputs'!E51</f>
        <v>Vegetative Growth Duration</v>
      </c>
      <c r="C15" s="12">
        <f>'Indoor Inputs'!G51</f>
        <v>7.1428571428571432</v>
      </c>
      <c r="D15" s="12" t="str">
        <f>'Indoor Inputs'!I51</f>
        <v>weeks/harvest</v>
      </c>
    </row>
    <row r="16" spans="2:5" x14ac:dyDescent="0.25">
      <c r="B16" s="12" t="str">
        <f>'Indoor Inputs'!E52</f>
        <v>Flowering Duration</v>
      </c>
      <c r="C16" s="12">
        <f>'Indoor Inputs'!G52</f>
        <v>8.1428571428571423</v>
      </c>
      <c r="D16" s="12" t="str">
        <f>'Indoor Inputs'!I52</f>
        <v>weeks/harvest</v>
      </c>
    </row>
    <row r="17" spans="2:10" x14ac:dyDescent="0.25">
      <c r="B17" s="12" t="str">
        <f>'Indoor Inputs'!E53</f>
        <v>Curing Duration</v>
      </c>
      <c r="C17" s="12">
        <f>'Indoor Inputs'!G53</f>
        <v>2</v>
      </c>
      <c r="D17" s="12" t="str">
        <f>'Indoor Inputs'!I53</f>
        <v>weeks/harvest</v>
      </c>
    </row>
    <row r="18" spans="2:10" x14ac:dyDescent="0.25">
      <c r="B18" s="12" t="s">
        <v>2714</v>
      </c>
      <c r="C18" s="12">
        <f>'Indoor Inputs'!G54</f>
        <v>2</v>
      </c>
      <c r="D18" s="12" t="str">
        <f>'Indoor Inputs'!I54</f>
        <v>days/stage</v>
      </c>
    </row>
    <row r="19" spans="2:10" ht="18" x14ac:dyDescent="0.25">
      <c r="B19" s="12" t="s">
        <v>2713</v>
      </c>
      <c r="C19" s="705">
        <f>'Indoor Inputs'!G92/C5</f>
        <v>0.11538461538461539</v>
      </c>
      <c r="D19" s="12" t="s">
        <v>2814</v>
      </c>
    </row>
    <row r="20" spans="2:10" x14ac:dyDescent="0.25">
      <c r="B20" s="12" t="s">
        <v>2712</v>
      </c>
      <c r="C20" s="12">
        <f>'Indoor Inputs'!G93</f>
        <v>36.08391608391608</v>
      </c>
      <c r="D20" s="12" t="str">
        <f>'Indoor Inputs'!I93</f>
        <v>HP/hr</v>
      </c>
    </row>
    <row r="21" spans="2:10" x14ac:dyDescent="0.25">
      <c r="B21" s="707" t="str">
        <f>'Indoor Inputs'!E105</f>
        <v>Extractor Fan Power</v>
      </c>
      <c r="C21" s="12">
        <f>'Indoor Inputs'!G105</f>
        <v>28.95877296911635</v>
      </c>
      <c r="D21" s="12" t="s">
        <v>2088</v>
      </c>
    </row>
    <row r="22" spans="2:10" x14ac:dyDescent="0.25">
      <c r="B22" s="707" t="str">
        <f>'Indoor Inputs'!E106</f>
        <v>Intake Fan Power</v>
      </c>
      <c r="C22" s="12">
        <f>'Indoor Inputs'!G106</f>
        <v>28.95877296911635</v>
      </c>
      <c r="D22" s="12" t="s">
        <v>2088</v>
      </c>
    </row>
    <row r="23" spans="2:10" x14ac:dyDescent="0.25">
      <c r="B23" s="12" t="s">
        <v>2711</v>
      </c>
      <c r="C23" s="12">
        <f>'Indoor Inputs'!G94</f>
        <v>3.7489038725885197E-3</v>
      </c>
      <c r="D23" s="12" t="str">
        <f>'Indoor Inputs'!I94</f>
        <v>kWh/gallon</v>
      </c>
    </row>
    <row r="24" spans="2:10" s="31" customFormat="1" x14ac:dyDescent="0.25">
      <c r="B24" s="12" t="str">
        <f>'Indoor Inputs'!E111</f>
        <v>Well Water Temp</v>
      </c>
      <c r="C24" s="12">
        <f>'Indoor Inputs'!G111</f>
        <v>16.3</v>
      </c>
      <c r="D24" s="12" t="s">
        <v>544</v>
      </c>
    </row>
    <row r="25" spans="2:10" s="31" customFormat="1" x14ac:dyDescent="0.25">
      <c r="B25" s="12" t="str">
        <f>'Indoor Inputs'!E110</f>
        <v>Delivered Water Temp</v>
      </c>
      <c r="C25" s="705">
        <f>'Indoor Inputs'!G110</f>
        <v>19.7222222222222</v>
      </c>
      <c r="D25" s="12" t="s">
        <v>544</v>
      </c>
    </row>
    <row r="26" spans="2:10" x14ac:dyDescent="0.25">
      <c r="B26" s="12" t="str">
        <f>'Indoor Inputs'!E97</f>
        <v>Clone Grow Area Fraction</v>
      </c>
      <c r="C26" s="708">
        <f>'Indoor Inputs'!G97</f>
        <v>3.5179332142366362E-2</v>
      </c>
      <c r="D26" s="12" t="s">
        <v>2718</v>
      </c>
    </row>
    <row r="27" spans="2:10" x14ac:dyDescent="0.25">
      <c r="B27" s="12" t="s">
        <v>2717</v>
      </c>
      <c r="C27" s="708">
        <f>'Indoor Inputs'!G98</f>
        <v>0.2253675965370345</v>
      </c>
      <c r="D27" s="12" t="s">
        <v>2718</v>
      </c>
    </row>
    <row r="28" spans="2:10" x14ac:dyDescent="0.25">
      <c r="B28" s="12" t="str">
        <f>'Indoor Inputs'!E99</f>
        <v>Flower Grow Area Fraction</v>
      </c>
      <c r="C28" s="708">
        <f>'Indoor Inputs'!G99</f>
        <v>0.66112408959736157</v>
      </c>
      <c r="D28" s="12" t="s">
        <v>2718</v>
      </c>
    </row>
    <row r="29" spans="2:10" x14ac:dyDescent="0.25">
      <c r="B29" s="693" t="str">
        <f>'Indoor Inputs'!E100</f>
        <v>Cure Grow Area Fraction</v>
      </c>
      <c r="C29" s="709">
        <f>'Indoor Inputs'!G100</f>
        <v>7.8328981723237587E-2</v>
      </c>
      <c r="D29" s="693" t="s">
        <v>2718</v>
      </c>
    </row>
    <row r="30" spans="2:10" s="31" customFormat="1" x14ac:dyDescent="0.25">
      <c r="C30" s="346"/>
    </row>
    <row r="31" spans="2:10" s="31" customFormat="1" x14ac:dyDescent="0.25">
      <c r="B31" s="335" t="s">
        <v>2794</v>
      </c>
    </row>
    <row r="32" spans="2:10" s="31" customFormat="1" x14ac:dyDescent="0.25">
      <c r="B32" s="742" t="s">
        <v>2710</v>
      </c>
      <c r="C32" s="742" t="s">
        <v>2281</v>
      </c>
      <c r="D32" s="742" t="s">
        <v>2283</v>
      </c>
      <c r="E32" s="742" t="s">
        <v>2282</v>
      </c>
      <c r="F32" s="742" t="s">
        <v>2284</v>
      </c>
      <c r="G32" s="742" t="s">
        <v>625</v>
      </c>
      <c r="H32" s="742" t="s">
        <v>2491</v>
      </c>
      <c r="I32" s="742" t="s">
        <v>2489</v>
      </c>
      <c r="J32" s="742" t="s">
        <v>2490</v>
      </c>
    </row>
    <row r="33" spans="2:11" s="31" customFormat="1" x14ac:dyDescent="0.25">
      <c r="B33" s="693" t="s">
        <v>2801</v>
      </c>
      <c r="C33" s="710">
        <v>231.05825463540901</v>
      </c>
      <c r="D33" s="710">
        <v>236.73683822736101</v>
      </c>
      <c r="E33" s="710">
        <v>205.744183339724</v>
      </c>
      <c r="F33" s="710">
        <v>46.428848158563902</v>
      </c>
      <c r="G33" s="710">
        <v>151.15464485804401</v>
      </c>
      <c r="H33" s="710">
        <v>201.81499980807999</v>
      </c>
      <c r="I33" s="710">
        <v>136.018404924142</v>
      </c>
      <c r="J33" s="710">
        <v>30.727126404350301</v>
      </c>
    </row>
    <row r="34" spans="2:11" s="31" customFormat="1" x14ac:dyDescent="0.25">
      <c r="B34" s="693" t="s">
        <v>2800</v>
      </c>
      <c r="C34" s="710">
        <v>3.5710817819240801</v>
      </c>
      <c r="D34" s="710">
        <v>3.2786297868924201</v>
      </c>
      <c r="E34" s="710">
        <v>0.89420054772227597</v>
      </c>
      <c r="F34" s="710">
        <v>5.3160874695685898</v>
      </c>
      <c r="G34" s="710">
        <v>12.805891351178801</v>
      </c>
      <c r="H34" s="710">
        <v>4.26657011283611</v>
      </c>
      <c r="I34" s="710">
        <v>0</v>
      </c>
      <c r="J34" s="710">
        <v>23.0162710323977</v>
      </c>
    </row>
    <row r="35" spans="2:11" s="31" customFormat="1" x14ac:dyDescent="0.25">
      <c r="B35" s="693" t="s">
        <v>2799</v>
      </c>
      <c r="C35" s="710">
        <v>219.169563943035</v>
      </c>
      <c r="D35" s="710">
        <v>726.90230094781703</v>
      </c>
      <c r="E35" s="710">
        <v>1068.9730054245799</v>
      </c>
      <c r="F35" s="710">
        <v>44.509610272558497</v>
      </c>
      <c r="G35" s="710">
        <v>970.58721720450399</v>
      </c>
      <c r="H35" s="710">
        <v>938.59354196784</v>
      </c>
      <c r="I35" s="710">
        <v>2734.07707551873</v>
      </c>
      <c r="J35" s="710">
        <v>2.0473457958785199</v>
      </c>
    </row>
    <row r="36" spans="2:11" s="31" customFormat="1" x14ac:dyDescent="0.25">
      <c r="B36" s="693" t="s">
        <v>2798</v>
      </c>
      <c r="C36" s="710">
        <v>81.345799448009799</v>
      </c>
      <c r="D36" s="710">
        <v>220.86875852735301</v>
      </c>
      <c r="E36" s="710">
        <v>423.557589954359</v>
      </c>
      <c r="F36" s="710">
        <v>19.636439985202401</v>
      </c>
      <c r="G36" s="710">
        <v>606.116387496828</v>
      </c>
      <c r="H36" s="710">
        <v>377.02251775498797</v>
      </c>
      <c r="I36" s="710">
        <v>832.32140050408896</v>
      </c>
      <c r="J36" s="710">
        <v>0.70460406106738305</v>
      </c>
    </row>
    <row r="37" spans="2:11" s="31" customFormat="1" x14ac:dyDescent="0.25">
      <c r="B37" s="693" t="s">
        <v>2797</v>
      </c>
      <c r="C37" s="710">
        <v>2.9033218465228399</v>
      </c>
      <c r="D37" s="710">
        <v>0.58783860274767896</v>
      </c>
      <c r="E37" s="710">
        <v>0.313517370339993</v>
      </c>
      <c r="F37" s="710">
        <v>0.20622565441725399</v>
      </c>
      <c r="G37" s="710">
        <v>11.478940588362599</v>
      </c>
      <c r="H37" s="710">
        <v>0.16433915467903501</v>
      </c>
      <c r="I37" s="710">
        <v>0</v>
      </c>
      <c r="J37" s="710">
        <v>0</v>
      </c>
    </row>
    <row r="38" spans="2:11" s="31" customFormat="1" x14ac:dyDescent="0.25">
      <c r="B38" s="693" t="s">
        <v>2796</v>
      </c>
      <c r="C38" s="710">
        <v>3.1703778303213799</v>
      </c>
      <c r="D38" s="710">
        <v>1.0288655995073399</v>
      </c>
      <c r="E38" s="710">
        <v>0.20408258913169999</v>
      </c>
      <c r="F38" s="710">
        <v>0.39788967079321402</v>
      </c>
      <c r="G38" s="710">
        <v>17.8804765050286</v>
      </c>
      <c r="H38" s="710">
        <v>0.10623267426862699</v>
      </c>
      <c r="I38" s="710">
        <v>0</v>
      </c>
      <c r="J38" s="710">
        <v>0</v>
      </c>
      <c r="K38" s="73"/>
    </row>
    <row r="39" spans="2:11" s="31" customFormat="1" x14ac:dyDescent="0.25">
      <c r="B39" s="693" t="s">
        <v>2795</v>
      </c>
      <c r="C39" s="710">
        <v>3.5192758992395299</v>
      </c>
      <c r="D39" s="710">
        <v>3.0975796861576801</v>
      </c>
      <c r="E39" s="710">
        <v>0.42672245630739403</v>
      </c>
      <c r="F39" s="710">
        <v>0.97542232404183704</v>
      </c>
      <c r="G39" s="710">
        <v>60.646529086778003</v>
      </c>
      <c r="H39" s="710">
        <v>0.58814332375510903</v>
      </c>
      <c r="I39" s="710">
        <v>0</v>
      </c>
      <c r="J39" s="710">
        <v>0</v>
      </c>
    </row>
    <row r="40" spans="2:11" s="31" customFormat="1" x14ac:dyDescent="0.25">
      <c r="B40" s="693" t="str">
        <f>Figures!I185</f>
        <v>Dehumidification (Electric)</v>
      </c>
      <c r="C40" s="710">
        <v>123.957910647479</v>
      </c>
      <c r="D40" s="710">
        <v>52.617543915440102</v>
      </c>
      <c r="E40" s="710">
        <v>80.487357604437307</v>
      </c>
      <c r="F40" s="710">
        <v>1217.3199153237299</v>
      </c>
      <c r="G40" s="710">
        <v>31.094890675830801</v>
      </c>
      <c r="H40" s="710">
        <v>318.96568964147798</v>
      </c>
      <c r="I40" s="710">
        <v>0.221894248596988</v>
      </c>
      <c r="J40" s="710">
        <v>1952.5396516687599</v>
      </c>
    </row>
    <row r="41" spans="2:11" s="31" customFormat="1" x14ac:dyDescent="0.25">
      <c r="B41" s="693" t="str">
        <f>Figures!I186</f>
        <v>Dehumidification Reheat (NG)</v>
      </c>
      <c r="C41" s="710">
        <v>240.691013912844</v>
      </c>
      <c r="D41" s="710">
        <v>78.082155676967204</v>
      </c>
      <c r="E41" s="710">
        <v>129.18371986559899</v>
      </c>
      <c r="F41" s="710">
        <v>735.33121511597597</v>
      </c>
      <c r="G41" s="710">
        <v>24.435379809594</v>
      </c>
      <c r="H41" s="710">
        <v>178.88341886322399</v>
      </c>
      <c r="I41" s="710">
        <v>0.73914477448873805</v>
      </c>
      <c r="J41" s="710">
        <v>759.625094587641</v>
      </c>
    </row>
    <row r="42" spans="2:11" s="31" customFormat="1" x14ac:dyDescent="0.25">
      <c r="B42" s="693" t="str">
        <f>Figures!I187</f>
        <v>Electricity from Lights</v>
      </c>
      <c r="C42" s="710">
        <v>325.55287244178601</v>
      </c>
      <c r="D42" s="710">
        <v>420.00110825803199</v>
      </c>
      <c r="E42" s="710">
        <v>344.68575910549902</v>
      </c>
      <c r="F42" s="710">
        <v>611.63356475767398</v>
      </c>
      <c r="G42" s="710">
        <v>836.88042477533702</v>
      </c>
      <c r="H42" s="710">
        <v>863.20077686081504</v>
      </c>
      <c r="I42" s="710">
        <v>345.16941147492503</v>
      </c>
      <c r="J42" s="710">
        <v>1102.3341023242001</v>
      </c>
    </row>
    <row r="43" spans="2:11" s="31" customFormat="1" x14ac:dyDescent="0.25">
      <c r="B43" s="693" t="str">
        <f>Figures!I188</f>
        <v>Water for Plants</v>
      </c>
      <c r="C43" s="710">
        <v>1.8738491283660299</v>
      </c>
      <c r="D43" s="710">
        <v>1.8738491283660299</v>
      </c>
      <c r="E43" s="710">
        <v>1.8738491283660299</v>
      </c>
      <c r="F43" s="710">
        <v>1.8738491283660299</v>
      </c>
      <c r="G43" s="710">
        <v>1.8738491283660299</v>
      </c>
      <c r="H43" s="710">
        <v>1.8738491283660299</v>
      </c>
      <c r="I43" s="710">
        <v>1.8738491283660299</v>
      </c>
      <c r="J43" s="710">
        <v>1.8738491283660299</v>
      </c>
    </row>
    <row r="44" spans="2:11" s="31" customFormat="1" x14ac:dyDescent="0.25">
      <c r="B44" s="693" t="str">
        <f>Figures!I189</f>
        <v>Irrigation Pumping Load</v>
      </c>
      <c r="C44" s="710">
        <v>0.59199069899421897</v>
      </c>
      <c r="D44" s="710">
        <v>0.76373692479238997</v>
      </c>
      <c r="E44" s="710">
        <v>0.62678225486308603</v>
      </c>
      <c r="F44" s="710">
        <v>1.1122045362814801</v>
      </c>
      <c r="G44" s="710">
        <v>1.5217971321261199</v>
      </c>
      <c r="H44" s="710">
        <v>1.5696584933605899</v>
      </c>
      <c r="I44" s="710">
        <v>0.627661736288327</v>
      </c>
      <c r="J44" s="710">
        <v>2.0045024664211999</v>
      </c>
      <c r="K44" s="73"/>
    </row>
    <row r="45" spans="2:11" s="31" customFormat="1" x14ac:dyDescent="0.25">
      <c r="B45" s="693" t="str">
        <f>Figures!I190</f>
        <v>Water Heating Load</v>
      </c>
      <c r="C45" s="710">
        <v>0.78433677810459601</v>
      </c>
      <c r="D45" s="710">
        <v>1.01188576092312</v>
      </c>
      <c r="E45" s="710">
        <v>0.83043259832912897</v>
      </c>
      <c r="F45" s="710">
        <v>1.47357538566472</v>
      </c>
      <c r="G45" s="710">
        <v>2.0162503592852401</v>
      </c>
      <c r="H45" s="710">
        <v>2.07966254790598</v>
      </c>
      <c r="I45" s="710">
        <v>0.83159783560168898</v>
      </c>
      <c r="J45" s="710">
        <v>2.6557934252795898</v>
      </c>
    </row>
    <row r="46" spans="2:11" s="31" customFormat="1" x14ac:dyDescent="0.25">
      <c r="B46" s="693" t="str">
        <f>Figures!I191</f>
        <v>CO2</v>
      </c>
      <c r="C46" s="710">
        <v>573.977991751486</v>
      </c>
      <c r="D46" s="710">
        <v>573.977991751486</v>
      </c>
      <c r="E46" s="710">
        <v>573.977991751486</v>
      </c>
      <c r="F46" s="710">
        <v>573.977991751486</v>
      </c>
      <c r="G46" s="710">
        <v>573.977991751486</v>
      </c>
      <c r="H46" s="710">
        <v>573.977991751486</v>
      </c>
      <c r="I46" s="710">
        <v>573.977991751486</v>
      </c>
      <c r="J46" s="710">
        <v>573.977991751486</v>
      </c>
    </row>
    <row r="47" spans="2:11" s="31" customFormat="1" x14ac:dyDescent="0.25">
      <c r="B47" s="693" t="str">
        <f>Figures!I192</f>
        <v>Ammonium Nitrate (N)</v>
      </c>
      <c r="C47" s="710">
        <v>2.0966714736283101</v>
      </c>
      <c r="D47" s="710">
        <v>2.0966714736283101</v>
      </c>
      <c r="E47" s="710">
        <v>2.0966714736283101</v>
      </c>
      <c r="F47" s="710">
        <v>2.0966714736283101</v>
      </c>
      <c r="G47" s="710">
        <v>2.0966714736283101</v>
      </c>
      <c r="H47" s="710">
        <v>2.0966714736283101</v>
      </c>
      <c r="I47" s="710">
        <v>2.0966714736283101</v>
      </c>
      <c r="J47" s="710">
        <v>2.0966714736283101</v>
      </c>
    </row>
    <row r="48" spans="2:11" s="31" customFormat="1" x14ac:dyDescent="0.25">
      <c r="B48" s="693" t="str">
        <f>Figures!I193</f>
        <v>Triple Superphosphate (P)</v>
      </c>
      <c r="C48" s="710">
        <v>1.0265977798802099</v>
      </c>
      <c r="D48" s="710">
        <v>1.0265977798802099</v>
      </c>
      <c r="E48" s="710">
        <v>1.0265977798802099</v>
      </c>
      <c r="F48" s="710">
        <v>1.0265977798802099</v>
      </c>
      <c r="G48" s="710">
        <v>1.0265977798802099</v>
      </c>
      <c r="H48" s="710">
        <v>1.0265977798802099</v>
      </c>
      <c r="I48" s="710">
        <v>1.0265977798802099</v>
      </c>
      <c r="J48" s="710">
        <v>1.0265977798802099</v>
      </c>
    </row>
    <row r="49" spans="2:10" s="31" customFormat="1" x14ac:dyDescent="0.25">
      <c r="B49" s="693" t="str">
        <f>Figures!I194</f>
        <v>Potassium Chloride (K)</v>
      </c>
      <c r="C49" s="710">
        <v>0.188953706904364</v>
      </c>
      <c r="D49" s="710">
        <v>0.188953706904364</v>
      </c>
      <c r="E49" s="710">
        <v>0.188953706904364</v>
      </c>
      <c r="F49" s="710">
        <v>0.188953706904364</v>
      </c>
      <c r="G49" s="710">
        <v>0.188953706904364</v>
      </c>
      <c r="H49" s="710">
        <v>0.188953706904364</v>
      </c>
      <c r="I49" s="710">
        <v>0.188953706904364</v>
      </c>
      <c r="J49" s="710">
        <v>0.188953706904364</v>
      </c>
    </row>
    <row r="50" spans="2:10" s="31" customFormat="1" x14ac:dyDescent="0.25">
      <c r="B50" s="693" t="str">
        <f>Figures!I195</f>
        <v>Soil</v>
      </c>
      <c r="C50" s="710">
        <v>3.8982274507707499</v>
      </c>
      <c r="D50" s="710">
        <v>3.8982274507707499</v>
      </c>
      <c r="E50" s="710">
        <v>3.8982274507707499</v>
      </c>
      <c r="F50" s="710">
        <v>3.8982274507707499</v>
      </c>
      <c r="G50" s="710">
        <v>3.8982274507707499</v>
      </c>
      <c r="H50" s="710">
        <v>3.8982274507707499</v>
      </c>
      <c r="I50" s="710">
        <v>3.8982274507707499</v>
      </c>
      <c r="J50" s="710">
        <v>3.8982274507707499</v>
      </c>
    </row>
    <row r="51" spans="2:10" s="31" customFormat="1" x14ac:dyDescent="0.25">
      <c r="B51" s="693" t="str">
        <f>Figures!I196</f>
        <v>Soil Amendments</v>
      </c>
      <c r="C51" s="710">
        <v>133.33488267000399</v>
      </c>
      <c r="D51" s="710">
        <v>133.33488267000399</v>
      </c>
      <c r="E51" s="710">
        <v>133.33488267000399</v>
      </c>
      <c r="F51" s="710">
        <v>133.33488267000399</v>
      </c>
      <c r="G51" s="710">
        <v>133.33488267000399</v>
      </c>
      <c r="H51" s="710">
        <v>133.33488267000399</v>
      </c>
      <c r="I51" s="710">
        <v>133.33488267000399</v>
      </c>
      <c r="J51" s="710">
        <v>133.33488267000399</v>
      </c>
    </row>
    <row r="52" spans="2:10" s="31" customFormat="1" x14ac:dyDescent="0.25">
      <c r="B52" s="693" t="str">
        <f>Figures!I197</f>
        <v xml:space="preserve">Neem Oil </v>
      </c>
      <c r="C52" s="710">
        <v>7.5105598976807801</v>
      </c>
      <c r="D52" s="710">
        <v>7.5105598976807801</v>
      </c>
      <c r="E52" s="710">
        <v>7.5105598976807801</v>
      </c>
      <c r="F52" s="710">
        <v>7.5105598976807801</v>
      </c>
      <c r="G52" s="710">
        <v>7.5105598976807801</v>
      </c>
      <c r="H52" s="710">
        <v>7.5105598976807801</v>
      </c>
      <c r="I52" s="710">
        <v>7.5105598976807801</v>
      </c>
      <c r="J52" s="710">
        <v>7.5105598976807801</v>
      </c>
    </row>
    <row r="53" spans="2:10" s="31" customFormat="1" x14ac:dyDescent="0.25">
      <c r="B53" s="693" t="str">
        <f>Figures!I198</f>
        <v>Neem Oil (water)</v>
      </c>
      <c r="C53" s="710">
        <v>5.0225807477281899E-2</v>
      </c>
      <c r="D53" s="710">
        <v>5.0225807477281899E-2</v>
      </c>
      <c r="E53" s="710">
        <v>5.0225807477281899E-2</v>
      </c>
      <c r="F53" s="710">
        <v>5.0225807477281899E-2</v>
      </c>
      <c r="G53" s="710">
        <v>5.0225807477281899E-2</v>
      </c>
      <c r="H53" s="710">
        <v>5.0225807477281899E-2</v>
      </c>
      <c r="I53" s="710">
        <v>5.0225807477281899E-2</v>
      </c>
      <c r="J53" s="710">
        <v>5.0225807477281899E-2</v>
      </c>
    </row>
    <row r="54" spans="2:10" s="31" customFormat="1" x14ac:dyDescent="0.25">
      <c r="B54" s="693" t="str">
        <f>Figures!I199</f>
        <v>Neem Oil (Soap)</v>
      </c>
      <c r="C54" s="710">
        <v>1.21433638282359</v>
      </c>
      <c r="D54" s="710">
        <v>1.21433638282359</v>
      </c>
      <c r="E54" s="710">
        <v>1.21433638282359</v>
      </c>
      <c r="F54" s="710">
        <v>1.21433638282359</v>
      </c>
      <c r="G54" s="710">
        <v>1.21433638282359</v>
      </c>
      <c r="H54" s="710">
        <v>1.21433638282359</v>
      </c>
      <c r="I54" s="710">
        <v>1.21433638282359</v>
      </c>
      <c r="J54" s="710">
        <v>1.21433638282359</v>
      </c>
    </row>
    <row r="55" spans="2:10" s="31" customFormat="1" x14ac:dyDescent="0.25">
      <c r="B55" s="693" t="str">
        <f>Figures!I200</f>
        <v>Fungicides</v>
      </c>
      <c r="C55" s="710">
        <v>7.3918207234744404</v>
      </c>
      <c r="D55" s="710">
        <v>7.3918207234744404</v>
      </c>
      <c r="E55" s="710">
        <v>7.3918207234744404</v>
      </c>
      <c r="F55" s="710">
        <v>7.3918207234744404</v>
      </c>
      <c r="G55" s="710">
        <v>7.3918207234744404</v>
      </c>
      <c r="H55" s="710">
        <v>7.3918207234744404</v>
      </c>
      <c r="I55" s="710">
        <v>7.3918207234744404</v>
      </c>
      <c r="J55" s="710">
        <v>7.3918207234744404</v>
      </c>
    </row>
    <row r="56" spans="2:10" s="31" customFormat="1" x14ac:dyDescent="0.25">
      <c r="B56" s="693" t="str">
        <f>Figures!I201</f>
        <v>Extractor Fan Electricity</v>
      </c>
      <c r="C56" s="710">
        <v>26.6840054499568</v>
      </c>
      <c r="D56" s="710">
        <v>34.425473741593997</v>
      </c>
      <c r="E56" s="710">
        <v>28.252236281952399</v>
      </c>
      <c r="F56" s="710">
        <v>50.132665864555399</v>
      </c>
      <c r="G56" s="710">
        <v>68.595069206954804</v>
      </c>
      <c r="H56" s="710">
        <v>70.7524220609655</v>
      </c>
      <c r="I56" s="710">
        <v>28.2918789438795</v>
      </c>
      <c r="J56" s="710">
        <v>90.353032284646403</v>
      </c>
    </row>
    <row r="57" spans="2:10" s="31" customFormat="1" x14ac:dyDescent="0.25">
      <c r="B57" s="693" t="str">
        <f>Figures!I202</f>
        <v>Intake Fan Electricity</v>
      </c>
      <c r="C57" s="710">
        <v>26.6840054499568</v>
      </c>
      <c r="D57" s="710">
        <v>34.425473741593997</v>
      </c>
      <c r="E57" s="710">
        <v>28.252236281952399</v>
      </c>
      <c r="F57" s="710">
        <v>50.132665864555399</v>
      </c>
      <c r="G57" s="710">
        <v>68.595069206954804</v>
      </c>
      <c r="H57" s="710">
        <v>70.7524220609655</v>
      </c>
      <c r="I57" s="710">
        <v>28.2918789438795</v>
      </c>
      <c r="J57" s="710">
        <v>90.353032284646403</v>
      </c>
    </row>
    <row r="58" spans="2:10" s="31" customFormat="1" x14ac:dyDescent="0.25">
      <c r="B58" s="693" t="str">
        <f>Figures!I203</f>
        <v>Circulation Fan Electricity</v>
      </c>
      <c r="C58" s="710">
        <v>33.249454818609401</v>
      </c>
      <c r="D58" s="710">
        <v>42.895667815950297</v>
      </c>
      <c r="E58" s="710">
        <v>35.203540021124198</v>
      </c>
      <c r="F58" s="710">
        <v>62.467526163793103</v>
      </c>
      <c r="G58" s="710">
        <v>85.472499945832496</v>
      </c>
      <c r="H58" s="710">
        <v>88.160657328417102</v>
      </c>
      <c r="I58" s="710">
        <v>35.252936536917503</v>
      </c>
      <c r="J58" s="710">
        <v>112.583887389274</v>
      </c>
    </row>
    <row r="59" spans="2:10" s="31" customFormat="1" x14ac:dyDescent="0.25">
      <c r="B59" s="693" t="str">
        <f>Figures!I204</f>
        <v>Landfill Operations</v>
      </c>
      <c r="C59" s="710">
        <v>1.3033532362270901</v>
      </c>
      <c r="D59" s="710">
        <v>1.3033532362270901</v>
      </c>
      <c r="E59" s="710">
        <v>1.3033532362270901</v>
      </c>
      <c r="F59" s="710">
        <v>1.3033532362270901</v>
      </c>
      <c r="G59" s="710">
        <v>1.3033532362270901</v>
      </c>
      <c r="H59" s="710">
        <v>1.3033532362270901</v>
      </c>
      <c r="I59" s="710">
        <v>1.3033532362270901</v>
      </c>
      <c r="J59" s="710">
        <v>1.3033532362270901</v>
      </c>
    </row>
    <row r="60" spans="2:10" s="31" customFormat="1" x14ac:dyDescent="0.25">
      <c r="B60" s="693" t="str">
        <f>Figures!I205</f>
        <v>Landfill Emissions</v>
      </c>
      <c r="C60" s="710">
        <v>441.680817194859</v>
      </c>
      <c r="D60" s="710">
        <v>441.680817194859</v>
      </c>
      <c r="E60" s="710">
        <v>441.680817194859</v>
      </c>
      <c r="F60" s="710">
        <v>441.680817194859</v>
      </c>
      <c r="G60" s="710">
        <v>441.680817194859</v>
      </c>
      <c r="H60" s="710">
        <v>441.680817194859</v>
      </c>
      <c r="I60" s="710">
        <v>441.680817194859</v>
      </c>
      <c r="J60" s="710">
        <v>441.680817194859</v>
      </c>
    </row>
    <row r="61" spans="2:10" s="31" customFormat="1" x14ac:dyDescent="0.25">
      <c r="B61" s="693" t="str">
        <f>Figures!I206</f>
        <v>Transportation to Landfill</v>
      </c>
      <c r="C61" s="710">
        <v>18.181297848809098</v>
      </c>
      <c r="D61" s="710">
        <v>18.181297848809098</v>
      </c>
      <c r="E61" s="710">
        <v>18.181297848809098</v>
      </c>
      <c r="F61" s="710">
        <v>18.181297848809098</v>
      </c>
      <c r="G61" s="710">
        <v>18.181297848809098</v>
      </c>
      <c r="H61" s="710">
        <v>18.181297848809098</v>
      </c>
      <c r="I61" s="710">
        <v>18.181297848809098</v>
      </c>
      <c r="J61" s="710">
        <v>18.181297848809098</v>
      </c>
    </row>
    <row r="62" spans="2:10" s="31" customFormat="1" x14ac:dyDescent="0.25">
      <c r="B62" s="693" t="str">
        <f>Figures!I207</f>
        <v>Secondary Air Conditioning</v>
      </c>
      <c r="C62" s="710">
        <v>20.951949677809001</v>
      </c>
      <c r="D62" s="710">
        <v>25.1382731918434</v>
      </c>
      <c r="E62" s="710">
        <v>18.906872263841102</v>
      </c>
      <c r="F62" s="710">
        <v>42.313431786645801</v>
      </c>
      <c r="G62" s="710">
        <v>48.363117509482301</v>
      </c>
      <c r="H62" s="710">
        <v>49.2476672055123</v>
      </c>
      <c r="I62" s="710">
        <v>8.6663801459382093</v>
      </c>
      <c r="J62" s="710">
        <v>76.650317153199097</v>
      </c>
    </row>
    <row r="63" spans="2:10" s="31" customFormat="1" x14ac:dyDescent="0.25">
      <c r="B63" s="693" t="str">
        <f>Figures!I208</f>
        <v>Secondary Dehumidification</v>
      </c>
      <c r="C63" s="710">
        <v>0</v>
      </c>
      <c r="D63" s="710">
        <v>0</v>
      </c>
      <c r="E63" s="710">
        <v>0</v>
      </c>
      <c r="F63" s="710">
        <v>0</v>
      </c>
      <c r="G63" s="710">
        <v>0</v>
      </c>
      <c r="H63" s="710">
        <v>0</v>
      </c>
      <c r="I63" s="710">
        <v>0</v>
      </c>
      <c r="J63" s="710">
        <v>0</v>
      </c>
    </row>
    <row r="64" spans="2:10" s="31" customFormat="1" x14ac:dyDescent="0.25">
      <c r="B64" s="693" t="str">
        <f>Figures!I209</f>
        <v>Secondary Heating</v>
      </c>
      <c r="C64" s="710">
        <v>0.17938229741469799</v>
      </c>
      <c r="D64" s="710">
        <v>1.8356302673606799</v>
      </c>
      <c r="E64" s="710">
        <v>2.7747312454510902</v>
      </c>
      <c r="F64" s="710">
        <v>5.7393851332622502E-2</v>
      </c>
      <c r="G64" s="710">
        <v>6.9398265032106403</v>
      </c>
      <c r="H64" s="710">
        <v>5.9891750343573698</v>
      </c>
      <c r="I64" s="710">
        <v>10.4888648872868</v>
      </c>
      <c r="J64" s="710">
        <v>7.2961148175897995E-4</v>
      </c>
    </row>
    <row r="65" spans="2:10" s="31" customFormat="1" x14ac:dyDescent="0.25">
      <c r="B65" s="693" t="str">
        <f>Figures!I210</f>
        <v>Transportation, Lorry, to facility</v>
      </c>
      <c r="C65" s="710">
        <v>111.10614717449999</v>
      </c>
      <c r="D65" s="710">
        <v>111.10614717449999</v>
      </c>
      <c r="E65" s="710">
        <v>111.10614717449999</v>
      </c>
      <c r="F65" s="710">
        <v>111.10614717449999</v>
      </c>
      <c r="G65" s="710">
        <v>111.10614717449999</v>
      </c>
      <c r="H65" s="710">
        <v>111.10614717449999</v>
      </c>
      <c r="I65" s="710">
        <v>111.10614717449999</v>
      </c>
      <c r="J65" s="710">
        <v>111.10614717449999</v>
      </c>
    </row>
    <row r="66" spans="2:10" s="31" customFormat="1" x14ac:dyDescent="0.25">
      <c r="B66" s="693" t="str">
        <f>Figures!I211</f>
        <v>Transportation, Truck, to facility</v>
      </c>
      <c r="C66" s="710">
        <v>127.51024413008599</v>
      </c>
      <c r="D66" s="710">
        <v>127.51024413008599</v>
      </c>
      <c r="E66" s="710">
        <v>127.51024413008599</v>
      </c>
      <c r="F66" s="710">
        <v>127.51024413008599</v>
      </c>
      <c r="G66" s="710">
        <v>127.51024413008599</v>
      </c>
      <c r="H66" s="710">
        <v>127.51024413008599</v>
      </c>
      <c r="I66" s="710">
        <v>127.51024413008599</v>
      </c>
      <c r="J66" s="710">
        <v>127.51024413008599</v>
      </c>
    </row>
    <row r="67" spans="2:10" s="31" customFormat="1" x14ac:dyDescent="0.25">
      <c r="B67" s="693" t="str">
        <f>Figures!I212</f>
        <v>Tranportation, passenger vehicle, to facility</v>
      </c>
      <c r="C67" s="710">
        <v>7.3829687421400996</v>
      </c>
      <c r="D67" s="710">
        <v>7.3829687421400996</v>
      </c>
      <c r="E67" s="710">
        <v>7.3829687421400996</v>
      </c>
      <c r="F67" s="710">
        <v>7.3829687421400996</v>
      </c>
      <c r="G67" s="710">
        <v>7.3829687421400996</v>
      </c>
      <c r="H67" s="710">
        <v>7.3829687421400996</v>
      </c>
      <c r="I67" s="710">
        <v>7.3829687421400996</v>
      </c>
      <c r="J67" s="710">
        <v>7.3829687421400996</v>
      </c>
    </row>
    <row r="68" spans="2:10" s="31" customFormat="1" x14ac:dyDescent="0.25">
      <c r="B68" s="693" t="str">
        <f>Figures!I213</f>
        <v>Carbon Sequestered in product</v>
      </c>
      <c r="C68" s="710">
        <v>-1.8333333333333299</v>
      </c>
      <c r="D68" s="710">
        <v>-1.8333333333333299</v>
      </c>
      <c r="E68" s="710">
        <v>-1.8333333333333299</v>
      </c>
      <c r="F68" s="710">
        <v>-1.8333333333333299</v>
      </c>
      <c r="G68" s="710">
        <v>-1.8333333333333299</v>
      </c>
      <c r="H68" s="710">
        <v>-1.8333333333333299</v>
      </c>
      <c r="I68" s="710">
        <v>-1.8333333333333299</v>
      </c>
      <c r="J68" s="710">
        <v>-1.8333333333333299</v>
      </c>
    </row>
    <row r="69" spans="2:10" s="31" customFormat="1" x14ac:dyDescent="0.25">
      <c r="B69" s="693" t="str">
        <f>Figures!I214</f>
        <v>Carbon sequestered in landfill</v>
      </c>
      <c r="C69" s="710">
        <v>-203.27066434564901</v>
      </c>
      <c r="D69" s="710">
        <v>-203.27066434564901</v>
      </c>
      <c r="E69" s="710">
        <v>-203.27066434564901</v>
      </c>
      <c r="F69" s="710">
        <v>-203.27066434564901</v>
      </c>
      <c r="G69" s="710">
        <v>-203.27066434564901</v>
      </c>
      <c r="H69" s="710">
        <v>-203.27066434564901</v>
      </c>
      <c r="I69" s="710">
        <v>-203.27066434564901</v>
      </c>
      <c r="J69" s="710">
        <v>-203.27066434564901</v>
      </c>
    </row>
    <row r="70" spans="2:10" s="31" customFormat="1" x14ac:dyDescent="0.25">
      <c r="B70" s="693" t="s">
        <v>2815</v>
      </c>
      <c r="C70" s="710">
        <v>2578.6895449775511</v>
      </c>
      <c r="D70" s="710">
        <v>3118.3227080924676</v>
      </c>
      <c r="E70" s="710">
        <v>3603.9419166253479</v>
      </c>
      <c r="F70" s="710">
        <v>4124.0696296054894</v>
      </c>
      <c r="G70" s="710">
        <v>4239.2093596354671</v>
      </c>
      <c r="H70" s="710">
        <v>4406.7828423135843</v>
      </c>
      <c r="I70" s="710">
        <v>5395.6234778948974</v>
      </c>
      <c r="J70" s="710">
        <v>5480.2204379093791</v>
      </c>
    </row>
    <row r="71" spans="2:10" s="31" customFormat="1" x14ac:dyDescent="0.25"/>
    <row r="72" spans="2:10" s="31" customFormat="1" x14ac:dyDescent="0.25">
      <c r="C72" s="346"/>
    </row>
    <row r="73" spans="2:10" s="31" customFormat="1" x14ac:dyDescent="0.25">
      <c r="C73" s="346"/>
    </row>
    <row r="74" spans="2:10" s="31" customFormat="1" x14ac:dyDescent="0.25">
      <c r="B74" s="335" t="s">
        <v>2729</v>
      </c>
      <c r="C74" s="346"/>
    </row>
    <row r="75" spans="2:10" x14ac:dyDescent="0.25">
      <c r="B75" s="704" t="s">
        <v>2710</v>
      </c>
      <c r="C75" s="693" t="s">
        <v>212</v>
      </c>
      <c r="D75" s="693" t="s">
        <v>194</v>
      </c>
    </row>
    <row r="76" spans="2:10" ht="18" x14ac:dyDescent="0.25">
      <c r="B76" s="12" t="str">
        <f>'Indoor Inputs'!E16</f>
        <v>Plant Density</v>
      </c>
      <c r="C76" s="705">
        <f>'Indoor Inputs'!G16</f>
        <v>2.6909749999999999</v>
      </c>
      <c r="D76" s="705" t="s">
        <v>2816</v>
      </c>
    </row>
    <row r="77" spans="2:10" x14ac:dyDescent="0.25">
      <c r="B77" s="12" t="str">
        <f>'Indoor Inputs'!E17</f>
        <v>Number of Plants</v>
      </c>
      <c r="C77" s="705">
        <f>'Indoor Inputs'!K17</f>
        <v>1669.0896233712692</v>
      </c>
      <c r="D77" s="12" t="str">
        <f>'Indoor Inputs'!L17</f>
        <v>plants/harvest-flower</v>
      </c>
    </row>
    <row r="78" spans="2:10" ht="18" x14ac:dyDescent="0.25">
      <c r="B78" s="12" t="str">
        <f>'Indoor Inputs'!E18</f>
        <v>Plant Yield</v>
      </c>
      <c r="C78" s="705">
        <f>'Indoor Inputs'!K18</f>
        <v>0.43899789338245743</v>
      </c>
      <c r="D78" s="12" t="s">
        <v>2817</v>
      </c>
    </row>
    <row r="79" spans="2:10" x14ac:dyDescent="0.25">
      <c r="B79" s="12" t="str">
        <f>'Indoor Inputs'!E95</f>
        <v>Water Amount</v>
      </c>
      <c r="C79" s="12">
        <f>'Indoor Inputs'!G95</f>
        <v>1</v>
      </c>
      <c r="D79" s="12" t="str">
        <f>'Indoor Inputs'!I95</f>
        <v>gal/plant/day</v>
      </c>
    </row>
    <row r="80" spans="2:10" s="31" customFormat="1" ht="18" x14ac:dyDescent="0.25">
      <c r="B80" s="12" t="str">
        <f>'Indoor Inputs'!E91</f>
        <v>Coco Coir as Soil</v>
      </c>
      <c r="C80" s="711">
        <f>'Indoor Inputs'!G91</f>
        <v>3.2128672800000001E-2</v>
      </c>
      <c r="D80" s="12" t="s">
        <v>2818</v>
      </c>
    </row>
    <row r="81" spans="2:4" s="31" customFormat="1" ht="18" x14ac:dyDescent="0.25">
      <c r="B81" s="12" t="str">
        <f>'Indoor Inputs'!E22</f>
        <v>Soil Amendments (Perlite)</v>
      </c>
      <c r="C81" s="711">
        <f>'Indoor Inputs'!G22</f>
        <v>1.37694312E-2</v>
      </c>
      <c r="D81" s="12" t="s">
        <v>2818</v>
      </c>
    </row>
    <row r="82" spans="2:4" s="31" customFormat="1" x14ac:dyDescent="0.25">
      <c r="B82" s="12" t="str">
        <f>'Indoor Inputs'!E21</f>
        <v>Biofungicide (Folpet)</v>
      </c>
      <c r="C82" s="711">
        <f>'Indoor Inputs'!G21/C77</f>
        <v>0.29252061801590634</v>
      </c>
      <c r="D82" s="12" t="s">
        <v>1518</v>
      </c>
    </row>
    <row r="83" spans="2:4" s="31" customFormat="1" x14ac:dyDescent="0.25">
      <c r="B83" s="12" t="str">
        <f>'Indoor Inputs'!E26</f>
        <v>Neem oil for insecticide</v>
      </c>
      <c r="C83" s="711">
        <f>'Indoor Inputs'!G26</f>
        <v>0.27500000000000002</v>
      </c>
      <c r="D83" s="12" t="str">
        <f>'Indoor Inputs'!I26</f>
        <v>liters/plant-cycle</v>
      </c>
    </row>
    <row r="84" spans="2:4" s="31" customFormat="1" x14ac:dyDescent="0.25">
      <c r="B84" s="12" t="str">
        <f>'Indoor Inputs'!E27</f>
        <v>water mixed with neem oil application</v>
      </c>
      <c r="C84" s="711">
        <f>'Indoor Inputs'!G27</f>
        <v>11</v>
      </c>
      <c r="D84" s="12" t="str">
        <f>'Indoor Inputs'!I27</f>
        <v>liters/plant-cycle</v>
      </c>
    </row>
    <row r="85" spans="2:4" x14ac:dyDescent="0.25">
      <c r="B85" s="12" t="str">
        <f>'Indoor Inputs'!E28</f>
        <v>Surfactant mixed with neem oil application</v>
      </c>
      <c r="C85" s="711">
        <f>'Indoor Inputs'!G28</f>
        <v>5.4218119999999995E-2</v>
      </c>
      <c r="D85" s="12" t="str">
        <f>'Indoor Inputs'!I28</f>
        <v>liters/plant-cycle</v>
      </c>
    </row>
    <row r="86" spans="2:4" x14ac:dyDescent="0.25">
      <c r="B86" s="12" t="str">
        <f>'Indoor Inputs'!E112</f>
        <v>Waste from Plants</v>
      </c>
      <c r="C86" s="705">
        <f>'Indoor Inputs'!G112</f>
        <v>7.7307692307692308</v>
      </c>
      <c r="D86" s="12" t="str">
        <f>'Indoor Inputs'!I112</f>
        <v>lb waste /lb product</v>
      </c>
    </row>
    <row r="87" spans="2:4" ht="18" x14ac:dyDescent="0.25">
      <c r="B87" s="12" t="str">
        <f>'Indoor Inputs'!E113</f>
        <v>Clone Soil Waste</v>
      </c>
      <c r="C87" s="711">
        <f>'Indoor Inputs'!G113</f>
        <v>4.7318399999999997E-4</v>
      </c>
      <c r="D87" s="12" t="s">
        <v>2818</v>
      </c>
    </row>
    <row r="88" spans="2:4" ht="18" x14ac:dyDescent="0.25">
      <c r="B88" s="12" t="s">
        <v>2719</v>
      </c>
      <c r="C88" s="711">
        <f>'Indoor Inputs'!G114</f>
        <v>1.8927050000000001E-2</v>
      </c>
      <c r="D88" s="12" t="s">
        <v>2818</v>
      </c>
    </row>
    <row r="89" spans="2:4" ht="18" x14ac:dyDescent="0.25">
      <c r="B89" s="693" t="str">
        <f>'Indoor Inputs'!E115</f>
        <v>Flower Soil Waste</v>
      </c>
      <c r="C89" s="712">
        <f>'Indoor Inputs'!G115</f>
        <v>2.649787E-2</v>
      </c>
      <c r="D89" s="693" t="s">
        <v>2818</v>
      </c>
    </row>
    <row r="93" spans="2:4" x14ac:dyDescent="0.25">
      <c r="B93" s="714" t="s">
        <v>2730</v>
      </c>
      <c r="C93" s="12"/>
      <c r="D93" s="12"/>
    </row>
    <row r="94" spans="2:4" x14ac:dyDescent="0.25">
      <c r="B94" s="704" t="s">
        <v>2722</v>
      </c>
      <c r="C94" s="704" t="s">
        <v>2819</v>
      </c>
      <c r="D94" s="704" t="s">
        <v>194</v>
      </c>
    </row>
    <row r="95" spans="2:4" ht="18.75" x14ac:dyDescent="0.3">
      <c r="B95" s="12" t="s">
        <v>835</v>
      </c>
      <c r="C95" s="12">
        <v>0</v>
      </c>
      <c r="D95" s="12" t="s">
        <v>2820</v>
      </c>
    </row>
    <row r="96" spans="2:4" ht="18.75" x14ac:dyDescent="0.3">
      <c r="B96" s="12" t="s">
        <v>390</v>
      </c>
      <c r="C96" s="12"/>
      <c r="D96" s="12" t="s">
        <v>2820</v>
      </c>
    </row>
    <row r="97" spans="2:4" ht="18.75" x14ac:dyDescent="0.3">
      <c r="B97" s="12" t="s">
        <v>77</v>
      </c>
      <c r="C97" s="12"/>
      <c r="D97" s="12" t="s">
        <v>2820</v>
      </c>
    </row>
    <row r="98" spans="2:4" s="31" customFormat="1" ht="18.75" x14ac:dyDescent="0.3">
      <c r="B98" s="12" t="s">
        <v>1889</v>
      </c>
      <c r="C98" s="12"/>
      <c r="D98" s="12" t="s">
        <v>2820</v>
      </c>
    </row>
    <row r="99" spans="2:4" x14ac:dyDescent="0.25">
      <c r="B99" s="693" t="s">
        <v>2720</v>
      </c>
      <c r="C99" s="693">
        <v>0.3</v>
      </c>
      <c r="D99" s="693" t="s">
        <v>2721</v>
      </c>
    </row>
    <row r="102" spans="2:4" s="31" customFormat="1" x14ac:dyDescent="0.25">
      <c r="B102" s="335" t="s">
        <v>2731</v>
      </c>
    </row>
    <row r="103" spans="2:4" x14ac:dyDescent="0.25">
      <c r="B103" s="704" t="s">
        <v>2710</v>
      </c>
      <c r="C103" s="704" t="s">
        <v>194</v>
      </c>
      <c r="D103" s="704" t="s">
        <v>2811</v>
      </c>
    </row>
    <row r="104" spans="2:4" x14ac:dyDescent="0.25">
      <c r="B104" s="12" t="str">
        <f>LCI!A13</f>
        <v>Natural Gas</v>
      </c>
      <c r="C104" s="12" t="str">
        <f>LCI!B13</f>
        <v>per kg</v>
      </c>
      <c r="D104" s="711">
        <f>LCI!G13</f>
        <v>3.0582296343849653</v>
      </c>
    </row>
    <row r="105" spans="2:4" x14ac:dyDescent="0.25">
      <c r="B105" s="12" t="str">
        <f>LCI!A14</f>
        <v>Tap Water</v>
      </c>
      <c r="C105" s="12" t="str">
        <f>LCI!B14</f>
        <v>per kg</v>
      </c>
      <c r="D105" s="711">
        <f>LCI!G14</f>
        <v>7.4510473537624667E-4</v>
      </c>
    </row>
    <row r="106" spans="2:4" x14ac:dyDescent="0.25">
      <c r="B106" s="12" t="str">
        <f>LCI!A15</f>
        <v>Carbon Dioxide</v>
      </c>
      <c r="C106" s="12" t="str">
        <f>LCI!B15</f>
        <v>per kg</v>
      </c>
      <c r="D106" s="711">
        <f>LCI!G15</f>
        <v>0.87900707369342546</v>
      </c>
    </row>
    <row r="107" spans="2:4" ht="18" x14ac:dyDescent="0.25">
      <c r="B107" s="12" t="str">
        <f>LCI!A16</f>
        <v>Peat Moss</v>
      </c>
      <c r="C107" s="12" t="s">
        <v>2821</v>
      </c>
      <c r="D107" s="711">
        <f>LCI!G16</f>
        <v>132.00212089456096</v>
      </c>
    </row>
    <row r="108" spans="2:4" x14ac:dyDescent="0.25">
      <c r="B108" s="12" t="str">
        <f>LCI!A17</f>
        <v>Petroleum</v>
      </c>
      <c r="C108" s="12" t="str">
        <f>LCI!B17</f>
        <v>per mile</v>
      </c>
      <c r="D108" s="711">
        <f>LCI!G17</f>
        <v>0.56194620264653905</v>
      </c>
    </row>
    <row r="109" spans="2:4" x14ac:dyDescent="0.25">
      <c r="B109" s="12" t="str">
        <f>LCI!A18</f>
        <v>Biofungicide (Folpet)</v>
      </c>
      <c r="C109" s="12" t="str">
        <f>LCI!B18</f>
        <v>per kg</v>
      </c>
      <c r="D109" s="711">
        <f>LCI!G18</f>
        <v>4.122377091974375</v>
      </c>
    </row>
    <row r="110" spans="2:4" x14ac:dyDescent="0.25">
      <c r="B110" s="12" t="str">
        <f>LCI!A19</f>
        <v>Fertilizer (Urea)</v>
      </c>
      <c r="C110" s="12" t="str">
        <f>LCI!B19</f>
        <v>per kg</v>
      </c>
      <c r="D110" s="711">
        <f>LCI!G19</f>
        <v>3.34462167691906</v>
      </c>
    </row>
    <row r="111" spans="2:4" x14ac:dyDescent="0.25">
      <c r="B111" s="12" t="str">
        <f>LCI!A20</f>
        <v>Soil Amendments (Perlite)</v>
      </c>
      <c r="C111" s="12" t="str">
        <f>LCI!B20</f>
        <v>per kg</v>
      </c>
      <c r="D111" s="711">
        <f>LCI!G20</f>
        <v>1.4361105435174719</v>
      </c>
    </row>
    <row r="112" spans="2:4" x14ac:dyDescent="0.25">
      <c r="B112" s="12" t="str">
        <f>LCI!A21</f>
        <v>Tractor, production</v>
      </c>
      <c r="C112" s="12" t="str">
        <f>LCI!B21</f>
        <v>kg</v>
      </c>
      <c r="D112" s="711">
        <f>LCI!G21</f>
        <v>8.1857061123965362</v>
      </c>
    </row>
    <row r="113" spans="2:4" x14ac:dyDescent="0.25">
      <c r="B113" s="12" t="str">
        <f>LCI!A22</f>
        <v>Agricultural Machinery, unspecified, production</v>
      </c>
      <c r="C113" s="12" t="str">
        <f>LCI!B22</f>
        <v>kg</v>
      </c>
      <c r="D113" s="711">
        <f>LCI!G22</f>
        <v>5.7823472967405456</v>
      </c>
    </row>
    <row r="114" spans="2:4" x14ac:dyDescent="0.25">
      <c r="B114" s="12" t="str">
        <f>LCI!A23</f>
        <v>Diesel</v>
      </c>
      <c r="C114" s="12" t="str">
        <f>LCI!B23</f>
        <v>kg</v>
      </c>
      <c r="D114" s="711">
        <f>LCI!G23</f>
        <v>3.7795405032579894</v>
      </c>
    </row>
    <row r="115" spans="2:4" ht="18" x14ac:dyDescent="0.25">
      <c r="B115" s="12" t="str">
        <f>LCI!A24</f>
        <v>Shed, construction</v>
      </c>
      <c r="C115" s="12" t="s">
        <v>2812</v>
      </c>
      <c r="D115" s="711">
        <f>LCI!G24</f>
        <v>332.75243755069374</v>
      </c>
    </row>
    <row r="116" spans="2:4" x14ac:dyDescent="0.25">
      <c r="B116" s="12" t="str">
        <f>LCI!A25</f>
        <v>Polyethylene production, high density, granulate</v>
      </c>
      <c r="C116" s="12" t="str">
        <f>LCI!B25</f>
        <v>kg</v>
      </c>
      <c r="D116" s="711">
        <f>LCI!G25</f>
        <v>1.9418396353883298</v>
      </c>
    </row>
    <row r="117" spans="2:4" x14ac:dyDescent="0.25">
      <c r="B117" s="12" t="str">
        <f>LCI!A26</f>
        <v>Extrusion plastic film production</v>
      </c>
      <c r="C117" s="12" t="str">
        <f>LCI!B26</f>
        <v>kg</v>
      </c>
      <c r="D117" s="711">
        <f>LCI!G26</f>
        <v>0.70358094185293685</v>
      </c>
    </row>
    <row r="118" spans="2:4" ht="18" x14ac:dyDescent="0.25">
      <c r="B118" s="12" t="str">
        <f>LCI!A27</f>
        <v>Excavation hydraulic digger production</v>
      </c>
      <c r="C118" s="12" t="s">
        <v>2822</v>
      </c>
      <c r="D118" s="711">
        <f>LCI!G27</f>
        <v>0.539095943471531</v>
      </c>
    </row>
    <row r="119" spans="2:4" x14ac:dyDescent="0.25">
      <c r="B119" s="12" t="str">
        <f>LCI!A28</f>
        <v>Cast iron production</v>
      </c>
      <c r="C119" s="12" t="str">
        <f>LCI!B28</f>
        <v>kg</v>
      </c>
      <c r="D119" s="711">
        <f>LCI!G28</f>
        <v>1.8454769970469613</v>
      </c>
    </row>
    <row r="120" spans="2:4" x14ac:dyDescent="0.25">
      <c r="B120" s="12" t="str">
        <f>LCI!A29</f>
        <v>Polyvinylchloride production</v>
      </c>
      <c r="C120" s="12" t="str">
        <f>LCI!B29</f>
        <v>kg</v>
      </c>
      <c r="D120" s="711">
        <f>LCI!G29</f>
        <v>2.070384909495556</v>
      </c>
    </row>
    <row r="121" spans="2:4" x14ac:dyDescent="0.25">
      <c r="B121" s="12" t="str">
        <f>LCI!A30</f>
        <v>Pesticides (Pyrethroid-compound)</v>
      </c>
      <c r="C121" s="12" t="str">
        <f>LCI!B30</f>
        <v>per kg</v>
      </c>
      <c r="D121" s="711">
        <f>LCI!G30</f>
        <v>17.817724095480767</v>
      </c>
    </row>
    <row r="122" spans="2:4" x14ac:dyDescent="0.25">
      <c r="B122" s="12" t="str">
        <f>LCI!A31</f>
        <v>Landfill Operations</v>
      </c>
      <c r="C122" s="12" t="str">
        <f>LCI!B31</f>
        <v>per kg</v>
      </c>
      <c r="D122" s="711">
        <f>LCI!G31</f>
        <v>5.5983990510588E-3</v>
      </c>
    </row>
    <row r="123" spans="2:4" x14ac:dyDescent="0.25">
      <c r="B123" s="12" t="str">
        <f>LCI!A32</f>
        <v>Ammonium Nitrate</v>
      </c>
      <c r="C123" s="12" t="str">
        <f>LCI!B32</f>
        <v xml:space="preserve">per kg </v>
      </c>
      <c r="D123" s="711">
        <f>LCI!G32</f>
        <v>8.7988974921409326</v>
      </c>
    </row>
    <row r="124" spans="2:4" x14ac:dyDescent="0.25">
      <c r="B124" s="12" t="str">
        <f>LCI!A33</f>
        <v>Triple Superphosphate</v>
      </c>
      <c r="C124" s="12" t="str">
        <f>LCI!B33</f>
        <v>per kg</v>
      </c>
      <c r="D124" s="711">
        <f>LCI!G33</f>
        <v>1.9356103058992882</v>
      </c>
    </row>
    <row r="125" spans="2:4" x14ac:dyDescent="0.25">
      <c r="B125" s="12" t="str">
        <f>LCI!A34</f>
        <v>Potassium Chloride</v>
      </c>
      <c r="C125" s="12" t="str">
        <f>LCI!B34</f>
        <v>per kg</v>
      </c>
      <c r="D125" s="711">
        <f>LCI!G34</f>
        <v>0.52170923580377104</v>
      </c>
    </row>
    <row r="126" spans="2:4" x14ac:dyDescent="0.25">
      <c r="B126" s="12" t="str">
        <f>LCI!A35</f>
        <v>Nutrient Supply from Coconut Husk, as N</v>
      </c>
      <c r="C126" s="12" t="str">
        <f>LCI!B35</f>
        <v>per kg</v>
      </c>
      <c r="D126" s="711">
        <f>LCI!G35</f>
        <v>5.9265099779134169E-2</v>
      </c>
    </row>
    <row r="127" spans="2:4" x14ac:dyDescent="0.25">
      <c r="B127" s="12" t="str">
        <f>LCI!A36</f>
        <v>Palm Oil, Refined, to Generic Market for Vegetable Oil</v>
      </c>
      <c r="C127" s="12" t="str">
        <f>LCI!B36</f>
        <v>per kg</v>
      </c>
      <c r="D127" s="711">
        <f>LCI!G36</f>
        <v>4.8961081348694337</v>
      </c>
    </row>
    <row r="128" spans="2:4" x14ac:dyDescent="0.25">
      <c r="B128" s="12" t="str">
        <f>LCI!A37</f>
        <v>Surfactant Production</v>
      </c>
      <c r="C128" s="12" t="str">
        <f>LCI!B37</f>
        <v>per kg</v>
      </c>
      <c r="D128" s="711">
        <f>LCI!G37</f>
        <v>3.9204093246181348</v>
      </c>
    </row>
    <row r="129" spans="2:10" x14ac:dyDescent="0.25">
      <c r="B129" s="12" t="str">
        <f>LCI!A38</f>
        <v>Transportation, lorry</v>
      </c>
      <c r="C129" s="12" t="str">
        <f>LCI!B38</f>
        <v>per ton-km</v>
      </c>
      <c r="D129" s="711">
        <f>LCI!G38</f>
        <v>0.16913434060483271</v>
      </c>
    </row>
    <row r="130" spans="2:10" x14ac:dyDescent="0.25">
      <c r="B130" s="12" t="str">
        <f>LCI!A39</f>
        <v>Transportation, light commercial vehicle</v>
      </c>
      <c r="C130" s="12" t="str">
        <f>LCI!B39</f>
        <v>per ton-km</v>
      </c>
      <c r="D130" s="711">
        <f>LCI!G39</f>
        <v>1.941059213171334</v>
      </c>
    </row>
    <row r="131" spans="2:10" x14ac:dyDescent="0.25">
      <c r="B131" s="693" t="str">
        <f>LCI!A40</f>
        <v>Transportation, medium-sized passengar car</v>
      </c>
      <c r="C131" s="693" t="str">
        <f>LCI!B40</f>
        <v>per ton-km</v>
      </c>
      <c r="D131" s="712">
        <f>LCI!G40</f>
        <v>0.56194620264653905</v>
      </c>
    </row>
    <row r="132" spans="2:10" x14ac:dyDescent="0.25">
      <c r="B132" s="31"/>
    </row>
    <row r="135" spans="2:10" x14ac:dyDescent="0.25">
      <c r="B135" s="335" t="s">
        <v>2869</v>
      </c>
    </row>
    <row r="137" spans="2:10" ht="28.5" customHeight="1" x14ac:dyDescent="0.25">
      <c r="B137" s="694" t="s">
        <v>2732</v>
      </c>
      <c r="C137" s="694" t="s">
        <v>2733</v>
      </c>
      <c r="D137" s="694" t="s">
        <v>2823</v>
      </c>
      <c r="E137" s="715" t="s">
        <v>2785</v>
      </c>
      <c r="F137" s="701" t="s">
        <v>2824</v>
      </c>
      <c r="G137" s="692"/>
      <c r="H137" s="692"/>
      <c r="I137" s="692"/>
      <c r="J137" s="692"/>
    </row>
    <row r="138" spans="2:10" x14ac:dyDescent="0.25">
      <c r="B138" s="695" t="s">
        <v>2734</v>
      </c>
      <c r="C138" s="695" t="s">
        <v>2735</v>
      </c>
      <c r="D138" s="696">
        <v>1044.989</v>
      </c>
      <c r="E138" s="697">
        <v>5.1234595525500998E-2</v>
      </c>
      <c r="F138" s="695">
        <v>499.59520894476304</v>
      </c>
    </row>
    <row r="139" spans="2:10" x14ac:dyDescent="0.25">
      <c r="B139" s="695" t="s">
        <v>2736</v>
      </c>
      <c r="C139" s="695" t="s">
        <v>2737</v>
      </c>
      <c r="D139" s="696">
        <v>526.96299999999997</v>
      </c>
      <c r="E139" s="697">
        <v>5.1234595525500998E-2</v>
      </c>
      <c r="F139" s="695">
        <v>251.93393432003509</v>
      </c>
    </row>
    <row r="140" spans="2:10" x14ac:dyDescent="0.25">
      <c r="B140" s="695" t="s">
        <v>2738</v>
      </c>
      <c r="C140" s="695" t="s">
        <v>2739</v>
      </c>
      <c r="D140" s="696">
        <v>1027.548</v>
      </c>
      <c r="E140" s="697">
        <v>4.8044463575380503E-2</v>
      </c>
      <c r="F140" s="695">
        <v>489.61063262108257</v>
      </c>
    </row>
    <row r="141" spans="2:10" x14ac:dyDescent="0.25">
      <c r="B141" s="695" t="s">
        <v>2740</v>
      </c>
      <c r="C141" s="695" t="s">
        <v>2741</v>
      </c>
      <c r="D141" s="696">
        <v>498.68599999999998</v>
      </c>
      <c r="E141" s="697">
        <v>4.8044463575380503E-2</v>
      </c>
      <c r="F141" s="695">
        <v>237.61611909057012</v>
      </c>
    </row>
    <row r="142" spans="2:10" x14ac:dyDescent="0.25">
      <c r="B142" s="695" t="s">
        <v>2742</v>
      </c>
      <c r="C142" s="695" t="s">
        <v>2743</v>
      </c>
      <c r="D142" s="696">
        <v>936.08199999999999</v>
      </c>
      <c r="E142" s="697">
        <v>4.8710581507916302E-2</v>
      </c>
      <c r="F142" s="695">
        <v>446.34082781772616</v>
      </c>
    </row>
    <row r="143" spans="2:10" x14ac:dyDescent="0.25">
      <c r="B143" s="695" t="s">
        <v>2247</v>
      </c>
      <c r="C143" s="695" t="s">
        <v>2744</v>
      </c>
      <c r="D143" s="696">
        <v>936.14499999999998</v>
      </c>
      <c r="E143" s="697">
        <v>4.8819734408505198E-2</v>
      </c>
      <c r="F143" s="695">
        <v>446.42209074422249</v>
      </c>
    </row>
    <row r="144" spans="2:10" x14ac:dyDescent="0.25">
      <c r="B144" s="695" t="s">
        <v>2745</v>
      </c>
      <c r="C144" s="695" t="s">
        <v>2746</v>
      </c>
      <c r="D144" s="696">
        <v>1119.077</v>
      </c>
      <c r="E144" s="697">
        <v>5.1411995377670001E-2</v>
      </c>
      <c r="F144" s="695">
        <v>535.1157426728131</v>
      </c>
    </row>
    <row r="145" spans="2:6" x14ac:dyDescent="0.25">
      <c r="B145" s="695" t="s">
        <v>2747</v>
      </c>
      <c r="C145" s="695" t="s">
        <v>2748</v>
      </c>
      <c r="D145" s="696">
        <v>1682.596</v>
      </c>
      <c r="E145" s="697">
        <v>5.1411995377670001E-2</v>
      </c>
      <c r="F145" s="695">
        <v>804.57699350295354</v>
      </c>
    </row>
    <row r="146" spans="2:6" x14ac:dyDescent="0.25">
      <c r="B146" s="695" t="s">
        <v>2749</v>
      </c>
      <c r="C146" s="695" t="s">
        <v>2750</v>
      </c>
      <c r="D146" s="696">
        <v>1689.6510000000001</v>
      </c>
      <c r="E146" s="697">
        <v>4.8819734408505198E-2</v>
      </c>
      <c r="F146" s="695">
        <v>805.74860950821335</v>
      </c>
    </row>
    <row r="147" spans="2:6" x14ac:dyDescent="0.25">
      <c r="B147" s="695" t="s">
        <v>2751</v>
      </c>
      <c r="C147" s="695" t="s">
        <v>2752</v>
      </c>
      <c r="D147" s="696">
        <v>1249.201</v>
      </c>
      <c r="E147" s="697">
        <v>4.8819734408505198E-2</v>
      </c>
      <c r="F147" s="695">
        <v>595.70998315407724</v>
      </c>
    </row>
    <row r="148" spans="2:6" x14ac:dyDescent="0.25">
      <c r="B148" s="695" t="s">
        <v>2753</v>
      </c>
      <c r="C148" s="695" t="s">
        <v>2754</v>
      </c>
      <c r="D148" s="696">
        <v>527.56399999999996</v>
      </c>
      <c r="E148" s="697">
        <v>4.8819734408505198E-2</v>
      </c>
      <c r="F148" s="695">
        <v>251.58092376863095</v>
      </c>
    </row>
    <row r="149" spans="2:6" x14ac:dyDescent="0.25">
      <c r="B149" s="695" t="s">
        <v>2755</v>
      </c>
      <c r="C149" s="695" t="s">
        <v>2756</v>
      </c>
      <c r="D149" s="696">
        <v>643.36300000000006</v>
      </c>
      <c r="E149" s="697">
        <v>4.8044463575380503E-2</v>
      </c>
      <c r="F149" s="695">
        <v>306.55245831338061</v>
      </c>
    </row>
    <row r="150" spans="2:6" x14ac:dyDescent="0.25">
      <c r="B150" s="695" t="s">
        <v>2757</v>
      </c>
      <c r="C150" s="695" t="s">
        <v>2758</v>
      </c>
      <c r="D150" s="696">
        <v>597.76199999999994</v>
      </c>
      <c r="E150" s="697">
        <v>4.8819734408505198E-2</v>
      </c>
      <c r="F150" s="695">
        <v>285.05644083710104</v>
      </c>
    </row>
    <row r="151" spans="2:6" x14ac:dyDescent="0.25">
      <c r="B151" s="695" t="s">
        <v>2759</v>
      </c>
      <c r="C151" s="695" t="s">
        <v>2760</v>
      </c>
      <c r="D151" s="696">
        <v>1193.0909999999999</v>
      </c>
      <c r="E151" s="697">
        <v>4.8819734408505198E-2</v>
      </c>
      <c r="F151" s="695">
        <v>568.95265014299628</v>
      </c>
    </row>
    <row r="152" spans="2:6" x14ac:dyDescent="0.25">
      <c r="B152" s="695" t="s">
        <v>2761</v>
      </c>
      <c r="C152" s="695" t="s">
        <v>2762</v>
      </c>
      <c r="D152" s="696">
        <v>253.88900000000001</v>
      </c>
      <c r="E152" s="697">
        <v>4.8819734408505198E-2</v>
      </c>
      <c r="F152" s="695">
        <v>121.0727592381094</v>
      </c>
    </row>
    <row r="153" spans="2:6" x14ac:dyDescent="0.25">
      <c r="B153" s="695" t="s">
        <v>2763</v>
      </c>
      <c r="C153" s="695" t="s">
        <v>2764</v>
      </c>
      <c r="D153" s="696">
        <v>719.97900000000004</v>
      </c>
      <c r="E153" s="697">
        <v>4.8819734408505198E-2</v>
      </c>
      <c r="F153" s="695">
        <v>343.33840427704536</v>
      </c>
    </row>
    <row r="154" spans="2:6" x14ac:dyDescent="0.25">
      <c r="B154" s="695" t="s">
        <v>2765</v>
      </c>
      <c r="C154" s="695" t="s">
        <v>2766</v>
      </c>
      <c r="D154" s="696">
        <v>1321.1849999999999</v>
      </c>
      <c r="E154" s="697">
        <v>4.8819734408505198E-2</v>
      </c>
      <c r="F154" s="695">
        <v>630.03719504981132</v>
      </c>
    </row>
    <row r="155" spans="2:6" x14ac:dyDescent="0.25">
      <c r="B155" s="695" t="s">
        <v>2767</v>
      </c>
      <c r="C155" s="695" t="s">
        <v>2768</v>
      </c>
      <c r="D155" s="696">
        <v>1174.029</v>
      </c>
      <c r="E155" s="697">
        <v>4.8819734408505198E-2</v>
      </c>
      <c r="F155" s="695">
        <v>559.86250076040449</v>
      </c>
    </row>
    <row r="156" spans="2:6" x14ac:dyDescent="0.25">
      <c r="B156" s="695" t="s">
        <v>2769</v>
      </c>
      <c r="C156" s="695" t="s">
        <v>2770</v>
      </c>
      <c r="D156" s="696">
        <v>1281.944</v>
      </c>
      <c r="E156" s="697">
        <v>4.8044463575380503E-2</v>
      </c>
      <c r="F156" s="695">
        <v>610.82636803808782</v>
      </c>
    </row>
    <row r="157" spans="2:6" x14ac:dyDescent="0.25">
      <c r="B157" s="695" t="s">
        <v>2771</v>
      </c>
      <c r="C157" s="695" t="s">
        <v>2772</v>
      </c>
      <c r="D157" s="696">
        <v>1171.606</v>
      </c>
      <c r="E157" s="697">
        <v>4.8819734408505198E-2</v>
      </c>
      <c r="F157" s="695">
        <v>558.70703795723489</v>
      </c>
    </row>
    <row r="158" spans="2:6" x14ac:dyDescent="0.25">
      <c r="B158" s="695" t="s">
        <v>2773</v>
      </c>
      <c r="C158" s="695" t="s">
        <v>2774</v>
      </c>
      <c r="D158" s="696">
        <v>1172.7550000000001</v>
      </c>
      <c r="E158" s="697">
        <v>4.8819734408505198E-2</v>
      </c>
      <c r="F158" s="695">
        <v>559.25496480859351</v>
      </c>
    </row>
    <row r="159" spans="2:6" x14ac:dyDescent="0.25">
      <c r="B159" s="695" t="s">
        <v>2775</v>
      </c>
      <c r="C159" s="695" t="s">
        <v>2776</v>
      </c>
      <c r="D159" s="696">
        <v>858.36900000000003</v>
      </c>
      <c r="E159" s="697">
        <v>4.8819734408505198E-2</v>
      </c>
      <c r="F159" s="695">
        <v>409.33283156992513</v>
      </c>
    </row>
    <row r="160" spans="2:6" x14ac:dyDescent="0.25">
      <c r="B160" s="695" t="s">
        <v>2777</v>
      </c>
      <c r="C160" s="695" t="s">
        <v>2778</v>
      </c>
      <c r="D160" s="696">
        <v>1676.7819999999999</v>
      </c>
      <c r="E160" s="697">
        <v>4.8819734408505198E-2</v>
      </c>
      <c r="F160" s="695">
        <v>799.61173339843594</v>
      </c>
    </row>
    <row r="161" spans="2:6" x14ac:dyDescent="0.25">
      <c r="B161" s="695" t="s">
        <v>2779</v>
      </c>
      <c r="C161" s="695" t="s">
        <v>2780</v>
      </c>
      <c r="D161" s="696">
        <v>1033.471</v>
      </c>
      <c r="E161" s="697">
        <v>4.8819734408505198E-2</v>
      </c>
      <c r="F161" s="695">
        <v>492.83421322927796</v>
      </c>
    </row>
    <row r="162" spans="2:6" x14ac:dyDescent="0.25">
      <c r="B162" s="695" t="s">
        <v>2781</v>
      </c>
      <c r="C162" s="695" t="s">
        <v>2782</v>
      </c>
      <c r="D162" s="696">
        <v>1038.127</v>
      </c>
      <c r="E162" s="697">
        <v>4.8819734408505198E-2</v>
      </c>
      <c r="F162" s="695">
        <v>495.05453300292947</v>
      </c>
    </row>
    <row r="163" spans="2:6" x14ac:dyDescent="0.25">
      <c r="B163" s="698" t="s">
        <v>2783</v>
      </c>
      <c r="C163" s="698" t="s">
        <v>2784</v>
      </c>
      <c r="D163" s="699">
        <v>747.51300000000003</v>
      </c>
      <c r="E163" s="700">
        <v>4.8819734408505198E-2</v>
      </c>
      <c r="F163" s="698">
        <v>356.46862005190007</v>
      </c>
    </row>
    <row r="164" spans="2:6" x14ac:dyDescent="0.25">
      <c r="B164" s="53"/>
    </row>
    <row r="166" spans="2:6" x14ac:dyDescent="0.25">
      <c r="B166" s="703" t="s">
        <v>2793</v>
      </c>
    </row>
    <row r="167" spans="2:6" x14ac:dyDescent="0.25">
      <c r="B167" t="s">
        <v>2787</v>
      </c>
    </row>
    <row r="168" spans="2:6" s="31" customFormat="1" x14ac:dyDescent="0.25">
      <c r="B168" s="704" t="s">
        <v>2710</v>
      </c>
      <c r="C168" s="704" t="s">
        <v>212</v>
      </c>
      <c r="D168" s="704" t="s">
        <v>194</v>
      </c>
    </row>
    <row r="169" spans="2:6" x14ac:dyDescent="0.25">
      <c r="B169" s="12" t="s">
        <v>2788</v>
      </c>
      <c r="C169" s="12">
        <f>'Indoor Raw Data'!E404+(indoor_annual_bud_yield/tonnes_to_kgs*'Indoor Raw Data'!B425)</f>
        <v>142.02254353803906</v>
      </c>
      <c r="D169" s="12" t="s">
        <v>2628</v>
      </c>
    </row>
    <row r="170" spans="2:6" x14ac:dyDescent="0.25">
      <c r="B170" s="12" t="s">
        <v>2789</v>
      </c>
      <c r="C170" s="716">
        <f>'Indoor Raw Data'!B426/tonnes_to_kgs/C169</f>
        <v>5.9304275019588229E-3</v>
      </c>
      <c r="D170" s="12" t="s">
        <v>2792</v>
      </c>
    </row>
    <row r="171" spans="2:6" x14ac:dyDescent="0.25">
      <c r="B171" s="12" t="s">
        <v>2790</v>
      </c>
      <c r="C171" s="716">
        <f>'Indoor Raw Data'!B434/C169</f>
        <v>0.65753560264193334</v>
      </c>
      <c r="D171" s="12" t="s">
        <v>2792</v>
      </c>
    </row>
    <row r="172" spans="2:6" x14ac:dyDescent="0.25">
      <c r="B172" s="12" t="s">
        <v>2791</v>
      </c>
      <c r="C172" s="716">
        <f>'Indoor Raw Data'!B433/C169</f>
        <v>0.33653396985610773</v>
      </c>
      <c r="D172" s="12" t="s">
        <v>2792</v>
      </c>
    </row>
    <row r="173" spans="2:6" ht="16.5" x14ac:dyDescent="0.3">
      <c r="B173" s="12" t="s">
        <v>2825</v>
      </c>
      <c r="C173" s="12">
        <f>'Indoor Raw Data'!E415</f>
        <v>28.67724623155091</v>
      </c>
      <c r="D173" s="12" t="s">
        <v>2826</v>
      </c>
    </row>
    <row r="174" spans="2:6" ht="16.5" x14ac:dyDescent="0.3">
      <c r="B174" s="12" t="s">
        <v>2827</v>
      </c>
      <c r="C174" s="12">
        <f>'Indoor Raw Data'!E416</f>
        <v>27.084065885353638</v>
      </c>
      <c r="D174" s="12" t="s">
        <v>2828</v>
      </c>
    </row>
    <row r="175" spans="2:6" ht="16.5" x14ac:dyDescent="0.3">
      <c r="B175" s="12" t="s">
        <v>2829</v>
      </c>
      <c r="C175" s="12">
        <f>'Indoor Raw Data'!B435</f>
        <v>342.41122209809066</v>
      </c>
      <c r="D175" s="12" t="s">
        <v>2828</v>
      </c>
    </row>
    <row r="176" spans="2:6" ht="16.5" x14ac:dyDescent="0.3">
      <c r="B176" s="693" t="s">
        <v>2830</v>
      </c>
      <c r="C176" s="693">
        <f>'Indoor Raw Data'!B427/tonnes_to_kgs</f>
        <v>3.0882661263524804</v>
      </c>
      <c r="D176" s="693" t="s">
        <v>2828</v>
      </c>
    </row>
    <row r="182" spans="2:5" x14ac:dyDescent="0.25">
      <c r="B182" s="335" t="s">
        <v>2870</v>
      </c>
    </row>
    <row r="183" spans="2:5" x14ac:dyDescent="0.25">
      <c r="B183" s="704" t="s">
        <v>2831</v>
      </c>
      <c r="C183" s="704" t="s">
        <v>2802</v>
      </c>
      <c r="D183" s="704" t="s">
        <v>194</v>
      </c>
      <c r="E183" s="704" t="s">
        <v>2803</v>
      </c>
    </row>
    <row r="184" spans="2:5" x14ac:dyDescent="0.25">
      <c r="B184" s="717" t="s">
        <v>1330</v>
      </c>
      <c r="C184" s="706">
        <f>Figures!P49</f>
        <v>0.75</v>
      </c>
      <c r="D184" s="12" t="str">
        <f>Figures!Q49</f>
        <v>gram</v>
      </c>
      <c r="E184" s="12" t="s">
        <v>2808</v>
      </c>
    </row>
    <row r="185" spans="2:5" x14ac:dyDescent="0.25">
      <c r="B185" s="717" t="s">
        <v>1341</v>
      </c>
      <c r="C185" s="12">
        <f>Figures!P50</f>
        <v>12</v>
      </c>
      <c r="D185" s="12" t="s">
        <v>1333</v>
      </c>
      <c r="E185" s="705">
        <f>Figures!L51</f>
        <v>0.8349647554042694</v>
      </c>
    </row>
    <row r="186" spans="2:5" x14ac:dyDescent="0.25">
      <c r="B186" s="717" t="s">
        <v>1342</v>
      </c>
      <c r="C186" s="12">
        <f>Figures!P51</f>
        <v>5</v>
      </c>
      <c r="D186" s="12" t="s">
        <v>1333</v>
      </c>
      <c r="E186" s="705">
        <f>Figures!L53</f>
        <v>1.7316341634085368</v>
      </c>
    </row>
    <row r="187" spans="2:5" x14ac:dyDescent="0.25">
      <c r="B187" s="717" t="s">
        <v>1343</v>
      </c>
      <c r="C187" s="12">
        <f>Figures!P52</f>
        <v>1.5</v>
      </c>
      <c r="D187" s="12" t="s">
        <v>1333</v>
      </c>
      <c r="E187" s="705">
        <f>Figures!L55</f>
        <v>1.4780011932812203</v>
      </c>
    </row>
    <row r="188" spans="2:5" x14ac:dyDescent="0.25">
      <c r="B188" s="717" t="s">
        <v>1344</v>
      </c>
      <c r="C188" s="12">
        <f>Figures!P53</f>
        <v>1</v>
      </c>
      <c r="D188" s="12" t="s">
        <v>2804</v>
      </c>
      <c r="E188" s="705">
        <f>Figures!L57</f>
        <v>14</v>
      </c>
    </row>
    <row r="189" spans="2:5" x14ac:dyDescent="0.25">
      <c r="B189" s="717" t="s">
        <v>1335</v>
      </c>
      <c r="C189" s="12">
        <f>Figures!P54</f>
        <v>3</v>
      </c>
      <c r="D189" s="12" t="str">
        <f>Figures!Q54</f>
        <v>oz</v>
      </c>
      <c r="E189" s="705">
        <f>Figures!L59</f>
        <v>35.53</v>
      </c>
    </row>
    <row r="190" spans="2:5" x14ac:dyDescent="0.25">
      <c r="B190" s="717" t="s">
        <v>1317</v>
      </c>
      <c r="C190" s="12">
        <f>Figures!P55</f>
        <v>3</v>
      </c>
      <c r="D190" s="12" t="str">
        <f>Figures!Q55</f>
        <v>oz</v>
      </c>
      <c r="E190" s="705">
        <f>Figures!L61</f>
        <v>24.26</v>
      </c>
    </row>
    <row r="191" spans="2:5" x14ac:dyDescent="0.25">
      <c r="B191" s="717" t="s">
        <v>1336</v>
      </c>
      <c r="C191" s="12">
        <f>Figures!P59</f>
        <v>4</v>
      </c>
      <c r="D191" s="12" t="str">
        <f>Figures!Q59</f>
        <v>oz</v>
      </c>
      <c r="E191" s="705">
        <f>Figures!L69</f>
        <v>6.8707000000000003</v>
      </c>
    </row>
    <row r="192" spans="2:5" x14ac:dyDescent="0.25">
      <c r="B192" s="717" t="s">
        <v>1319</v>
      </c>
      <c r="C192" s="12">
        <f>Figures!P57</f>
        <v>3</v>
      </c>
      <c r="D192" s="12" t="str">
        <f>Figures!Q57</f>
        <v>oz</v>
      </c>
      <c r="E192" s="705">
        <f>Figures!L65</f>
        <v>8.2940000000000005</v>
      </c>
    </row>
    <row r="193" spans="2:5" x14ac:dyDescent="0.25">
      <c r="B193" s="717" t="s">
        <v>2364</v>
      </c>
      <c r="C193" s="12">
        <f>Figures!P58</f>
        <v>3</v>
      </c>
      <c r="D193" s="12" t="str">
        <f>Figures!Q58</f>
        <v>oz</v>
      </c>
      <c r="E193" s="705">
        <f>Figures!L67</f>
        <v>8.6656999999999993</v>
      </c>
    </row>
    <row r="194" spans="2:5" x14ac:dyDescent="0.25">
      <c r="B194" s="717" t="s">
        <v>1326</v>
      </c>
      <c r="C194" s="12">
        <f>Figures!P63</f>
        <v>1</v>
      </c>
      <c r="D194" s="12" t="s">
        <v>2805</v>
      </c>
      <c r="E194" s="705">
        <f>Figures!L77</f>
        <v>3.0939999999999999</v>
      </c>
    </row>
    <row r="195" spans="2:5" x14ac:dyDescent="0.25">
      <c r="B195" s="717" t="s">
        <v>1322</v>
      </c>
      <c r="C195" s="12">
        <f>Figures!P68</f>
        <v>1</v>
      </c>
      <c r="D195" s="12" t="str">
        <f>Figures!Q68</f>
        <v>cup</v>
      </c>
      <c r="E195" s="705">
        <f>Figures!L87</f>
        <v>0.92847000000000002</v>
      </c>
    </row>
    <row r="196" spans="2:5" x14ac:dyDescent="0.25">
      <c r="B196" s="717" t="s">
        <v>1337</v>
      </c>
      <c r="C196" s="12">
        <f>Figures!P60</f>
        <v>4</v>
      </c>
      <c r="D196" s="12" t="str">
        <f>Figures!Q60</f>
        <v>oz</v>
      </c>
      <c r="E196" s="705">
        <f>Figures!L71</f>
        <v>3.59</v>
      </c>
    </row>
    <row r="197" spans="2:5" x14ac:dyDescent="0.25">
      <c r="B197" s="717" t="s">
        <v>2367</v>
      </c>
      <c r="C197" s="12">
        <f>Figures!P66</f>
        <v>6</v>
      </c>
      <c r="D197" s="12" t="str">
        <f>Figures!Q66</f>
        <v>oz</v>
      </c>
      <c r="E197" s="705">
        <f>Figures!L83</f>
        <v>2.2000000000000002</v>
      </c>
    </row>
    <row r="198" spans="2:5" x14ac:dyDescent="0.25">
      <c r="B198" s="717" t="s">
        <v>1318</v>
      </c>
      <c r="C198" s="12">
        <f>Figures!P56</f>
        <v>1</v>
      </c>
      <c r="D198" s="12" t="str">
        <f>Figures!Q56</f>
        <v>oz</v>
      </c>
      <c r="E198" s="705">
        <f>Figures!L63</f>
        <v>11.699</v>
      </c>
    </row>
    <row r="199" spans="2:5" x14ac:dyDescent="0.25">
      <c r="B199" s="717" t="s">
        <v>2366</v>
      </c>
      <c r="C199" s="12">
        <f>Figures!P61</f>
        <v>2</v>
      </c>
      <c r="D199" s="12" t="str">
        <f>Figures!Q61</f>
        <v>oz</v>
      </c>
      <c r="E199" s="705">
        <f>Figures!L73</f>
        <v>4.1470000000000002</v>
      </c>
    </row>
    <row r="200" spans="2:5" x14ac:dyDescent="0.25">
      <c r="B200" s="717" t="s">
        <v>1321</v>
      </c>
      <c r="C200" s="12">
        <f>Figures!P62</f>
        <v>56</v>
      </c>
      <c r="D200" s="12" t="str">
        <f>Figures!Q62</f>
        <v>grams</v>
      </c>
      <c r="E200" s="705">
        <f>Figures!L75</f>
        <v>3.59</v>
      </c>
    </row>
    <row r="201" spans="2:5" x14ac:dyDescent="0.25">
      <c r="B201" s="717" t="s">
        <v>1339</v>
      </c>
      <c r="C201" s="12">
        <f>Figures!P67</f>
        <v>80</v>
      </c>
      <c r="D201" s="12" t="str">
        <f>Figures!Q67</f>
        <v>grams</v>
      </c>
      <c r="E201" s="705">
        <f>Figures!L85</f>
        <v>1.1760999999999999</v>
      </c>
    </row>
    <row r="202" spans="2:5" x14ac:dyDescent="0.25">
      <c r="B202" s="717" t="s">
        <v>1323</v>
      </c>
      <c r="C202" s="12">
        <f>Figures!P64</f>
        <v>0.25</v>
      </c>
      <c r="D202" s="12" t="s">
        <v>2806</v>
      </c>
      <c r="E202" s="705">
        <f>Figures!L79</f>
        <v>2.1659999999999999</v>
      </c>
    </row>
    <row r="203" spans="2:5" x14ac:dyDescent="0.25">
      <c r="B203" s="717" t="s">
        <v>2518</v>
      </c>
      <c r="C203" s="12">
        <f>Figures!P70</f>
        <v>100</v>
      </c>
      <c r="D203" s="12" t="str">
        <f>Figures!Q70</f>
        <v>grams</v>
      </c>
      <c r="E203" s="705">
        <f>Figures!L91</f>
        <v>0.86656999999999995</v>
      </c>
    </row>
    <row r="204" spans="2:5" x14ac:dyDescent="0.25">
      <c r="B204" s="717" t="s">
        <v>1338</v>
      </c>
      <c r="C204" s="12">
        <f>Figures!P65</f>
        <v>32</v>
      </c>
      <c r="D204" s="12" t="str">
        <f>Figures!Q65</f>
        <v>grams</v>
      </c>
      <c r="E204" s="705">
        <f>Figures!L81</f>
        <v>1.7949999999999999</v>
      </c>
    </row>
    <row r="205" spans="2:5" x14ac:dyDescent="0.25">
      <c r="B205" s="718" t="s">
        <v>2517</v>
      </c>
      <c r="C205" s="12">
        <f>Figures!P69</f>
        <v>30</v>
      </c>
      <c r="D205" s="12" t="str">
        <f>Figures!Q69</f>
        <v>grams</v>
      </c>
      <c r="E205" s="705">
        <f>Figures!L89</f>
        <v>1.92</v>
      </c>
    </row>
    <row r="206" spans="2:5" x14ac:dyDescent="0.25">
      <c r="B206" s="718" t="s">
        <v>2519</v>
      </c>
      <c r="C206" s="12">
        <f>Figures!P71</f>
        <v>100</v>
      </c>
      <c r="D206" s="12" t="str">
        <f>Figures!Q71</f>
        <v>grams</v>
      </c>
      <c r="E206" s="705">
        <f>Figures!L93</f>
        <v>0.49509999999999998</v>
      </c>
    </row>
    <row r="207" spans="2:5" x14ac:dyDescent="0.25">
      <c r="B207" s="719" t="s">
        <v>2524</v>
      </c>
      <c r="C207" s="693">
        <f>Figures!P72</f>
        <v>50</v>
      </c>
      <c r="D207" s="693" t="s">
        <v>2807</v>
      </c>
      <c r="E207" s="710">
        <f>Figures!L95</f>
        <v>0.43391999999999997</v>
      </c>
    </row>
    <row r="211" spans="2:1025" x14ac:dyDescent="0.25">
      <c r="B211" s="335" t="s">
        <v>2871</v>
      </c>
    </row>
    <row r="213" spans="2:1025" ht="54" x14ac:dyDescent="0.25">
      <c r="B213" s="734" t="s">
        <v>4903</v>
      </c>
      <c r="C213" s="734" t="s">
        <v>4904</v>
      </c>
      <c r="D213" s="735" t="s">
        <v>4905</v>
      </c>
      <c r="E213" s="735" t="s">
        <v>4906</v>
      </c>
      <c r="F213" s="735" t="s">
        <v>4908</v>
      </c>
      <c r="G213" s="736" t="s">
        <v>4907</v>
      </c>
    </row>
    <row r="214" spans="2:1025" ht="26.25" x14ac:dyDescent="0.25">
      <c r="B214" s="737" t="s">
        <v>2877</v>
      </c>
      <c r="C214" s="737" t="s">
        <v>2878</v>
      </c>
      <c r="D214" s="738">
        <v>2809.2966000000001</v>
      </c>
      <c r="E214" s="738">
        <v>2473.6741000000002</v>
      </c>
      <c r="F214" s="738">
        <v>17554.931400000001</v>
      </c>
      <c r="G214" s="738">
        <v>237.61611909057012</v>
      </c>
      <c r="N214" s="728" t="s">
        <v>2872</v>
      </c>
      <c r="O214" s="695" t="s">
        <v>2877</v>
      </c>
      <c r="P214" s="695" t="s">
        <v>2879</v>
      </c>
      <c r="Q214" s="695" t="s">
        <v>2881</v>
      </c>
      <c r="R214" s="695" t="s">
        <v>2883</v>
      </c>
      <c r="S214" s="695" t="s">
        <v>2885</v>
      </c>
      <c r="T214" s="695" t="s">
        <v>2887</v>
      </c>
      <c r="U214" s="695" t="s">
        <v>2889</v>
      </c>
      <c r="V214" s="695" t="s">
        <v>2891</v>
      </c>
      <c r="W214" s="695" t="s">
        <v>2893</v>
      </c>
      <c r="X214" s="695" t="s">
        <v>2895</v>
      </c>
      <c r="Y214" s="695" t="s">
        <v>2897</v>
      </c>
      <c r="Z214" s="695" t="s">
        <v>2899</v>
      </c>
      <c r="AA214" s="695" t="s">
        <v>2901</v>
      </c>
      <c r="AB214" s="695" t="s">
        <v>2903</v>
      </c>
      <c r="AC214" s="695" t="s">
        <v>2905</v>
      </c>
      <c r="AD214" s="695" t="s">
        <v>2907</v>
      </c>
      <c r="AE214" s="695" t="s">
        <v>2909</v>
      </c>
      <c r="AF214" s="695" t="s">
        <v>2911</v>
      </c>
      <c r="AG214" s="695" t="s">
        <v>2913</v>
      </c>
      <c r="AH214" s="695" t="s">
        <v>2915</v>
      </c>
      <c r="AI214" s="695" t="s">
        <v>2917</v>
      </c>
      <c r="AJ214" s="695" t="s">
        <v>2919</v>
      </c>
      <c r="AK214" s="695" t="s">
        <v>2921</v>
      </c>
      <c r="AL214" s="695" t="s">
        <v>2923</v>
      </c>
      <c r="AM214" s="695" t="s">
        <v>2925</v>
      </c>
      <c r="AN214" s="695" t="s">
        <v>2927</v>
      </c>
      <c r="AO214" s="695" t="s">
        <v>2929</v>
      </c>
      <c r="AP214" s="695" t="s">
        <v>2931</v>
      </c>
      <c r="AQ214" s="695" t="s">
        <v>2933</v>
      </c>
      <c r="AR214" s="695" t="s">
        <v>2935</v>
      </c>
      <c r="AS214" s="695" t="s">
        <v>2937</v>
      </c>
      <c r="AT214" s="695" t="s">
        <v>2939</v>
      </c>
      <c r="AU214" s="695" t="s">
        <v>2941</v>
      </c>
      <c r="AV214" s="695" t="s">
        <v>2943</v>
      </c>
      <c r="AW214" s="695" t="s">
        <v>2945</v>
      </c>
      <c r="AX214" s="695" t="s">
        <v>2947</v>
      </c>
      <c r="AY214" s="695" t="s">
        <v>2949</v>
      </c>
      <c r="AZ214" s="695" t="s">
        <v>2951</v>
      </c>
      <c r="BA214" s="695" t="s">
        <v>2953</v>
      </c>
      <c r="BB214" s="695" t="s">
        <v>2955</v>
      </c>
      <c r="BC214" s="695" t="s">
        <v>2957</v>
      </c>
      <c r="BD214" s="695" t="s">
        <v>2959</v>
      </c>
      <c r="BE214" s="695" t="s">
        <v>2961</v>
      </c>
      <c r="BF214" s="695" t="s">
        <v>2963</v>
      </c>
      <c r="BG214" s="695" t="s">
        <v>2965</v>
      </c>
      <c r="BH214" s="695" t="s">
        <v>2967</v>
      </c>
      <c r="BI214" s="695" t="s">
        <v>2969</v>
      </c>
      <c r="BJ214" s="695" t="s">
        <v>2971</v>
      </c>
      <c r="BK214" s="695" t="s">
        <v>2973</v>
      </c>
      <c r="BL214" s="695" t="s">
        <v>2975</v>
      </c>
      <c r="BM214" s="695" t="s">
        <v>2977</v>
      </c>
      <c r="BN214" s="695" t="s">
        <v>2979</v>
      </c>
      <c r="BO214" s="695" t="s">
        <v>2981</v>
      </c>
      <c r="BP214" s="695" t="s">
        <v>2983</v>
      </c>
      <c r="BQ214" s="695" t="s">
        <v>2985</v>
      </c>
      <c r="BR214" s="695" t="s">
        <v>2987</v>
      </c>
      <c r="BS214" s="695" t="s">
        <v>2989</v>
      </c>
      <c r="BT214" s="695" t="s">
        <v>2991</v>
      </c>
      <c r="BU214" s="695" t="s">
        <v>2993</v>
      </c>
      <c r="BV214" s="695" t="s">
        <v>2995</v>
      </c>
      <c r="BW214" s="695" t="s">
        <v>2997</v>
      </c>
      <c r="BX214" s="695" t="s">
        <v>2999</v>
      </c>
      <c r="BY214" s="695" t="s">
        <v>3001</v>
      </c>
      <c r="BZ214" s="695" t="s">
        <v>3003</v>
      </c>
      <c r="CA214" s="695" t="s">
        <v>3005</v>
      </c>
      <c r="CB214" s="695" t="s">
        <v>3007</v>
      </c>
      <c r="CC214" s="695" t="s">
        <v>3009</v>
      </c>
      <c r="CD214" s="695" t="s">
        <v>3011</v>
      </c>
      <c r="CE214" s="695" t="s">
        <v>3013</v>
      </c>
      <c r="CF214" s="695" t="s">
        <v>3015</v>
      </c>
      <c r="CG214" s="695" t="s">
        <v>3017</v>
      </c>
      <c r="CH214" s="695" t="s">
        <v>3019</v>
      </c>
      <c r="CI214" s="695" t="s">
        <v>3021</v>
      </c>
      <c r="CJ214" s="695" t="s">
        <v>3023</v>
      </c>
      <c r="CK214" s="695" t="s">
        <v>3025</v>
      </c>
      <c r="CL214" s="695" t="s">
        <v>3027</v>
      </c>
      <c r="CM214" s="695" t="s">
        <v>3029</v>
      </c>
      <c r="CN214" s="695" t="s">
        <v>3031</v>
      </c>
      <c r="CO214" s="695" t="s">
        <v>3033</v>
      </c>
      <c r="CP214" s="695" t="s">
        <v>3035</v>
      </c>
      <c r="CQ214" s="695" t="s">
        <v>3037</v>
      </c>
      <c r="CR214" s="695" t="s">
        <v>3039</v>
      </c>
      <c r="CS214" s="695" t="s">
        <v>3041</v>
      </c>
      <c r="CT214" s="695" t="s">
        <v>3043</v>
      </c>
      <c r="CU214" s="695" t="s">
        <v>3045</v>
      </c>
      <c r="CV214" s="695" t="s">
        <v>3047</v>
      </c>
      <c r="CW214" s="695" t="s">
        <v>3049</v>
      </c>
      <c r="CX214" s="695" t="s">
        <v>3051</v>
      </c>
      <c r="CY214" s="695" t="s">
        <v>3053</v>
      </c>
      <c r="CZ214" s="695" t="s">
        <v>3055</v>
      </c>
      <c r="DA214" s="695" t="s">
        <v>3057</v>
      </c>
      <c r="DB214" s="695" t="s">
        <v>3059</v>
      </c>
      <c r="DC214" s="695" t="s">
        <v>3061</v>
      </c>
      <c r="DD214" s="695" t="s">
        <v>3063</v>
      </c>
      <c r="DE214" s="695" t="s">
        <v>3065</v>
      </c>
      <c r="DF214" s="695" t="s">
        <v>3067</v>
      </c>
      <c r="DG214" s="695" t="s">
        <v>3069</v>
      </c>
      <c r="DH214" s="695" t="s">
        <v>3071</v>
      </c>
      <c r="DI214" s="695" t="s">
        <v>3073</v>
      </c>
      <c r="DJ214" s="695" t="s">
        <v>3075</v>
      </c>
      <c r="DK214" s="695" t="s">
        <v>3077</v>
      </c>
      <c r="DL214" s="695" t="s">
        <v>3079</v>
      </c>
      <c r="DM214" s="695" t="s">
        <v>3081</v>
      </c>
      <c r="DN214" s="695" t="s">
        <v>3083</v>
      </c>
      <c r="DO214" s="695" t="s">
        <v>3085</v>
      </c>
      <c r="DP214" s="695" t="s">
        <v>3087</v>
      </c>
      <c r="DQ214" s="695" t="s">
        <v>3089</v>
      </c>
      <c r="DR214" s="695" t="s">
        <v>3091</v>
      </c>
      <c r="DS214" s="695" t="s">
        <v>3093</v>
      </c>
      <c r="DT214" s="695" t="s">
        <v>3095</v>
      </c>
      <c r="DU214" s="695" t="s">
        <v>3097</v>
      </c>
      <c r="DV214" s="695" t="s">
        <v>3099</v>
      </c>
      <c r="DW214" s="695" t="s">
        <v>3101</v>
      </c>
      <c r="DX214" s="695" t="s">
        <v>3103</v>
      </c>
      <c r="DY214" s="695" t="s">
        <v>3105</v>
      </c>
      <c r="DZ214" s="695" t="s">
        <v>3107</v>
      </c>
      <c r="EA214" s="695" t="s">
        <v>3109</v>
      </c>
      <c r="EB214" s="695" t="s">
        <v>3111</v>
      </c>
      <c r="EC214" s="695" t="s">
        <v>3113</v>
      </c>
      <c r="ED214" s="695" t="s">
        <v>3115</v>
      </c>
      <c r="EE214" s="695" t="s">
        <v>3117</v>
      </c>
      <c r="EF214" s="695" t="s">
        <v>3119</v>
      </c>
      <c r="EG214" s="695" t="s">
        <v>3121</v>
      </c>
      <c r="EH214" s="695" t="s">
        <v>3123</v>
      </c>
      <c r="EI214" s="695" t="s">
        <v>3125</v>
      </c>
      <c r="EJ214" s="695" t="s">
        <v>3127</v>
      </c>
      <c r="EK214" s="695" t="s">
        <v>3129</v>
      </c>
      <c r="EL214" s="695" t="s">
        <v>3131</v>
      </c>
      <c r="EM214" s="695" t="s">
        <v>3133</v>
      </c>
      <c r="EN214" s="695" t="s">
        <v>3135</v>
      </c>
      <c r="EO214" s="695" t="s">
        <v>3137</v>
      </c>
      <c r="EP214" s="695" t="s">
        <v>3139</v>
      </c>
      <c r="EQ214" s="695" t="s">
        <v>3141</v>
      </c>
      <c r="ER214" s="695" t="s">
        <v>3143</v>
      </c>
      <c r="ES214" s="695" t="s">
        <v>3145</v>
      </c>
      <c r="ET214" s="695" t="s">
        <v>3147</v>
      </c>
      <c r="EU214" s="695" t="s">
        <v>3149</v>
      </c>
      <c r="EV214" s="695" t="s">
        <v>3151</v>
      </c>
      <c r="EW214" s="695" t="s">
        <v>3153</v>
      </c>
      <c r="EX214" s="695" t="s">
        <v>3155</v>
      </c>
      <c r="EY214" s="695" t="s">
        <v>3157</v>
      </c>
      <c r="EZ214" s="695" t="s">
        <v>3159</v>
      </c>
      <c r="FA214" s="695" t="s">
        <v>3161</v>
      </c>
      <c r="FB214" s="695" t="s">
        <v>3163</v>
      </c>
      <c r="FC214" s="695" t="s">
        <v>3165</v>
      </c>
      <c r="FD214" s="695" t="s">
        <v>3167</v>
      </c>
      <c r="FE214" s="695" t="s">
        <v>3169</v>
      </c>
      <c r="FF214" s="695" t="s">
        <v>3171</v>
      </c>
      <c r="FG214" s="695" t="s">
        <v>3173</v>
      </c>
      <c r="FH214" s="695" t="s">
        <v>3175</v>
      </c>
      <c r="FI214" s="695" t="s">
        <v>3177</v>
      </c>
      <c r="FJ214" s="695" t="s">
        <v>3179</v>
      </c>
      <c r="FK214" s="695" t="s">
        <v>3181</v>
      </c>
      <c r="FL214" s="695" t="s">
        <v>3183</v>
      </c>
      <c r="FM214" s="695" t="s">
        <v>3185</v>
      </c>
      <c r="FN214" s="695" t="s">
        <v>3187</v>
      </c>
      <c r="FO214" s="695" t="s">
        <v>3189</v>
      </c>
      <c r="FP214" s="695" t="s">
        <v>3191</v>
      </c>
      <c r="FQ214" s="695" t="s">
        <v>3193</v>
      </c>
      <c r="FR214" s="695" t="s">
        <v>3195</v>
      </c>
      <c r="FS214" s="695" t="s">
        <v>3197</v>
      </c>
      <c r="FT214" s="695" t="s">
        <v>3199</v>
      </c>
      <c r="FU214" s="695" t="s">
        <v>3201</v>
      </c>
      <c r="FV214" s="695" t="s">
        <v>3203</v>
      </c>
      <c r="FW214" s="695" t="s">
        <v>3205</v>
      </c>
      <c r="FX214" s="695" t="s">
        <v>3207</v>
      </c>
      <c r="FY214" s="695" t="s">
        <v>3209</v>
      </c>
      <c r="FZ214" s="695" t="s">
        <v>3211</v>
      </c>
      <c r="GA214" s="695" t="s">
        <v>3213</v>
      </c>
      <c r="GB214" s="695" t="s">
        <v>3215</v>
      </c>
      <c r="GC214" s="695" t="s">
        <v>3217</v>
      </c>
      <c r="GD214" s="695" t="s">
        <v>3219</v>
      </c>
      <c r="GE214" s="695" t="s">
        <v>3221</v>
      </c>
      <c r="GF214" s="695" t="s">
        <v>3223</v>
      </c>
      <c r="GG214" s="695" t="s">
        <v>3225</v>
      </c>
      <c r="GH214" s="695" t="s">
        <v>3227</v>
      </c>
      <c r="GI214" s="695" t="s">
        <v>3229</v>
      </c>
      <c r="GJ214" s="695" t="s">
        <v>3231</v>
      </c>
      <c r="GK214" s="695" t="s">
        <v>3233</v>
      </c>
      <c r="GL214" s="695" t="s">
        <v>3235</v>
      </c>
      <c r="GM214" s="695" t="s">
        <v>3237</v>
      </c>
      <c r="GN214" s="695" t="s">
        <v>3239</v>
      </c>
      <c r="GO214" s="695" t="s">
        <v>3241</v>
      </c>
      <c r="GP214" s="695" t="s">
        <v>3243</v>
      </c>
      <c r="GQ214" s="695" t="s">
        <v>3245</v>
      </c>
      <c r="GR214" s="695" t="s">
        <v>3247</v>
      </c>
      <c r="GS214" s="695" t="s">
        <v>3249</v>
      </c>
      <c r="GT214" s="695" t="s">
        <v>3251</v>
      </c>
      <c r="GU214" s="695" t="s">
        <v>3253</v>
      </c>
      <c r="GV214" s="695" t="s">
        <v>3255</v>
      </c>
      <c r="GW214" s="695" t="s">
        <v>3257</v>
      </c>
      <c r="GX214" s="695" t="s">
        <v>3259</v>
      </c>
      <c r="GY214" s="695" t="s">
        <v>3261</v>
      </c>
      <c r="GZ214" s="695" t="s">
        <v>3263</v>
      </c>
      <c r="HA214" s="695" t="s">
        <v>3265</v>
      </c>
      <c r="HB214" s="695" t="s">
        <v>3267</v>
      </c>
      <c r="HC214" s="695" t="s">
        <v>3269</v>
      </c>
      <c r="HD214" s="695" t="s">
        <v>3271</v>
      </c>
      <c r="HE214" s="695" t="s">
        <v>3273</v>
      </c>
      <c r="HF214" s="695" t="s">
        <v>3275</v>
      </c>
      <c r="HG214" s="695" t="s">
        <v>3277</v>
      </c>
      <c r="HH214" s="695" t="s">
        <v>3279</v>
      </c>
      <c r="HI214" s="695" t="s">
        <v>3281</v>
      </c>
      <c r="HJ214" s="695" t="s">
        <v>3283</v>
      </c>
      <c r="HK214" s="695" t="s">
        <v>3285</v>
      </c>
      <c r="HL214" s="695" t="s">
        <v>3287</v>
      </c>
      <c r="HM214" s="695" t="s">
        <v>3289</v>
      </c>
      <c r="HN214" s="695" t="s">
        <v>3291</v>
      </c>
      <c r="HO214" s="695" t="s">
        <v>3293</v>
      </c>
      <c r="HP214" s="695" t="s">
        <v>3295</v>
      </c>
      <c r="HQ214" s="695" t="s">
        <v>3297</v>
      </c>
      <c r="HR214" s="695" t="s">
        <v>3299</v>
      </c>
      <c r="HS214" s="695" t="s">
        <v>3301</v>
      </c>
      <c r="HT214" s="695" t="s">
        <v>3303</v>
      </c>
      <c r="HU214" s="695" t="s">
        <v>3305</v>
      </c>
      <c r="HV214" s="695" t="s">
        <v>3307</v>
      </c>
      <c r="HW214" s="695" t="s">
        <v>3309</v>
      </c>
      <c r="HX214" s="695" t="s">
        <v>3311</v>
      </c>
      <c r="HY214" s="695" t="s">
        <v>3313</v>
      </c>
      <c r="HZ214" s="695" t="s">
        <v>3315</v>
      </c>
      <c r="IA214" s="695" t="s">
        <v>3317</v>
      </c>
      <c r="IB214" s="695" t="s">
        <v>3319</v>
      </c>
      <c r="IC214" s="695" t="s">
        <v>3321</v>
      </c>
      <c r="ID214" s="695" t="s">
        <v>3323</v>
      </c>
      <c r="IE214" s="695" t="s">
        <v>3325</v>
      </c>
      <c r="IF214" s="695" t="s">
        <v>3327</v>
      </c>
      <c r="IG214" s="695" t="s">
        <v>3329</v>
      </c>
      <c r="IH214" s="695" t="s">
        <v>3331</v>
      </c>
      <c r="II214" s="695" t="s">
        <v>3333</v>
      </c>
      <c r="IJ214" s="695" t="s">
        <v>3335</v>
      </c>
      <c r="IK214" s="695" t="s">
        <v>3337</v>
      </c>
      <c r="IL214" s="695" t="s">
        <v>3339</v>
      </c>
      <c r="IM214" s="695" t="s">
        <v>3341</v>
      </c>
      <c r="IN214" s="695" t="s">
        <v>3343</v>
      </c>
      <c r="IO214" s="695" t="s">
        <v>3345</v>
      </c>
      <c r="IP214" s="695" t="s">
        <v>3347</v>
      </c>
      <c r="IQ214" s="695" t="s">
        <v>3349</v>
      </c>
      <c r="IR214" s="695" t="s">
        <v>3351</v>
      </c>
      <c r="IS214" s="695" t="s">
        <v>3353</v>
      </c>
      <c r="IT214" s="695" t="s">
        <v>3355</v>
      </c>
      <c r="IU214" s="695" t="s">
        <v>3357</v>
      </c>
      <c r="IV214" s="695" t="s">
        <v>3359</v>
      </c>
      <c r="IW214" s="695" t="s">
        <v>3361</v>
      </c>
      <c r="IX214" s="695" t="s">
        <v>3363</v>
      </c>
      <c r="IY214" s="695" t="s">
        <v>3365</v>
      </c>
      <c r="IZ214" s="695" t="s">
        <v>3367</v>
      </c>
      <c r="JA214" s="695" t="s">
        <v>3369</v>
      </c>
      <c r="JB214" s="695" t="s">
        <v>3371</v>
      </c>
      <c r="JC214" s="695" t="s">
        <v>3373</v>
      </c>
      <c r="JD214" s="695" t="s">
        <v>3375</v>
      </c>
      <c r="JE214" s="695" t="s">
        <v>3377</v>
      </c>
      <c r="JF214" s="695" t="s">
        <v>3379</v>
      </c>
      <c r="JG214" s="695" t="s">
        <v>3381</v>
      </c>
      <c r="JH214" s="695" t="s">
        <v>3383</v>
      </c>
      <c r="JI214" s="695" t="s">
        <v>3385</v>
      </c>
      <c r="JJ214" s="695" t="s">
        <v>3387</v>
      </c>
      <c r="JK214" s="695" t="s">
        <v>3389</v>
      </c>
      <c r="JL214" s="695" t="s">
        <v>3391</v>
      </c>
      <c r="JM214" s="695" t="s">
        <v>3393</v>
      </c>
      <c r="JN214" s="695" t="s">
        <v>3395</v>
      </c>
      <c r="JO214" s="695" t="s">
        <v>3397</v>
      </c>
      <c r="JP214" s="695" t="s">
        <v>3399</v>
      </c>
      <c r="JQ214" s="695" t="s">
        <v>3401</v>
      </c>
      <c r="JR214" s="695" t="s">
        <v>3403</v>
      </c>
      <c r="JS214" s="695" t="s">
        <v>3405</v>
      </c>
      <c r="JT214" s="695" t="s">
        <v>3407</v>
      </c>
      <c r="JU214" s="695" t="s">
        <v>3409</v>
      </c>
      <c r="JV214" s="695" t="s">
        <v>3411</v>
      </c>
      <c r="JW214" s="695" t="s">
        <v>3413</v>
      </c>
      <c r="JX214" s="695" t="s">
        <v>3415</v>
      </c>
      <c r="JY214" s="695" t="s">
        <v>3417</v>
      </c>
      <c r="JZ214" s="695" t="s">
        <v>3419</v>
      </c>
      <c r="KA214" s="695" t="s">
        <v>3421</v>
      </c>
      <c r="KB214" s="695" t="s">
        <v>3423</v>
      </c>
      <c r="KC214" s="695" t="s">
        <v>3425</v>
      </c>
      <c r="KD214" s="695" t="s">
        <v>3427</v>
      </c>
      <c r="KE214" s="695" t="s">
        <v>3429</v>
      </c>
      <c r="KF214" s="695" t="s">
        <v>3431</v>
      </c>
      <c r="KG214" s="695" t="s">
        <v>3433</v>
      </c>
      <c r="KH214" s="695" t="s">
        <v>3435</v>
      </c>
      <c r="KI214" s="695" t="s">
        <v>3437</v>
      </c>
      <c r="KJ214" s="695" t="s">
        <v>3439</v>
      </c>
      <c r="KK214" s="695" t="s">
        <v>3441</v>
      </c>
      <c r="KL214" s="695" t="s">
        <v>3443</v>
      </c>
      <c r="KM214" s="695" t="s">
        <v>3445</v>
      </c>
      <c r="KN214" s="695" t="s">
        <v>3447</v>
      </c>
      <c r="KO214" s="695" t="s">
        <v>3449</v>
      </c>
      <c r="KP214" s="695" t="s">
        <v>3451</v>
      </c>
      <c r="KQ214" s="695" t="s">
        <v>3453</v>
      </c>
      <c r="KR214" s="695" t="s">
        <v>3455</v>
      </c>
      <c r="KS214" s="695" t="s">
        <v>3457</v>
      </c>
      <c r="KT214" s="695" t="s">
        <v>3459</v>
      </c>
      <c r="KU214" s="695" t="s">
        <v>3461</v>
      </c>
      <c r="KV214" s="695" t="s">
        <v>3463</v>
      </c>
      <c r="KW214" s="695" t="s">
        <v>3465</v>
      </c>
      <c r="KX214" s="695" t="s">
        <v>3467</v>
      </c>
      <c r="KY214" s="695" t="s">
        <v>3469</v>
      </c>
      <c r="KZ214" s="695" t="s">
        <v>3471</v>
      </c>
      <c r="LA214" s="695" t="s">
        <v>3473</v>
      </c>
      <c r="LB214" s="695" t="s">
        <v>3475</v>
      </c>
      <c r="LC214" s="695" t="s">
        <v>3477</v>
      </c>
      <c r="LD214" s="695" t="s">
        <v>3479</v>
      </c>
      <c r="LE214" s="695" t="s">
        <v>3481</v>
      </c>
      <c r="LF214" s="695" t="s">
        <v>3483</v>
      </c>
      <c r="LG214" s="695" t="s">
        <v>3485</v>
      </c>
      <c r="LH214" s="695" t="s">
        <v>3487</v>
      </c>
      <c r="LI214" s="695" t="s">
        <v>3489</v>
      </c>
      <c r="LJ214" s="695" t="s">
        <v>3491</v>
      </c>
      <c r="LK214" s="695" t="s">
        <v>3493</v>
      </c>
      <c r="LL214" s="695" t="s">
        <v>3495</v>
      </c>
      <c r="LM214" s="695" t="s">
        <v>3497</v>
      </c>
      <c r="LN214" s="695" t="s">
        <v>3499</v>
      </c>
      <c r="LO214" s="695" t="s">
        <v>3501</v>
      </c>
      <c r="LP214" s="695" t="s">
        <v>3503</v>
      </c>
      <c r="LQ214" s="695" t="s">
        <v>3505</v>
      </c>
      <c r="LR214" s="695" t="s">
        <v>3507</v>
      </c>
      <c r="LS214" s="695" t="s">
        <v>3509</v>
      </c>
      <c r="LT214" s="695" t="s">
        <v>3511</v>
      </c>
      <c r="LU214" s="695" t="s">
        <v>3513</v>
      </c>
      <c r="LV214" s="695" t="s">
        <v>3515</v>
      </c>
      <c r="LW214" s="695" t="s">
        <v>3517</v>
      </c>
      <c r="LX214" s="695" t="s">
        <v>3519</v>
      </c>
      <c r="LY214" s="695" t="s">
        <v>3521</v>
      </c>
      <c r="LZ214" s="695" t="s">
        <v>3523</v>
      </c>
      <c r="MA214" s="695" t="s">
        <v>3525</v>
      </c>
      <c r="MB214" s="695" t="s">
        <v>3527</v>
      </c>
      <c r="MC214" s="695" t="s">
        <v>3529</v>
      </c>
      <c r="MD214" s="695" t="s">
        <v>3531</v>
      </c>
      <c r="ME214" s="695" t="s">
        <v>3533</v>
      </c>
      <c r="MF214" s="695" t="s">
        <v>3535</v>
      </c>
      <c r="MG214" s="695" t="s">
        <v>3537</v>
      </c>
      <c r="MH214" s="695" t="s">
        <v>3539</v>
      </c>
      <c r="MI214" s="695" t="s">
        <v>3541</v>
      </c>
      <c r="MJ214" s="695" t="s">
        <v>3543</v>
      </c>
      <c r="MK214" s="695" t="s">
        <v>3545</v>
      </c>
      <c r="ML214" s="695" t="s">
        <v>3547</v>
      </c>
      <c r="MM214" s="695" t="s">
        <v>3549</v>
      </c>
      <c r="MN214" s="695" t="s">
        <v>3551</v>
      </c>
      <c r="MO214" s="695" t="s">
        <v>3553</v>
      </c>
      <c r="MP214" s="695" t="s">
        <v>3555</v>
      </c>
      <c r="MQ214" s="695" t="s">
        <v>3557</v>
      </c>
      <c r="MR214" s="695" t="s">
        <v>3559</v>
      </c>
      <c r="MS214" s="695" t="s">
        <v>3561</v>
      </c>
      <c r="MT214" s="695" t="s">
        <v>3563</v>
      </c>
      <c r="MU214" s="695" t="s">
        <v>3565</v>
      </c>
      <c r="MV214" s="695" t="s">
        <v>3567</v>
      </c>
      <c r="MW214" s="695" t="s">
        <v>3569</v>
      </c>
      <c r="MX214" s="695" t="s">
        <v>3571</v>
      </c>
      <c r="MY214" s="695" t="s">
        <v>3573</v>
      </c>
      <c r="MZ214" s="695" t="s">
        <v>3575</v>
      </c>
      <c r="NA214" s="695" t="s">
        <v>3577</v>
      </c>
      <c r="NB214" s="695" t="s">
        <v>3579</v>
      </c>
      <c r="NC214" s="695" t="s">
        <v>3581</v>
      </c>
      <c r="ND214" s="695" t="s">
        <v>3583</v>
      </c>
      <c r="NE214" s="695" t="s">
        <v>3585</v>
      </c>
      <c r="NF214" s="695" t="s">
        <v>3587</v>
      </c>
      <c r="NG214" s="695" t="s">
        <v>3589</v>
      </c>
      <c r="NH214" s="695" t="s">
        <v>3591</v>
      </c>
      <c r="NI214" s="695" t="s">
        <v>3593</v>
      </c>
      <c r="NJ214" s="695" t="s">
        <v>3595</v>
      </c>
      <c r="NK214" s="695" t="s">
        <v>3597</v>
      </c>
      <c r="NL214" s="695" t="s">
        <v>3599</v>
      </c>
      <c r="NM214" s="695" t="s">
        <v>3601</v>
      </c>
      <c r="NN214" s="695" t="s">
        <v>3603</v>
      </c>
      <c r="NO214" s="695" t="s">
        <v>3605</v>
      </c>
      <c r="NP214" s="695" t="s">
        <v>3607</v>
      </c>
      <c r="NQ214" s="695" t="s">
        <v>3609</v>
      </c>
      <c r="NR214" s="695" t="s">
        <v>3611</v>
      </c>
      <c r="NS214" s="695" t="s">
        <v>3613</v>
      </c>
      <c r="NT214" s="695" t="s">
        <v>3615</v>
      </c>
      <c r="NU214" s="695" t="s">
        <v>3617</v>
      </c>
      <c r="NV214" s="695" t="s">
        <v>3619</v>
      </c>
      <c r="NW214" s="695" t="s">
        <v>3621</v>
      </c>
      <c r="NX214" s="695" t="s">
        <v>3623</v>
      </c>
      <c r="NY214" s="695" t="s">
        <v>3625</v>
      </c>
      <c r="NZ214" s="695" t="s">
        <v>3627</v>
      </c>
      <c r="OA214" s="695" t="s">
        <v>3629</v>
      </c>
      <c r="OB214" s="695" t="s">
        <v>3631</v>
      </c>
      <c r="OC214" s="695" t="s">
        <v>3633</v>
      </c>
      <c r="OD214" s="695" t="s">
        <v>3635</v>
      </c>
      <c r="OE214" s="695" t="s">
        <v>3637</v>
      </c>
      <c r="OF214" s="695" t="s">
        <v>3639</v>
      </c>
      <c r="OG214" s="695" t="s">
        <v>3641</v>
      </c>
      <c r="OH214" s="695" t="s">
        <v>3643</v>
      </c>
      <c r="OI214" s="695" t="s">
        <v>3645</v>
      </c>
      <c r="OJ214" s="695" t="s">
        <v>3647</v>
      </c>
      <c r="OK214" s="695" t="s">
        <v>3649</v>
      </c>
      <c r="OL214" s="695" t="s">
        <v>3651</v>
      </c>
      <c r="OM214" s="695" t="s">
        <v>3653</v>
      </c>
      <c r="ON214" s="695" t="s">
        <v>3655</v>
      </c>
      <c r="OO214" s="695" t="s">
        <v>3657</v>
      </c>
      <c r="OP214" s="695" t="s">
        <v>3659</v>
      </c>
      <c r="OQ214" s="695" t="s">
        <v>3661</v>
      </c>
      <c r="OR214" s="695" t="s">
        <v>3663</v>
      </c>
      <c r="OS214" s="695" t="s">
        <v>3665</v>
      </c>
      <c r="OT214" s="695" t="s">
        <v>3667</v>
      </c>
      <c r="OU214" s="695" t="s">
        <v>3669</v>
      </c>
      <c r="OV214" s="695" t="s">
        <v>3671</v>
      </c>
      <c r="OW214" s="695" t="s">
        <v>3673</v>
      </c>
      <c r="OX214" s="695" t="s">
        <v>3675</v>
      </c>
      <c r="OY214" s="695" t="s">
        <v>3677</v>
      </c>
      <c r="OZ214" s="695" t="s">
        <v>3679</v>
      </c>
      <c r="PA214" s="695" t="s">
        <v>3681</v>
      </c>
      <c r="PB214" s="695" t="s">
        <v>3683</v>
      </c>
      <c r="PC214" s="695" t="s">
        <v>3685</v>
      </c>
      <c r="PD214" s="695" t="s">
        <v>3687</v>
      </c>
      <c r="PE214" s="695" t="s">
        <v>3689</v>
      </c>
      <c r="PF214" s="695" t="s">
        <v>3691</v>
      </c>
      <c r="PG214" s="695" t="s">
        <v>3693</v>
      </c>
      <c r="PH214" s="695" t="s">
        <v>3695</v>
      </c>
      <c r="PI214" s="695" t="s">
        <v>3697</v>
      </c>
      <c r="PJ214" s="695" t="s">
        <v>3699</v>
      </c>
      <c r="PK214" s="695" t="s">
        <v>3701</v>
      </c>
      <c r="PL214" s="695" t="s">
        <v>3703</v>
      </c>
      <c r="PM214" s="695" t="s">
        <v>3705</v>
      </c>
      <c r="PN214" s="695" t="s">
        <v>3707</v>
      </c>
      <c r="PO214" s="695" t="s">
        <v>3709</v>
      </c>
      <c r="PP214" s="695" t="s">
        <v>3711</v>
      </c>
      <c r="PQ214" s="695" t="s">
        <v>3713</v>
      </c>
      <c r="PR214" s="695" t="s">
        <v>3715</v>
      </c>
      <c r="PS214" s="695" t="s">
        <v>3717</v>
      </c>
      <c r="PT214" s="695" t="s">
        <v>3719</v>
      </c>
      <c r="PU214" s="695" t="s">
        <v>3721</v>
      </c>
      <c r="PV214" s="695" t="s">
        <v>3723</v>
      </c>
      <c r="PW214" s="695" t="s">
        <v>3725</v>
      </c>
      <c r="PX214" s="695" t="s">
        <v>3727</v>
      </c>
      <c r="PY214" s="695" t="s">
        <v>3729</v>
      </c>
      <c r="PZ214" s="695" t="s">
        <v>3731</v>
      </c>
      <c r="QA214" s="695" t="s">
        <v>3733</v>
      </c>
      <c r="QB214" s="695" t="s">
        <v>3735</v>
      </c>
      <c r="QC214" s="695" t="s">
        <v>3737</v>
      </c>
      <c r="QD214" s="695" t="s">
        <v>3739</v>
      </c>
      <c r="QE214" s="695" t="s">
        <v>3741</v>
      </c>
      <c r="QF214" s="695" t="s">
        <v>3743</v>
      </c>
      <c r="QG214" s="695" t="s">
        <v>3745</v>
      </c>
      <c r="QH214" s="695" t="s">
        <v>3747</v>
      </c>
      <c r="QI214" s="695" t="s">
        <v>3749</v>
      </c>
      <c r="QJ214" s="695" t="s">
        <v>3751</v>
      </c>
      <c r="QK214" s="695" t="s">
        <v>3753</v>
      </c>
      <c r="QL214" s="695" t="s">
        <v>3755</v>
      </c>
      <c r="QM214" s="695" t="s">
        <v>3757</v>
      </c>
      <c r="QN214" s="695" t="s">
        <v>3759</v>
      </c>
      <c r="QO214" s="695" t="s">
        <v>3761</v>
      </c>
      <c r="QP214" s="695" t="s">
        <v>3763</v>
      </c>
      <c r="QQ214" s="695" t="s">
        <v>3765</v>
      </c>
      <c r="QR214" s="695" t="s">
        <v>3767</v>
      </c>
      <c r="QS214" s="695" t="s">
        <v>3769</v>
      </c>
      <c r="QT214" s="695" t="s">
        <v>3771</v>
      </c>
      <c r="QU214" s="695" t="s">
        <v>3773</v>
      </c>
      <c r="QV214" s="695" t="s">
        <v>3775</v>
      </c>
      <c r="QW214" s="695" t="s">
        <v>3777</v>
      </c>
      <c r="QX214" s="695" t="s">
        <v>3779</v>
      </c>
      <c r="QY214" s="695" t="s">
        <v>3781</v>
      </c>
      <c r="QZ214" s="695" t="s">
        <v>3783</v>
      </c>
      <c r="RA214" s="695" t="s">
        <v>3785</v>
      </c>
      <c r="RB214" s="695" t="s">
        <v>3787</v>
      </c>
      <c r="RC214" s="695" t="s">
        <v>3789</v>
      </c>
      <c r="RD214" s="695" t="s">
        <v>3791</v>
      </c>
      <c r="RE214" s="695" t="s">
        <v>3793</v>
      </c>
      <c r="RF214" s="695" t="s">
        <v>3795</v>
      </c>
      <c r="RG214" s="695" t="s">
        <v>3797</v>
      </c>
      <c r="RH214" s="695" t="s">
        <v>3799</v>
      </c>
      <c r="RI214" s="695" t="s">
        <v>3801</v>
      </c>
      <c r="RJ214" s="695" t="s">
        <v>3803</v>
      </c>
      <c r="RK214" s="695" t="s">
        <v>3805</v>
      </c>
      <c r="RL214" s="695" t="s">
        <v>3807</v>
      </c>
      <c r="RM214" s="695" t="s">
        <v>3809</v>
      </c>
      <c r="RN214" s="695" t="s">
        <v>3811</v>
      </c>
      <c r="RO214" s="695" t="s">
        <v>3813</v>
      </c>
      <c r="RP214" s="695" t="s">
        <v>3815</v>
      </c>
      <c r="RQ214" s="695" t="s">
        <v>3817</v>
      </c>
      <c r="RR214" s="695" t="s">
        <v>3819</v>
      </c>
      <c r="RS214" s="695" t="s">
        <v>3821</v>
      </c>
      <c r="RT214" s="695" t="s">
        <v>3823</v>
      </c>
      <c r="RU214" s="695" t="s">
        <v>3825</v>
      </c>
      <c r="RV214" s="695" t="s">
        <v>3827</v>
      </c>
      <c r="RW214" s="695" t="s">
        <v>3829</v>
      </c>
      <c r="RX214" s="695" t="s">
        <v>3831</v>
      </c>
      <c r="RY214" s="695" t="s">
        <v>3833</v>
      </c>
      <c r="RZ214" s="695" t="s">
        <v>3835</v>
      </c>
      <c r="SA214" s="695" t="s">
        <v>3837</v>
      </c>
      <c r="SB214" s="695" t="s">
        <v>3839</v>
      </c>
      <c r="SC214" s="695" t="s">
        <v>3841</v>
      </c>
      <c r="SD214" s="695" t="s">
        <v>3843</v>
      </c>
      <c r="SE214" s="695" t="s">
        <v>3845</v>
      </c>
      <c r="SF214" s="695" t="s">
        <v>3847</v>
      </c>
      <c r="SG214" s="695" t="s">
        <v>3849</v>
      </c>
      <c r="SH214" s="695" t="s">
        <v>3851</v>
      </c>
      <c r="SI214" s="695" t="s">
        <v>3853</v>
      </c>
      <c r="SJ214" s="695" t="s">
        <v>3855</v>
      </c>
      <c r="SK214" s="695" t="s">
        <v>3857</v>
      </c>
      <c r="SL214" s="695" t="s">
        <v>3859</v>
      </c>
      <c r="SM214" s="695" t="s">
        <v>3861</v>
      </c>
      <c r="SN214" s="695" t="s">
        <v>3863</v>
      </c>
      <c r="SO214" s="695" t="s">
        <v>3865</v>
      </c>
      <c r="SP214" s="695" t="s">
        <v>3867</v>
      </c>
      <c r="SQ214" s="695" t="s">
        <v>3869</v>
      </c>
      <c r="SR214" s="695" t="s">
        <v>3871</v>
      </c>
      <c r="SS214" s="695" t="s">
        <v>3873</v>
      </c>
      <c r="ST214" s="695" t="s">
        <v>3875</v>
      </c>
      <c r="SU214" s="695" t="s">
        <v>3877</v>
      </c>
      <c r="SV214" s="695" t="s">
        <v>3879</v>
      </c>
      <c r="SW214" s="695" t="s">
        <v>3881</v>
      </c>
      <c r="SX214" s="695" t="s">
        <v>3883</v>
      </c>
      <c r="SY214" s="695" t="s">
        <v>3885</v>
      </c>
      <c r="SZ214" s="695" t="s">
        <v>3887</v>
      </c>
      <c r="TA214" s="695" t="s">
        <v>3889</v>
      </c>
      <c r="TB214" s="695" t="s">
        <v>3891</v>
      </c>
      <c r="TC214" s="695" t="s">
        <v>3893</v>
      </c>
      <c r="TD214" s="695" t="s">
        <v>3895</v>
      </c>
      <c r="TE214" s="695" t="s">
        <v>3897</v>
      </c>
      <c r="TF214" s="695" t="s">
        <v>3899</v>
      </c>
      <c r="TG214" s="695" t="s">
        <v>3901</v>
      </c>
      <c r="TH214" s="695" t="s">
        <v>3903</v>
      </c>
      <c r="TI214" s="695" t="s">
        <v>3905</v>
      </c>
      <c r="TJ214" s="695" t="s">
        <v>3907</v>
      </c>
      <c r="TK214" s="695" t="s">
        <v>3909</v>
      </c>
      <c r="TL214" s="695" t="s">
        <v>3911</v>
      </c>
      <c r="TM214" s="695" t="s">
        <v>3913</v>
      </c>
      <c r="TN214" s="695" t="s">
        <v>3915</v>
      </c>
      <c r="TO214" s="695" t="s">
        <v>3917</v>
      </c>
      <c r="TP214" s="695" t="s">
        <v>3919</v>
      </c>
      <c r="TQ214" s="695" t="s">
        <v>3921</v>
      </c>
      <c r="TR214" s="695" t="s">
        <v>3923</v>
      </c>
      <c r="TS214" s="695" t="s">
        <v>3925</v>
      </c>
      <c r="TT214" s="695" t="s">
        <v>3927</v>
      </c>
      <c r="TU214" s="695" t="s">
        <v>3929</v>
      </c>
      <c r="TV214" s="695" t="s">
        <v>3931</v>
      </c>
      <c r="TW214" s="695" t="s">
        <v>3933</v>
      </c>
      <c r="TX214" s="695" t="s">
        <v>3935</v>
      </c>
      <c r="TY214" s="695" t="s">
        <v>3937</v>
      </c>
      <c r="TZ214" s="695" t="s">
        <v>3939</v>
      </c>
      <c r="UA214" s="695" t="s">
        <v>3941</v>
      </c>
      <c r="UB214" s="695" t="s">
        <v>3943</v>
      </c>
      <c r="UC214" s="695" t="s">
        <v>3945</v>
      </c>
      <c r="UD214" s="695" t="s">
        <v>3947</v>
      </c>
      <c r="UE214" s="695" t="s">
        <v>3949</v>
      </c>
      <c r="UF214" s="695" t="s">
        <v>3951</v>
      </c>
      <c r="UG214" s="695" t="s">
        <v>3953</v>
      </c>
      <c r="UH214" s="695" t="s">
        <v>3955</v>
      </c>
      <c r="UI214" s="695" t="s">
        <v>3957</v>
      </c>
      <c r="UJ214" s="695" t="s">
        <v>3959</v>
      </c>
      <c r="UK214" s="695" t="s">
        <v>3961</v>
      </c>
      <c r="UL214" s="695" t="s">
        <v>3963</v>
      </c>
      <c r="UM214" s="695" t="s">
        <v>3965</v>
      </c>
      <c r="UN214" s="695" t="s">
        <v>3967</v>
      </c>
      <c r="UO214" s="695" t="s">
        <v>3969</v>
      </c>
      <c r="UP214" s="695" t="s">
        <v>3971</v>
      </c>
      <c r="UQ214" s="695" t="s">
        <v>3973</v>
      </c>
      <c r="UR214" s="695" t="s">
        <v>3975</v>
      </c>
      <c r="US214" s="695" t="s">
        <v>3977</v>
      </c>
      <c r="UT214" s="695" t="s">
        <v>3979</v>
      </c>
      <c r="UU214" s="695" t="s">
        <v>3981</v>
      </c>
      <c r="UV214" s="695" t="s">
        <v>3983</v>
      </c>
      <c r="UW214" s="695" t="s">
        <v>3985</v>
      </c>
      <c r="UX214" s="695" t="s">
        <v>3987</v>
      </c>
      <c r="UY214" s="695" t="s">
        <v>3989</v>
      </c>
      <c r="UZ214" s="695" t="s">
        <v>3991</v>
      </c>
      <c r="VA214" s="695" t="s">
        <v>3993</v>
      </c>
      <c r="VB214" s="695" t="s">
        <v>3995</v>
      </c>
      <c r="VC214" s="695" t="s">
        <v>3997</v>
      </c>
      <c r="VD214" s="695" t="s">
        <v>3999</v>
      </c>
      <c r="VE214" s="695" t="s">
        <v>4001</v>
      </c>
      <c r="VF214" s="695" t="s">
        <v>4003</v>
      </c>
      <c r="VG214" s="695" t="s">
        <v>4005</v>
      </c>
      <c r="VH214" s="695" t="s">
        <v>4007</v>
      </c>
      <c r="VI214" s="695" t="s">
        <v>4009</v>
      </c>
      <c r="VJ214" s="695" t="s">
        <v>4011</v>
      </c>
      <c r="VK214" s="695" t="s">
        <v>4013</v>
      </c>
      <c r="VL214" s="695" t="s">
        <v>4015</v>
      </c>
      <c r="VM214" s="695" t="s">
        <v>4017</v>
      </c>
      <c r="VN214" s="695" t="s">
        <v>4019</v>
      </c>
      <c r="VO214" s="695" t="s">
        <v>4021</v>
      </c>
      <c r="VP214" s="695" t="s">
        <v>4023</v>
      </c>
      <c r="VQ214" s="695" t="s">
        <v>4025</v>
      </c>
      <c r="VR214" s="695" t="s">
        <v>4027</v>
      </c>
      <c r="VS214" s="695" t="s">
        <v>4029</v>
      </c>
      <c r="VT214" s="695" t="s">
        <v>4031</v>
      </c>
      <c r="VU214" s="695" t="s">
        <v>4033</v>
      </c>
      <c r="VV214" s="695" t="s">
        <v>4035</v>
      </c>
      <c r="VW214" s="695" t="s">
        <v>4037</v>
      </c>
      <c r="VX214" s="695" t="s">
        <v>4039</v>
      </c>
      <c r="VY214" s="695" t="s">
        <v>4041</v>
      </c>
      <c r="VZ214" s="695" t="s">
        <v>4043</v>
      </c>
      <c r="WA214" s="695" t="s">
        <v>4045</v>
      </c>
      <c r="WB214" s="695" t="s">
        <v>4047</v>
      </c>
      <c r="WC214" s="695" t="s">
        <v>4049</v>
      </c>
      <c r="WD214" s="695" t="s">
        <v>4051</v>
      </c>
      <c r="WE214" s="695" t="s">
        <v>4053</v>
      </c>
      <c r="WF214" s="695" t="s">
        <v>4055</v>
      </c>
      <c r="WG214" s="695" t="s">
        <v>4057</v>
      </c>
      <c r="WH214" s="695" t="s">
        <v>4059</v>
      </c>
      <c r="WI214" s="695" t="s">
        <v>4061</v>
      </c>
      <c r="WJ214" s="695" t="s">
        <v>4063</v>
      </c>
      <c r="WK214" s="695" t="s">
        <v>4065</v>
      </c>
      <c r="WL214" s="695" t="s">
        <v>4067</v>
      </c>
      <c r="WM214" s="695" t="s">
        <v>4069</v>
      </c>
      <c r="WN214" s="695" t="s">
        <v>4071</v>
      </c>
      <c r="WO214" s="695" t="s">
        <v>4073</v>
      </c>
      <c r="WP214" s="695" t="s">
        <v>4075</v>
      </c>
      <c r="WQ214" s="695" t="s">
        <v>4077</v>
      </c>
      <c r="WR214" s="695" t="s">
        <v>4079</v>
      </c>
      <c r="WS214" s="695" t="s">
        <v>4081</v>
      </c>
      <c r="WT214" s="695" t="s">
        <v>4083</v>
      </c>
      <c r="WU214" s="695" t="s">
        <v>4085</v>
      </c>
      <c r="WV214" s="695" t="s">
        <v>4087</v>
      </c>
      <c r="WW214" s="695" t="s">
        <v>4089</v>
      </c>
      <c r="WX214" s="695" t="s">
        <v>4091</v>
      </c>
      <c r="WY214" s="695" t="s">
        <v>4093</v>
      </c>
      <c r="WZ214" s="695" t="s">
        <v>4095</v>
      </c>
      <c r="XA214" s="695" t="s">
        <v>4097</v>
      </c>
      <c r="XB214" s="695" t="s">
        <v>4099</v>
      </c>
      <c r="XC214" s="695" t="s">
        <v>4101</v>
      </c>
      <c r="XD214" s="695" t="s">
        <v>4103</v>
      </c>
      <c r="XE214" s="695" t="s">
        <v>4105</v>
      </c>
      <c r="XF214" s="695" t="s">
        <v>4107</v>
      </c>
      <c r="XG214" s="695" t="s">
        <v>4109</v>
      </c>
      <c r="XH214" s="695" t="s">
        <v>4111</v>
      </c>
      <c r="XI214" s="695" t="s">
        <v>4113</v>
      </c>
      <c r="XJ214" s="695" t="s">
        <v>4115</v>
      </c>
      <c r="XK214" s="695" t="s">
        <v>4117</v>
      </c>
      <c r="XL214" s="695" t="s">
        <v>4119</v>
      </c>
      <c r="XM214" s="695" t="s">
        <v>4121</v>
      </c>
      <c r="XN214" s="695" t="s">
        <v>4123</v>
      </c>
      <c r="XO214" s="695" t="s">
        <v>4125</v>
      </c>
      <c r="XP214" s="695" t="s">
        <v>4127</v>
      </c>
      <c r="XQ214" s="695" t="s">
        <v>4129</v>
      </c>
      <c r="XR214" s="695" t="s">
        <v>4131</v>
      </c>
      <c r="XS214" s="695" t="s">
        <v>4133</v>
      </c>
      <c r="XT214" s="695" t="s">
        <v>4135</v>
      </c>
      <c r="XU214" s="695" t="s">
        <v>4137</v>
      </c>
      <c r="XV214" s="695" t="s">
        <v>4139</v>
      </c>
      <c r="XW214" s="695" t="s">
        <v>4141</v>
      </c>
      <c r="XX214" s="695" t="s">
        <v>4143</v>
      </c>
      <c r="XY214" s="695" t="s">
        <v>4145</v>
      </c>
      <c r="XZ214" s="695" t="s">
        <v>4147</v>
      </c>
      <c r="YA214" s="695" t="s">
        <v>4149</v>
      </c>
      <c r="YB214" s="695" t="s">
        <v>4151</v>
      </c>
      <c r="YC214" s="695" t="s">
        <v>4153</v>
      </c>
      <c r="YD214" s="695" t="s">
        <v>4155</v>
      </c>
      <c r="YE214" s="695" t="s">
        <v>4157</v>
      </c>
      <c r="YF214" s="695" t="s">
        <v>4159</v>
      </c>
      <c r="YG214" s="695" t="s">
        <v>4161</v>
      </c>
      <c r="YH214" s="695" t="s">
        <v>4163</v>
      </c>
      <c r="YI214" s="695" t="s">
        <v>4165</v>
      </c>
      <c r="YJ214" s="695" t="s">
        <v>4167</v>
      </c>
      <c r="YK214" s="695" t="s">
        <v>4169</v>
      </c>
      <c r="YL214" s="695" t="s">
        <v>4171</v>
      </c>
      <c r="YM214" s="695" t="s">
        <v>4173</v>
      </c>
      <c r="YN214" s="695" t="s">
        <v>4175</v>
      </c>
      <c r="YO214" s="695" t="s">
        <v>4177</v>
      </c>
      <c r="YP214" s="695" t="s">
        <v>4179</v>
      </c>
      <c r="YQ214" s="695" t="s">
        <v>4181</v>
      </c>
      <c r="YR214" s="695" t="s">
        <v>4183</v>
      </c>
      <c r="YS214" s="695" t="s">
        <v>4185</v>
      </c>
      <c r="YT214" s="695" t="s">
        <v>4187</v>
      </c>
      <c r="YU214" s="695" t="s">
        <v>4189</v>
      </c>
      <c r="YV214" s="695" t="s">
        <v>4191</v>
      </c>
      <c r="YW214" s="695" t="s">
        <v>4193</v>
      </c>
      <c r="YX214" s="695" t="s">
        <v>4195</v>
      </c>
      <c r="YY214" s="695" t="s">
        <v>4197</v>
      </c>
      <c r="YZ214" s="695" t="s">
        <v>4199</v>
      </c>
      <c r="ZA214" s="695" t="s">
        <v>4201</v>
      </c>
      <c r="ZB214" s="695" t="s">
        <v>4203</v>
      </c>
      <c r="ZC214" s="695" t="s">
        <v>4205</v>
      </c>
      <c r="ZD214" s="695" t="s">
        <v>4207</v>
      </c>
      <c r="ZE214" s="695" t="s">
        <v>4209</v>
      </c>
      <c r="ZF214" s="695" t="s">
        <v>4211</v>
      </c>
      <c r="ZG214" s="695" t="s">
        <v>4213</v>
      </c>
      <c r="ZH214" s="695" t="s">
        <v>4215</v>
      </c>
      <c r="ZI214" s="695" t="s">
        <v>4217</v>
      </c>
      <c r="ZJ214" s="695" t="s">
        <v>4219</v>
      </c>
      <c r="ZK214" s="695" t="s">
        <v>4221</v>
      </c>
      <c r="ZL214" s="695" t="s">
        <v>4223</v>
      </c>
      <c r="ZM214" s="695" t="s">
        <v>4225</v>
      </c>
      <c r="ZN214" s="695" t="s">
        <v>4227</v>
      </c>
      <c r="ZO214" s="695" t="s">
        <v>4229</v>
      </c>
      <c r="ZP214" s="695" t="s">
        <v>4231</v>
      </c>
      <c r="ZQ214" s="695" t="s">
        <v>4233</v>
      </c>
      <c r="ZR214" s="695" t="s">
        <v>4235</v>
      </c>
      <c r="ZS214" s="695" t="s">
        <v>4237</v>
      </c>
      <c r="ZT214" s="695" t="s">
        <v>4239</v>
      </c>
      <c r="ZU214" s="695" t="s">
        <v>4241</v>
      </c>
      <c r="ZV214" s="695" t="s">
        <v>4243</v>
      </c>
      <c r="ZW214" s="695" t="s">
        <v>4245</v>
      </c>
      <c r="ZX214" s="695" t="s">
        <v>4247</v>
      </c>
      <c r="ZY214" s="695" t="s">
        <v>4249</v>
      </c>
      <c r="ZZ214" s="695" t="s">
        <v>4251</v>
      </c>
      <c r="AAA214" s="695" t="s">
        <v>4253</v>
      </c>
      <c r="AAB214" s="695" t="s">
        <v>4255</v>
      </c>
      <c r="AAC214" s="695" t="s">
        <v>4257</v>
      </c>
      <c r="AAD214" s="695" t="s">
        <v>4259</v>
      </c>
      <c r="AAE214" s="695" t="s">
        <v>4261</v>
      </c>
      <c r="AAF214" s="695" t="s">
        <v>4263</v>
      </c>
      <c r="AAG214" s="695" t="s">
        <v>4265</v>
      </c>
      <c r="AAH214" s="695" t="s">
        <v>4267</v>
      </c>
      <c r="AAI214" s="695" t="s">
        <v>4269</v>
      </c>
      <c r="AAJ214" s="695" t="s">
        <v>4271</v>
      </c>
      <c r="AAK214" s="695" t="s">
        <v>4273</v>
      </c>
      <c r="AAL214" s="695" t="s">
        <v>4275</v>
      </c>
      <c r="AAM214" s="695" t="s">
        <v>4277</v>
      </c>
      <c r="AAN214" s="695" t="s">
        <v>4279</v>
      </c>
      <c r="AAO214" s="695" t="s">
        <v>4281</v>
      </c>
      <c r="AAP214" s="695" t="s">
        <v>4283</v>
      </c>
      <c r="AAQ214" s="695" t="s">
        <v>4285</v>
      </c>
      <c r="AAR214" s="695" t="s">
        <v>4287</v>
      </c>
      <c r="AAS214" s="695" t="s">
        <v>4289</v>
      </c>
      <c r="AAT214" s="695" t="s">
        <v>4291</v>
      </c>
      <c r="AAU214" s="695" t="s">
        <v>4293</v>
      </c>
      <c r="AAV214" s="695" t="s">
        <v>4295</v>
      </c>
      <c r="AAW214" s="695" t="s">
        <v>4297</v>
      </c>
      <c r="AAX214" s="695" t="s">
        <v>4299</v>
      </c>
      <c r="AAY214" s="695" t="s">
        <v>4301</v>
      </c>
      <c r="AAZ214" s="695" t="s">
        <v>4303</v>
      </c>
      <c r="ABA214" s="695" t="s">
        <v>4305</v>
      </c>
      <c r="ABB214" s="695" t="s">
        <v>4307</v>
      </c>
      <c r="ABC214" s="695" t="s">
        <v>4309</v>
      </c>
      <c r="ABD214" s="695" t="s">
        <v>4311</v>
      </c>
      <c r="ABE214" s="695" t="s">
        <v>4313</v>
      </c>
      <c r="ABF214" s="695" t="s">
        <v>4315</v>
      </c>
      <c r="ABG214" s="695" t="s">
        <v>4317</v>
      </c>
      <c r="ABH214" s="695" t="s">
        <v>4319</v>
      </c>
      <c r="ABI214" s="695" t="s">
        <v>4321</v>
      </c>
      <c r="ABJ214" s="695" t="s">
        <v>4323</v>
      </c>
      <c r="ABK214" s="695" t="s">
        <v>4325</v>
      </c>
      <c r="ABL214" s="695" t="s">
        <v>4327</v>
      </c>
      <c r="ABM214" s="695" t="s">
        <v>4329</v>
      </c>
      <c r="ABN214" s="695" t="s">
        <v>4331</v>
      </c>
      <c r="ABO214" s="695" t="s">
        <v>4333</v>
      </c>
      <c r="ABP214" s="695" t="s">
        <v>4335</v>
      </c>
      <c r="ABQ214" s="695" t="s">
        <v>4337</v>
      </c>
      <c r="ABR214" s="695" t="s">
        <v>4339</v>
      </c>
      <c r="ABS214" s="695" t="s">
        <v>4341</v>
      </c>
      <c r="ABT214" s="695" t="s">
        <v>4343</v>
      </c>
      <c r="ABU214" s="695" t="s">
        <v>4345</v>
      </c>
      <c r="ABV214" s="695" t="s">
        <v>4347</v>
      </c>
      <c r="ABW214" s="695" t="s">
        <v>4349</v>
      </c>
      <c r="ABX214" s="695" t="s">
        <v>4351</v>
      </c>
      <c r="ABY214" s="695" t="s">
        <v>4353</v>
      </c>
      <c r="ABZ214" s="695" t="s">
        <v>4355</v>
      </c>
      <c r="ACA214" s="695" t="s">
        <v>4357</v>
      </c>
      <c r="ACB214" s="695" t="s">
        <v>4359</v>
      </c>
      <c r="ACC214" s="695" t="s">
        <v>4361</v>
      </c>
      <c r="ACD214" s="695" t="s">
        <v>4363</v>
      </c>
      <c r="ACE214" s="695" t="s">
        <v>4365</v>
      </c>
      <c r="ACF214" s="695" t="s">
        <v>4367</v>
      </c>
      <c r="ACG214" s="695" t="s">
        <v>4369</v>
      </c>
      <c r="ACH214" s="695" t="s">
        <v>4371</v>
      </c>
      <c r="ACI214" s="695" t="s">
        <v>4373</v>
      </c>
      <c r="ACJ214" s="695" t="s">
        <v>4375</v>
      </c>
      <c r="ACK214" s="695" t="s">
        <v>4377</v>
      </c>
      <c r="ACL214" s="695" t="s">
        <v>4379</v>
      </c>
      <c r="ACM214" s="695" t="s">
        <v>4381</v>
      </c>
      <c r="ACN214" s="695" t="s">
        <v>4383</v>
      </c>
      <c r="ACO214" s="695" t="s">
        <v>4385</v>
      </c>
      <c r="ACP214" s="695" t="s">
        <v>4387</v>
      </c>
      <c r="ACQ214" s="695" t="s">
        <v>4389</v>
      </c>
      <c r="ACR214" s="695" t="s">
        <v>4391</v>
      </c>
      <c r="ACS214" s="695" t="s">
        <v>4393</v>
      </c>
      <c r="ACT214" s="695" t="s">
        <v>4395</v>
      </c>
      <c r="ACU214" s="695" t="s">
        <v>4397</v>
      </c>
      <c r="ACV214" s="695" t="s">
        <v>4399</v>
      </c>
      <c r="ACW214" s="695" t="s">
        <v>4401</v>
      </c>
      <c r="ACX214" s="695" t="s">
        <v>4403</v>
      </c>
      <c r="ACY214" s="695" t="s">
        <v>4405</v>
      </c>
      <c r="ACZ214" s="695" t="s">
        <v>4407</v>
      </c>
      <c r="ADA214" s="695" t="s">
        <v>4409</v>
      </c>
      <c r="ADB214" s="695" t="s">
        <v>4411</v>
      </c>
      <c r="ADC214" s="695" t="s">
        <v>4413</v>
      </c>
      <c r="ADD214" s="695" t="s">
        <v>4415</v>
      </c>
      <c r="ADE214" s="695" t="s">
        <v>4417</v>
      </c>
      <c r="ADF214" s="695" t="s">
        <v>4419</v>
      </c>
      <c r="ADG214" s="695" t="s">
        <v>4421</v>
      </c>
      <c r="ADH214" s="695" t="s">
        <v>4423</v>
      </c>
      <c r="ADI214" s="695" t="s">
        <v>4425</v>
      </c>
      <c r="ADJ214" s="695" t="s">
        <v>4427</v>
      </c>
      <c r="ADK214" s="695" t="s">
        <v>4429</v>
      </c>
      <c r="ADL214" s="695" t="s">
        <v>4431</v>
      </c>
      <c r="ADM214" s="695" t="s">
        <v>4433</v>
      </c>
      <c r="ADN214" s="695" t="s">
        <v>4435</v>
      </c>
      <c r="ADO214" s="695" t="s">
        <v>4437</v>
      </c>
      <c r="ADP214" s="695" t="s">
        <v>4439</v>
      </c>
      <c r="ADQ214" s="695" t="s">
        <v>4441</v>
      </c>
      <c r="ADR214" s="695" t="s">
        <v>4443</v>
      </c>
      <c r="ADS214" s="695" t="s">
        <v>4445</v>
      </c>
      <c r="ADT214" s="695" t="s">
        <v>4447</v>
      </c>
      <c r="ADU214" s="695" t="s">
        <v>4449</v>
      </c>
      <c r="ADV214" s="695" t="s">
        <v>4451</v>
      </c>
      <c r="ADW214" s="695" t="s">
        <v>4453</v>
      </c>
      <c r="ADX214" s="695" t="s">
        <v>4455</v>
      </c>
      <c r="ADY214" s="695" t="s">
        <v>4457</v>
      </c>
      <c r="ADZ214" s="695" t="s">
        <v>4459</v>
      </c>
      <c r="AEA214" s="695" t="s">
        <v>4461</v>
      </c>
      <c r="AEB214" s="695" t="s">
        <v>4463</v>
      </c>
      <c r="AEC214" s="695" t="s">
        <v>4465</v>
      </c>
      <c r="AED214" s="695" t="s">
        <v>4467</v>
      </c>
      <c r="AEE214" s="695" t="s">
        <v>4469</v>
      </c>
      <c r="AEF214" s="695" t="s">
        <v>4471</v>
      </c>
      <c r="AEG214" s="695" t="s">
        <v>4473</v>
      </c>
      <c r="AEH214" s="695" t="s">
        <v>4475</v>
      </c>
      <c r="AEI214" s="695" t="s">
        <v>4477</v>
      </c>
      <c r="AEJ214" s="695" t="s">
        <v>4479</v>
      </c>
      <c r="AEK214" s="695" t="s">
        <v>4481</v>
      </c>
      <c r="AEL214" s="695" t="s">
        <v>4483</v>
      </c>
      <c r="AEM214" s="695" t="s">
        <v>4485</v>
      </c>
      <c r="AEN214" s="695" t="s">
        <v>4487</v>
      </c>
      <c r="AEO214" s="695" t="s">
        <v>4489</v>
      </c>
      <c r="AEP214" s="695" t="s">
        <v>4491</v>
      </c>
      <c r="AEQ214" s="695" t="s">
        <v>4493</v>
      </c>
      <c r="AER214" s="695" t="s">
        <v>4495</v>
      </c>
      <c r="AES214" s="695" t="s">
        <v>4497</v>
      </c>
      <c r="AET214" s="695" t="s">
        <v>4499</v>
      </c>
      <c r="AEU214" s="695" t="s">
        <v>4501</v>
      </c>
      <c r="AEV214" s="695" t="s">
        <v>4503</v>
      </c>
      <c r="AEW214" s="695" t="s">
        <v>4505</v>
      </c>
      <c r="AEX214" s="695" t="s">
        <v>4507</v>
      </c>
      <c r="AEY214" s="695" t="s">
        <v>4509</v>
      </c>
      <c r="AEZ214" s="695" t="s">
        <v>4511</v>
      </c>
      <c r="AFA214" s="695" t="s">
        <v>4513</v>
      </c>
      <c r="AFB214" s="695" t="s">
        <v>4515</v>
      </c>
      <c r="AFC214" s="695" t="s">
        <v>4517</v>
      </c>
      <c r="AFD214" s="695" t="s">
        <v>4519</v>
      </c>
      <c r="AFE214" s="695" t="s">
        <v>4521</v>
      </c>
      <c r="AFF214" s="695" t="s">
        <v>4523</v>
      </c>
      <c r="AFG214" s="695" t="s">
        <v>4525</v>
      </c>
      <c r="AFH214" s="695" t="s">
        <v>4527</v>
      </c>
      <c r="AFI214" s="695" t="s">
        <v>4529</v>
      </c>
      <c r="AFJ214" s="695" t="s">
        <v>4531</v>
      </c>
      <c r="AFK214" s="695" t="s">
        <v>4533</v>
      </c>
      <c r="AFL214" s="695" t="s">
        <v>4535</v>
      </c>
      <c r="AFM214" s="695" t="s">
        <v>4537</v>
      </c>
      <c r="AFN214" s="695" t="s">
        <v>4539</v>
      </c>
      <c r="AFO214" s="695" t="s">
        <v>4541</v>
      </c>
      <c r="AFP214" s="695" t="s">
        <v>4543</v>
      </c>
      <c r="AFQ214" s="695" t="s">
        <v>4545</v>
      </c>
      <c r="AFR214" s="695" t="s">
        <v>4547</v>
      </c>
      <c r="AFS214" s="695" t="s">
        <v>4549</v>
      </c>
      <c r="AFT214" s="695" t="s">
        <v>4551</v>
      </c>
      <c r="AFU214" s="695" t="s">
        <v>4553</v>
      </c>
      <c r="AFV214" s="695" t="s">
        <v>4555</v>
      </c>
      <c r="AFW214" s="695" t="s">
        <v>4557</v>
      </c>
      <c r="AFX214" s="695" t="s">
        <v>4559</v>
      </c>
      <c r="AFY214" s="695" t="s">
        <v>4561</v>
      </c>
      <c r="AFZ214" s="695" t="s">
        <v>4563</v>
      </c>
      <c r="AGA214" s="695" t="s">
        <v>4565</v>
      </c>
      <c r="AGB214" s="695" t="s">
        <v>4567</v>
      </c>
      <c r="AGC214" s="695" t="s">
        <v>4569</v>
      </c>
      <c r="AGD214" s="695" t="s">
        <v>4571</v>
      </c>
      <c r="AGE214" s="695" t="s">
        <v>4573</v>
      </c>
      <c r="AGF214" s="695" t="s">
        <v>4575</v>
      </c>
      <c r="AGG214" s="695" t="s">
        <v>4577</v>
      </c>
      <c r="AGH214" s="695" t="s">
        <v>4579</v>
      </c>
      <c r="AGI214" s="695" t="s">
        <v>4581</v>
      </c>
      <c r="AGJ214" s="695" t="s">
        <v>4583</v>
      </c>
      <c r="AGK214" s="695" t="s">
        <v>4585</v>
      </c>
      <c r="AGL214" s="695" t="s">
        <v>4587</v>
      </c>
      <c r="AGM214" s="695" t="s">
        <v>4589</v>
      </c>
      <c r="AGN214" s="695" t="s">
        <v>4591</v>
      </c>
      <c r="AGO214" s="695" t="s">
        <v>4593</v>
      </c>
      <c r="AGP214" s="695" t="s">
        <v>4595</v>
      </c>
      <c r="AGQ214" s="695" t="s">
        <v>4597</v>
      </c>
      <c r="AGR214" s="695" t="s">
        <v>4599</v>
      </c>
      <c r="AGS214" s="695" t="s">
        <v>4601</v>
      </c>
      <c r="AGT214" s="695" t="s">
        <v>4603</v>
      </c>
      <c r="AGU214" s="695" t="s">
        <v>4605</v>
      </c>
      <c r="AGV214" s="695" t="s">
        <v>4607</v>
      </c>
      <c r="AGW214" s="695" t="s">
        <v>4609</v>
      </c>
      <c r="AGX214" s="695" t="s">
        <v>4611</v>
      </c>
      <c r="AGY214" s="695" t="s">
        <v>4613</v>
      </c>
      <c r="AGZ214" s="695" t="s">
        <v>4615</v>
      </c>
      <c r="AHA214" s="695" t="s">
        <v>4617</v>
      </c>
      <c r="AHB214" s="695" t="s">
        <v>4619</v>
      </c>
      <c r="AHC214" s="695" t="s">
        <v>4621</v>
      </c>
      <c r="AHD214" s="695" t="s">
        <v>4623</v>
      </c>
      <c r="AHE214" s="695" t="s">
        <v>4625</v>
      </c>
      <c r="AHF214" s="695" t="s">
        <v>4627</v>
      </c>
      <c r="AHG214" s="695" t="s">
        <v>4629</v>
      </c>
      <c r="AHH214" s="695" t="s">
        <v>4631</v>
      </c>
      <c r="AHI214" s="695" t="s">
        <v>4633</v>
      </c>
      <c r="AHJ214" s="695" t="s">
        <v>4635</v>
      </c>
      <c r="AHK214" s="695" t="s">
        <v>4637</v>
      </c>
      <c r="AHL214" s="695" t="s">
        <v>4639</v>
      </c>
      <c r="AHM214" s="695" t="s">
        <v>4641</v>
      </c>
      <c r="AHN214" s="695" t="s">
        <v>4643</v>
      </c>
      <c r="AHO214" s="695" t="s">
        <v>4645</v>
      </c>
      <c r="AHP214" s="695" t="s">
        <v>4647</v>
      </c>
      <c r="AHQ214" s="695" t="s">
        <v>4649</v>
      </c>
      <c r="AHR214" s="695" t="s">
        <v>4651</v>
      </c>
      <c r="AHS214" s="695" t="s">
        <v>4653</v>
      </c>
      <c r="AHT214" s="695" t="s">
        <v>4655</v>
      </c>
      <c r="AHU214" s="695" t="s">
        <v>4657</v>
      </c>
      <c r="AHV214" s="695" t="s">
        <v>4659</v>
      </c>
      <c r="AHW214" s="695" t="s">
        <v>4661</v>
      </c>
      <c r="AHX214" s="695" t="s">
        <v>4663</v>
      </c>
      <c r="AHY214" s="695" t="s">
        <v>4665</v>
      </c>
      <c r="AHZ214" s="695" t="s">
        <v>4667</v>
      </c>
      <c r="AIA214" s="695" t="s">
        <v>4669</v>
      </c>
      <c r="AIB214" s="695" t="s">
        <v>4671</v>
      </c>
      <c r="AIC214" s="695" t="s">
        <v>4673</v>
      </c>
      <c r="AID214" s="695" t="s">
        <v>4675</v>
      </c>
      <c r="AIE214" s="695" t="s">
        <v>4677</v>
      </c>
      <c r="AIF214" s="695" t="s">
        <v>4679</v>
      </c>
      <c r="AIG214" s="695" t="s">
        <v>4681</v>
      </c>
      <c r="AIH214" s="695" t="s">
        <v>4683</v>
      </c>
      <c r="AII214" s="695" t="s">
        <v>4685</v>
      </c>
      <c r="AIJ214" s="695" t="s">
        <v>4687</v>
      </c>
      <c r="AIK214" s="695" t="s">
        <v>4689</v>
      </c>
      <c r="AIL214" s="695" t="s">
        <v>4691</v>
      </c>
      <c r="AIM214" s="695" t="s">
        <v>4693</v>
      </c>
      <c r="AIN214" s="695" t="s">
        <v>4695</v>
      </c>
      <c r="AIO214" s="695" t="s">
        <v>4697</v>
      </c>
      <c r="AIP214" s="695" t="s">
        <v>4699</v>
      </c>
      <c r="AIQ214" s="695" t="s">
        <v>4701</v>
      </c>
      <c r="AIR214" s="695" t="s">
        <v>4703</v>
      </c>
      <c r="AIS214" s="695" t="s">
        <v>4705</v>
      </c>
      <c r="AIT214" s="695" t="s">
        <v>4707</v>
      </c>
      <c r="AIU214" s="695" t="s">
        <v>4709</v>
      </c>
      <c r="AIV214" s="695" t="s">
        <v>4711</v>
      </c>
      <c r="AIW214" s="695" t="s">
        <v>4713</v>
      </c>
      <c r="AIX214" s="695" t="s">
        <v>4715</v>
      </c>
      <c r="AIY214" s="695" t="s">
        <v>4717</v>
      </c>
      <c r="AIZ214" s="695" t="s">
        <v>4719</v>
      </c>
      <c r="AJA214" s="695" t="s">
        <v>4721</v>
      </c>
      <c r="AJB214" s="695" t="s">
        <v>4723</v>
      </c>
      <c r="AJC214" s="695" t="s">
        <v>4725</v>
      </c>
      <c r="AJD214" s="695" t="s">
        <v>4727</v>
      </c>
      <c r="AJE214" s="695" t="s">
        <v>4729</v>
      </c>
      <c r="AJF214" s="695" t="s">
        <v>4731</v>
      </c>
      <c r="AJG214" s="695" t="s">
        <v>4733</v>
      </c>
      <c r="AJH214" s="695" t="s">
        <v>4735</v>
      </c>
      <c r="AJI214" s="695" t="s">
        <v>4737</v>
      </c>
      <c r="AJJ214" s="695" t="s">
        <v>4739</v>
      </c>
      <c r="AJK214" s="695" t="s">
        <v>4741</v>
      </c>
      <c r="AJL214" s="695" t="s">
        <v>4743</v>
      </c>
      <c r="AJM214" s="695" t="s">
        <v>4745</v>
      </c>
      <c r="AJN214" s="695" t="s">
        <v>4747</v>
      </c>
      <c r="AJO214" s="695" t="s">
        <v>4749</v>
      </c>
      <c r="AJP214" s="695" t="s">
        <v>4751</v>
      </c>
      <c r="AJQ214" s="695" t="s">
        <v>4753</v>
      </c>
      <c r="AJR214" s="695" t="s">
        <v>4755</v>
      </c>
      <c r="AJS214" s="695" t="s">
        <v>4757</v>
      </c>
      <c r="AJT214" s="695" t="s">
        <v>4759</v>
      </c>
      <c r="AJU214" s="695" t="s">
        <v>4761</v>
      </c>
      <c r="AJV214" s="695" t="s">
        <v>4763</v>
      </c>
      <c r="AJW214" s="695" t="s">
        <v>4765</v>
      </c>
      <c r="AJX214" s="695" t="s">
        <v>4767</v>
      </c>
      <c r="AJY214" s="695" t="s">
        <v>4769</v>
      </c>
      <c r="AJZ214" s="695" t="s">
        <v>4771</v>
      </c>
      <c r="AKA214" s="695" t="s">
        <v>4773</v>
      </c>
      <c r="AKB214" s="695" t="s">
        <v>4775</v>
      </c>
      <c r="AKC214" s="695" t="s">
        <v>4777</v>
      </c>
      <c r="AKD214" s="695" t="s">
        <v>4779</v>
      </c>
      <c r="AKE214" s="695" t="s">
        <v>4781</v>
      </c>
      <c r="AKF214" s="695" t="s">
        <v>4783</v>
      </c>
      <c r="AKG214" s="695" t="s">
        <v>4785</v>
      </c>
      <c r="AKH214" s="695" t="s">
        <v>4787</v>
      </c>
      <c r="AKI214" s="695" t="s">
        <v>4789</v>
      </c>
      <c r="AKJ214" s="695" t="s">
        <v>4791</v>
      </c>
      <c r="AKK214" s="695" t="s">
        <v>4793</v>
      </c>
      <c r="AKL214" s="695" t="s">
        <v>4795</v>
      </c>
      <c r="AKM214" s="695" t="s">
        <v>4797</v>
      </c>
      <c r="AKN214" s="695" t="s">
        <v>4799</v>
      </c>
      <c r="AKO214" s="695" t="s">
        <v>4801</v>
      </c>
      <c r="AKP214" s="695" t="s">
        <v>4803</v>
      </c>
      <c r="AKQ214" s="695" t="s">
        <v>4805</v>
      </c>
      <c r="AKR214" s="695" t="s">
        <v>4807</v>
      </c>
      <c r="AKS214" s="695" t="s">
        <v>4809</v>
      </c>
      <c r="AKT214" s="695" t="s">
        <v>4811</v>
      </c>
      <c r="AKU214" s="695" t="s">
        <v>4813</v>
      </c>
      <c r="AKV214" s="695" t="s">
        <v>4815</v>
      </c>
      <c r="AKW214" s="695" t="s">
        <v>4817</v>
      </c>
      <c r="AKX214" s="695" t="s">
        <v>4819</v>
      </c>
      <c r="AKY214" s="695" t="s">
        <v>4821</v>
      </c>
      <c r="AKZ214" s="695" t="s">
        <v>4823</v>
      </c>
      <c r="ALA214" s="695" t="s">
        <v>4825</v>
      </c>
      <c r="ALB214" s="695" t="s">
        <v>4827</v>
      </c>
      <c r="ALC214" s="695" t="s">
        <v>4829</v>
      </c>
      <c r="ALD214" s="695" t="s">
        <v>4831</v>
      </c>
      <c r="ALE214" s="695" t="s">
        <v>4833</v>
      </c>
      <c r="ALF214" s="695" t="s">
        <v>4835</v>
      </c>
      <c r="ALG214" s="695" t="s">
        <v>4837</v>
      </c>
      <c r="ALH214" s="695" t="s">
        <v>4839</v>
      </c>
      <c r="ALI214" s="695" t="s">
        <v>4841</v>
      </c>
      <c r="ALJ214" s="695" t="s">
        <v>4843</v>
      </c>
      <c r="ALK214" s="695" t="s">
        <v>4845</v>
      </c>
      <c r="ALL214" s="695" t="s">
        <v>4847</v>
      </c>
      <c r="ALM214" s="695" t="s">
        <v>4849</v>
      </c>
      <c r="ALN214" s="695" t="s">
        <v>4851</v>
      </c>
      <c r="ALO214" s="695" t="s">
        <v>4853</v>
      </c>
      <c r="ALP214" s="695" t="s">
        <v>4855</v>
      </c>
      <c r="ALQ214" s="695" t="s">
        <v>4857</v>
      </c>
      <c r="ALR214" s="695" t="s">
        <v>4859</v>
      </c>
      <c r="ALS214" s="695" t="s">
        <v>4861</v>
      </c>
      <c r="ALT214" s="695" t="s">
        <v>4863</v>
      </c>
      <c r="ALU214" s="695" t="s">
        <v>4865</v>
      </c>
      <c r="ALV214" s="695" t="s">
        <v>4867</v>
      </c>
      <c r="ALW214" s="695" t="s">
        <v>4869</v>
      </c>
      <c r="ALX214" s="695" t="s">
        <v>4871</v>
      </c>
      <c r="ALY214" s="695" t="s">
        <v>4873</v>
      </c>
      <c r="ALZ214" s="695" t="s">
        <v>4875</v>
      </c>
      <c r="AMA214" s="695" t="s">
        <v>4877</v>
      </c>
      <c r="AMB214" s="695" t="s">
        <v>4879</v>
      </c>
      <c r="AMC214" s="695" t="s">
        <v>4881</v>
      </c>
      <c r="AMD214" s="695" t="s">
        <v>4883</v>
      </c>
      <c r="AME214" s="695" t="s">
        <v>4885</v>
      </c>
      <c r="AMF214" s="695" t="s">
        <v>4887</v>
      </c>
      <c r="AMG214" s="695" t="s">
        <v>4889</v>
      </c>
      <c r="AMH214" s="695" t="s">
        <v>4891</v>
      </c>
      <c r="AMI214" s="695" t="s">
        <v>4893</v>
      </c>
      <c r="AMJ214" s="695" t="s">
        <v>4895</v>
      </c>
      <c r="AMK214" s="731" t="s">
        <v>4897</v>
      </c>
    </row>
    <row r="215" spans="2:1025" x14ac:dyDescent="0.25">
      <c r="B215" s="737" t="s">
        <v>2879</v>
      </c>
      <c r="C215" s="737" t="s">
        <v>2880</v>
      </c>
      <c r="D215" s="738">
        <v>3647.2546000000002</v>
      </c>
      <c r="E215" s="738">
        <v>2841.1641</v>
      </c>
      <c r="F215" s="738">
        <v>20177.147099999998</v>
      </c>
      <c r="G215" s="738">
        <v>446.34082781772616</v>
      </c>
      <c r="N215" s="729" t="s">
        <v>2873</v>
      </c>
      <c r="O215" s="727">
        <v>34.299999999999997</v>
      </c>
      <c r="P215" s="727">
        <v>32.433</v>
      </c>
      <c r="Q215" s="727">
        <v>48.35</v>
      </c>
      <c r="R215" s="727">
        <v>32.65</v>
      </c>
      <c r="S215" s="727">
        <v>66.599999999999994</v>
      </c>
      <c r="T215" s="727">
        <v>71.319999999999993</v>
      </c>
      <c r="U215" s="727">
        <v>70.2</v>
      </c>
      <c r="V215" s="727">
        <v>68.349999999999994</v>
      </c>
      <c r="W215" s="727">
        <v>66.266999999999996</v>
      </c>
      <c r="X215" s="727">
        <v>66.882999999999996</v>
      </c>
      <c r="Y215" s="727">
        <v>68.132999999999996</v>
      </c>
      <c r="Z215" s="727">
        <v>67.099999999999994</v>
      </c>
      <c r="AA215" s="727">
        <v>66.917000000000002</v>
      </c>
      <c r="AB215" s="727">
        <v>65.167000000000002</v>
      </c>
      <c r="AC215" s="727">
        <v>66.566999999999993</v>
      </c>
      <c r="AD215" s="727">
        <v>64.516999999999996</v>
      </c>
      <c r="AE215" s="727">
        <v>62.067</v>
      </c>
      <c r="AF215" s="727">
        <v>63.683</v>
      </c>
      <c r="AG215" s="727">
        <v>63.783000000000001</v>
      </c>
      <c r="AH215" s="727">
        <v>63.883000000000003</v>
      </c>
      <c r="AI215" s="727">
        <v>62.65</v>
      </c>
      <c r="AJ215" s="727">
        <v>62.783000000000001</v>
      </c>
      <c r="AK215" s="727">
        <v>60.366999999999997</v>
      </c>
      <c r="AL215" s="727">
        <v>61.517000000000003</v>
      </c>
      <c r="AM215" s="727">
        <v>60.783000000000001</v>
      </c>
      <c r="AN215" s="727">
        <v>65.7</v>
      </c>
      <c r="AO215" s="727">
        <v>62.95</v>
      </c>
      <c r="AP215" s="727">
        <v>61.582999999999998</v>
      </c>
      <c r="AQ215" s="727">
        <v>63.883000000000003</v>
      </c>
      <c r="AR215" s="727">
        <v>61.982999999999997</v>
      </c>
      <c r="AS215" s="727">
        <v>62.317</v>
      </c>
      <c r="AT215" s="727">
        <v>60.582999999999998</v>
      </c>
      <c r="AU215" s="727">
        <v>60.466999999999999</v>
      </c>
      <c r="AV215" s="727">
        <v>64.55</v>
      </c>
      <c r="AW215" s="727">
        <v>62.883000000000003</v>
      </c>
      <c r="AX215" s="727">
        <v>58.082999999999998</v>
      </c>
      <c r="AY215" s="727">
        <v>64.816999999999993</v>
      </c>
      <c r="AZ215" s="727">
        <v>63.883000000000003</v>
      </c>
      <c r="BA215" s="727">
        <v>64.650000000000006</v>
      </c>
      <c r="BB215" s="727">
        <v>64</v>
      </c>
      <c r="BC215" s="727">
        <v>62.15</v>
      </c>
      <c r="BD215" s="727">
        <v>61.25</v>
      </c>
      <c r="BE215" s="727">
        <v>61.183</v>
      </c>
      <c r="BF215" s="727">
        <v>61.183</v>
      </c>
      <c r="BG215" s="727">
        <v>61.216999999999999</v>
      </c>
      <c r="BH215" s="727">
        <v>61.6</v>
      </c>
      <c r="BI215" s="727">
        <v>61.417000000000002</v>
      </c>
      <c r="BJ215" s="727">
        <v>61.133000000000003</v>
      </c>
      <c r="BK215" s="727">
        <v>61.133000000000003</v>
      </c>
      <c r="BL215" s="727">
        <v>60.767000000000003</v>
      </c>
      <c r="BM215" s="727">
        <v>60.116999999999997</v>
      </c>
      <c r="BN215" s="727">
        <v>62.966999999999999</v>
      </c>
      <c r="BO215" s="727">
        <v>60.5</v>
      </c>
      <c r="BP215" s="727">
        <v>60.817</v>
      </c>
      <c r="BQ215" s="727">
        <v>57.167000000000002</v>
      </c>
      <c r="BR215" s="727">
        <v>55.2</v>
      </c>
      <c r="BS215" s="727">
        <v>55.317</v>
      </c>
      <c r="BT215" s="727">
        <v>59.05</v>
      </c>
      <c r="BU215" s="727">
        <v>58.683</v>
      </c>
      <c r="BV215" s="727">
        <v>56.95</v>
      </c>
      <c r="BW215" s="727">
        <v>59.75</v>
      </c>
      <c r="BX215" s="727">
        <v>61.716999999999999</v>
      </c>
      <c r="BY215" s="727">
        <v>59.65</v>
      </c>
      <c r="BZ215" s="727">
        <v>59.466999999999999</v>
      </c>
      <c r="CA215" s="727">
        <v>57.75</v>
      </c>
      <c r="CB215" s="727">
        <v>59.05</v>
      </c>
      <c r="CC215" s="727">
        <v>59.517000000000003</v>
      </c>
      <c r="CD215" s="727">
        <v>59.466999999999999</v>
      </c>
      <c r="CE215" s="727">
        <v>58.417000000000002</v>
      </c>
      <c r="CF215" s="727">
        <v>57.05</v>
      </c>
      <c r="CG215" s="727">
        <v>58.35</v>
      </c>
      <c r="CH215" s="727">
        <v>56.966999999999999</v>
      </c>
      <c r="CI215" s="727">
        <v>56.8</v>
      </c>
      <c r="CJ215" s="727">
        <v>56.482999999999997</v>
      </c>
      <c r="CK215" s="727">
        <v>55.2</v>
      </c>
      <c r="CL215" s="727">
        <v>55.366999999999997</v>
      </c>
      <c r="CM215" s="727">
        <v>55.05</v>
      </c>
      <c r="CN215" s="727">
        <v>52.716999999999999</v>
      </c>
      <c r="CO215" s="727">
        <v>51.883000000000003</v>
      </c>
      <c r="CP215" s="727">
        <v>53.9</v>
      </c>
      <c r="CQ215" s="727">
        <v>24.55</v>
      </c>
      <c r="CR215" s="727">
        <v>24.582999999999998</v>
      </c>
      <c r="CS215" s="727">
        <v>24.733000000000001</v>
      </c>
      <c r="CT215" s="727">
        <v>25.817</v>
      </c>
      <c r="CU215" s="727">
        <v>25.9</v>
      </c>
      <c r="CV215" s="727">
        <v>26.067</v>
      </c>
      <c r="CW215" s="727">
        <v>25.483000000000001</v>
      </c>
      <c r="CX215" s="727">
        <v>25.65</v>
      </c>
      <c r="CY215" s="727">
        <v>26.683</v>
      </c>
      <c r="CZ215" s="727">
        <v>26.15</v>
      </c>
      <c r="DA215" s="727">
        <v>26.2</v>
      </c>
      <c r="DB215" s="727">
        <v>28.117000000000001</v>
      </c>
      <c r="DC215" s="727">
        <v>27.65</v>
      </c>
      <c r="DD215" s="727">
        <v>28.433</v>
      </c>
      <c r="DE215" s="727">
        <v>28.55</v>
      </c>
      <c r="DF215" s="727">
        <v>29.167000000000002</v>
      </c>
      <c r="DG215" s="727">
        <v>29.183</v>
      </c>
      <c r="DH215" s="727">
        <v>28.783000000000001</v>
      </c>
      <c r="DI215" s="727">
        <v>30.5</v>
      </c>
      <c r="DJ215" s="727">
        <v>30.233000000000001</v>
      </c>
      <c r="DK215" s="727">
        <v>30.4</v>
      </c>
      <c r="DL215" s="727">
        <v>30.332999999999998</v>
      </c>
      <c r="DM215" s="727">
        <v>32.116999999999997</v>
      </c>
      <c r="DN215" s="727">
        <v>32.9</v>
      </c>
      <c r="DO215" s="727">
        <v>32.482999999999997</v>
      </c>
      <c r="DP215" s="727">
        <v>27.483000000000001</v>
      </c>
      <c r="DQ215" s="727">
        <v>27.766999999999999</v>
      </c>
      <c r="DR215" s="727">
        <v>26.582999999999998</v>
      </c>
      <c r="DS215" s="727">
        <v>26.533000000000001</v>
      </c>
      <c r="DT215" s="727">
        <v>27.966999999999999</v>
      </c>
      <c r="DU215" s="727">
        <v>27.382999999999999</v>
      </c>
      <c r="DV215" s="727">
        <v>27.9</v>
      </c>
      <c r="DW215" s="727">
        <v>27.983000000000001</v>
      </c>
      <c r="DX215" s="727">
        <v>31.533000000000001</v>
      </c>
      <c r="DY215" s="727">
        <v>31.25</v>
      </c>
      <c r="DZ215" s="727">
        <v>31.15</v>
      </c>
      <c r="EA215" s="727">
        <v>30.38</v>
      </c>
      <c r="EB215" s="727">
        <v>29.7</v>
      </c>
      <c r="EC215" s="727">
        <v>31.533000000000001</v>
      </c>
      <c r="ED215" s="727">
        <v>30.783000000000001</v>
      </c>
      <c r="EE215" s="727">
        <v>32.683</v>
      </c>
      <c r="EF215" s="727">
        <v>32.633000000000003</v>
      </c>
      <c r="EG215" s="727">
        <v>33.366999999999997</v>
      </c>
      <c r="EH215" s="727">
        <v>33.633000000000003</v>
      </c>
      <c r="EI215" s="727">
        <v>33.767000000000003</v>
      </c>
      <c r="EJ215" s="727">
        <v>33.866999999999997</v>
      </c>
      <c r="EK215" s="727">
        <v>30.483000000000001</v>
      </c>
      <c r="EL215" s="727">
        <v>30.783000000000001</v>
      </c>
      <c r="EM215" s="727">
        <v>30.483000000000001</v>
      </c>
      <c r="EN215" s="727">
        <v>30.35</v>
      </c>
      <c r="EO215" s="727">
        <v>30.716999999999999</v>
      </c>
      <c r="EP215" s="727">
        <v>30.683</v>
      </c>
      <c r="EQ215" s="727">
        <v>30.632999999999999</v>
      </c>
      <c r="ER215" s="727">
        <v>30.2</v>
      </c>
      <c r="ES215" s="727">
        <v>32.35</v>
      </c>
      <c r="ET215" s="727">
        <v>32.517000000000003</v>
      </c>
      <c r="EU215" s="727">
        <v>32.299999999999997</v>
      </c>
      <c r="EV215" s="727">
        <v>32.383000000000003</v>
      </c>
      <c r="EW215" s="727">
        <v>31.867000000000001</v>
      </c>
      <c r="EX215" s="727">
        <v>31.233000000000001</v>
      </c>
      <c r="EY215" s="727">
        <v>31.266999999999999</v>
      </c>
      <c r="EZ215" s="727">
        <v>33.917000000000002</v>
      </c>
      <c r="FA215" s="727">
        <v>33.567</v>
      </c>
      <c r="FB215" s="727">
        <v>32.616</v>
      </c>
      <c r="FC215" s="727">
        <v>33.966999999999999</v>
      </c>
      <c r="FD215" s="727">
        <v>33.216999999999999</v>
      </c>
      <c r="FE215" s="727">
        <v>33.582999999999998</v>
      </c>
      <c r="FF215" s="727">
        <v>30</v>
      </c>
      <c r="FG215" s="727">
        <v>30.033000000000001</v>
      </c>
      <c r="FH215" s="727">
        <v>30.05</v>
      </c>
      <c r="FI215" s="727">
        <v>29.817</v>
      </c>
      <c r="FJ215" s="727">
        <v>30.533000000000001</v>
      </c>
      <c r="FK215" s="727">
        <v>29.716999999999999</v>
      </c>
      <c r="FL215" s="727">
        <v>32.332999999999998</v>
      </c>
      <c r="FM215" s="727">
        <v>32.549999999999997</v>
      </c>
      <c r="FN215" s="727">
        <v>31.466999999999999</v>
      </c>
      <c r="FO215" s="727">
        <v>32.317</v>
      </c>
      <c r="FP215" s="727">
        <v>33.482999999999997</v>
      </c>
      <c r="FQ215" s="727">
        <v>31.617000000000001</v>
      </c>
      <c r="FR215" s="727">
        <v>31.233000000000001</v>
      </c>
      <c r="FS215" s="727">
        <v>33.5</v>
      </c>
      <c r="FT215" s="727">
        <v>31.05</v>
      </c>
      <c r="FU215" s="727">
        <v>30.117000000000001</v>
      </c>
      <c r="FV215" s="727">
        <v>30.216999999999999</v>
      </c>
      <c r="FW215" s="727">
        <v>30.2</v>
      </c>
      <c r="FX215" s="727">
        <v>29.567</v>
      </c>
      <c r="FY215" s="727">
        <v>29.95</v>
      </c>
      <c r="FZ215" s="727">
        <v>29.3</v>
      </c>
      <c r="GA215" s="727">
        <v>30.067</v>
      </c>
      <c r="GB215" s="727">
        <v>30</v>
      </c>
      <c r="GC215" s="727">
        <v>29.65</v>
      </c>
      <c r="GD215" s="727">
        <v>29.57</v>
      </c>
      <c r="GE215" s="727">
        <v>30.582999999999998</v>
      </c>
      <c r="GF215" s="727">
        <v>31.233000000000001</v>
      </c>
      <c r="GG215" s="727">
        <v>32.35</v>
      </c>
      <c r="GH215" s="727">
        <v>32.29</v>
      </c>
      <c r="GI215" s="727">
        <v>32.450000000000003</v>
      </c>
      <c r="GJ215" s="727">
        <v>32.533000000000001</v>
      </c>
      <c r="GK215" s="727">
        <v>32.5</v>
      </c>
      <c r="GL215" s="727">
        <v>32.517000000000003</v>
      </c>
      <c r="GM215" s="727">
        <v>31.4</v>
      </c>
      <c r="GN215" s="727">
        <v>31.582999999999998</v>
      </c>
      <c r="GO215" s="727">
        <v>25.9</v>
      </c>
      <c r="GP215" s="727">
        <v>26.233000000000001</v>
      </c>
      <c r="GQ215" s="727">
        <v>26.31</v>
      </c>
      <c r="GR215" s="727">
        <v>27.88</v>
      </c>
      <c r="GS215" s="727">
        <v>27.683</v>
      </c>
      <c r="GT215" s="727">
        <v>27.5</v>
      </c>
      <c r="GU215" s="727">
        <v>27.733000000000001</v>
      </c>
      <c r="GV215" s="727">
        <v>27.57</v>
      </c>
      <c r="GW215" s="727">
        <v>29.332999999999998</v>
      </c>
      <c r="GX215" s="727">
        <v>28.082999999999998</v>
      </c>
      <c r="GY215" s="727">
        <v>28.45</v>
      </c>
      <c r="GZ215" s="727">
        <v>29.533000000000001</v>
      </c>
      <c r="HA215" s="727">
        <v>29.367000000000001</v>
      </c>
      <c r="HB215" s="727">
        <v>29.382999999999999</v>
      </c>
      <c r="HC215" s="727">
        <v>29.533000000000001</v>
      </c>
      <c r="HD215" s="727">
        <v>30.29</v>
      </c>
      <c r="HE215" s="727">
        <v>30.317</v>
      </c>
      <c r="HF215" s="727">
        <v>30.683</v>
      </c>
      <c r="HG215" s="727">
        <v>28.867000000000001</v>
      </c>
      <c r="HH215" s="727">
        <v>28.716999999999999</v>
      </c>
      <c r="HI215" s="727">
        <v>31.617000000000001</v>
      </c>
      <c r="HJ215" s="727">
        <v>31.483000000000001</v>
      </c>
      <c r="HK215" s="727">
        <v>31.132999999999999</v>
      </c>
      <c r="HL215" s="727">
        <v>31.082999999999998</v>
      </c>
      <c r="HM215" s="727">
        <v>31.067</v>
      </c>
      <c r="HN215" s="727">
        <v>31.15</v>
      </c>
      <c r="HO215" s="727">
        <v>32.85</v>
      </c>
      <c r="HP215" s="727">
        <v>33.633000000000003</v>
      </c>
      <c r="HQ215" s="727">
        <v>33.067</v>
      </c>
      <c r="HR215" s="727">
        <v>32.9</v>
      </c>
      <c r="HS215" s="727">
        <v>32.982999999999997</v>
      </c>
      <c r="HT215" s="727">
        <v>32.767000000000003</v>
      </c>
      <c r="HU215" s="727">
        <v>32.817</v>
      </c>
      <c r="HV215" s="727">
        <v>32.783000000000001</v>
      </c>
      <c r="HW215" s="727">
        <v>32.966999999999999</v>
      </c>
      <c r="HX215" s="727">
        <v>32.683</v>
      </c>
      <c r="HY215" s="727">
        <v>29.38</v>
      </c>
      <c r="HZ215" s="727">
        <v>29.367000000000001</v>
      </c>
      <c r="IA215" s="727">
        <v>31.35</v>
      </c>
      <c r="IB215" s="727">
        <v>36.017000000000003</v>
      </c>
      <c r="IC215" s="727">
        <v>30.367000000000001</v>
      </c>
      <c r="ID215" s="727">
        <v>31.95</v>
      </c>
      <c r="IE215" s="727">
        <v>31.783000000000001</v>
      </c>
      <c r="IF215" s="727">
        <v>32.47</v>
      </c>
      <c r="IG215" s="727">
        <v>33.667000000000002</v>
      </c>
      <c r="IH215" s="727">
        <v>33.299999999999997</v>
      </c>
      <c r="II215" s="727">
        <v>33.466999999999999</v>
      </c>
      <c r="IJ215" s="727">
        <v>34.383000000000003</v>
      </c>
      <c r="IK215" s="727">
        <v>32.332999999999998</v>
      </c>
      <c r="IL215" s="727">
        <v>34.433</v>
      </c>
      <c r="IM215" s="727">
        <v>32.283000000000001</v>
      </c>
      <c r="IN215" s="727">
        <v>31.77</v>
      </c>
      <c r="IO215" s="727">
        <v>33.232999999999997</v>
      </c>
      <c r="IP215" s="727">
        <v>32.25</v>
      </c>
      <c r="IQ215" s="727">
        <v>31.466999999999999</v>
      </c>
      <c r="IR215" s="727">
        <v>32.133000000000003</v>
      </c>
      <c r="IS215" s="727">
        <v>32.167000000000002</v>
      </c>
      <c r="IT215" s="727">
        <v>32.817</v>
      </c>
      <c r="IU215" s="727">
        <v>32.950000000000003</v>
      </c>
      <c r="IV215" s="727">
        <v>33.450000000000003</v>
      </c>
      <c r="IW215" s="727">
        <v>33.683</v>
      </c>
      <c r="IX215" s="727">
        <v>33.549999999999997</v>
      </c>
      <c r="IY215" s="727">
        <v>33.616999999999997</v>
      </c>
      <c r="IZ215" s="727">
        <v>32.667000000000002</v>
      </c>
      <c r="JA215" s="727">
        <v>33.9</v>
      </c>
      <c r="JB215" s="727">
        <v>33.832999999999998</v>
      </c>
      <c r="JC215" s="727">
        <v>33.950000000000003</v>
      </c>
      <c r="JD215" s="727">
        <v>34.200000000000003</v>
      </c>
      <c r="JE215" s="727">
        <v>34.017000000000003</v>
      </c>
      <c r="JF215" s="727">
        <v>34.216999999999999</v>
      </c>
      <c r="JG215" s="727">
        <v>34.667000000000002</v>
      </c>
      <c r="JH215" s="727">
        <v>35.232999999999997</v>
      </c>
      <c r="JI215" s="727">
        <v>33.966999999999999</v>
      </c>
      <c r="JJ215" s="727">
        <v>32.732999999999997</v>
      </c>
      <c r="JK215" s="727">
        <v>32.817</v>
      </c>
      <c r="JL215" s="727">
        <v>32.582999999999998</v>
      </c>
      <c r="JM215" s="727">
        <v>32.700000000000003</v>
      </c>
      <c r="JN215" s="727">
        <v>33.299999999999997</v>
      </c>
      <c r="JO215" s="727">
        <v>33.133000000000003</v>
      </c>
      <c r="JP215" s="727">
        <v>32.866999999999997</v>
      </c>
      <c r="JQ215" s="727">
        <v>33.933</v>
      </c>
      <c r="JR215" s="727">
        <v>33.917000000000002</v>
      </c>
      <c r="JS215" s="727">
        <v>33.832999999999998</v>
      </c>
      <c r="JT215" s="727">
        <v>33.866999999999997</v>
      </c>
      <c r="JU215" s="727">
        <v>33.683</v>
      </c>
      <c r="JV215" s="727">
        <v>34.267000000000003</v>
      </c>
      <c r="JW215" s="727">
        <v>35.167000000000002</v>
      </c>
      <c r="JX215" s="727">
        <v>34.982999999999997</v>
      </c>
      <c r="JY215" s="727">
        <v>35.267000000000003</v>
      </c>
      <c r="JZ215" s="727">
        <v>35.917000000000002</v>
      </c>
      <c r="KA215" s="727">
        <v>35.866999999999997</v>
      </c>
      <c r="KB215" s="727">
        <v>35.633000000000003</v>
      </c>
      <c r="KC215" s="727">
        <v>35.35</v>
      </c>
      <c r="KD215" s="727">
        <v>35.317</v>
      </c>
      <c r="KE215" s="727">
        <v>35.85</v>
      </c>
      <c r="KF215" s="727">
        <v>34.832999999999998</v>
      </c>
      <c r="KG215" s="727">
        <v>36.817</v>
      </c>
      <c r="KH215" s="727">
        <v>36.9</v>
      </c>
      <c r="KI215" s="727">
        <v>36.700000000000003</v>
      </c>
      <c r="KJ215" s="727">
        <v>36.950000000000003</v>
      </c>
      <c r="KK215" s="727">
        <v>37.133000000000003</v>
      </c>
      <c r="KL215" s="727">
        <v>34.9</v>
      </c>
      <c r="KM215" s="727">
        <v>35.067</v>
      </c>
      <c r="KN215" s="727">
        <v>34.700000000000003</v>
      </c>
      <c r="KO215" s="727">
        <v>33.950000000000003</v>
      </c>
      <c r="KP215" s="727">
        <v>34.183</v>
      </c>
      <c r="KQ215" s="727">
        <v>33.950000000000003</v>
      </c>
      <c r="KR215" s="727">
        <v>34.85</v>
      </c>
      <c r="KS215" s="727">
        <v>34.9</v>
      </c>
      <c r="KT215" s="727">
        <v>34.5</v>
      </c>
      <c r="KU215" s="727">
        <v>35.216999999999999</v>
      </c>
      <c r="KV215" s="727">
        <v>35.232999999999997</v>
      </c>
      <c r="KW215" s="727">
        <v>35.732999999999997</v>
      </c>
      <c r="KX215" s="727">
        <v>35.433</v>
      </c>
      <c r="KY215" s="727">
        <v>36.1</v>
      </c>
      <c r="KZ215" s="727">
        <v>36.466999999999999</v>
      </c>
      <c r="LA215" s="727">
        <v>36.133000000000003</v>
      </c>
      <c r="LB215" s="727">
        <v>34.35</v>
      </c>
      <c r="LC215" s="727">
        <v>34.65</v>
      </c>
      <c r="LD215" s="727">
        <v>34.75</v>
      </c>
      <c r="LE215" s="727">
        <v>35.033000000000001</v>
      </c>
      <c r="LF215" s="727">
        <v>35.817</v>
      </c>
      <c r="LG215" s="727">
        <v>35.950000000000003</v>
      </c>
      <c r="LH215" s="727">
        <v>36.116999999999997</v>
      </c>
      <c r="LI215" s="727">
        <v>36.767000000000003</v>
      </c>
      <c r="LJ215" s="727">
        <v>33.65</v>
      </c>
      <c r="LK215" s="727">
        <v>33.450000000000003</v>
      </c>
      <c r="LL215" s="727">
        <v>34.267000000000003</v>
      </c>
      <c r="LM215" s="727">
        <v>35.067</v>
      </c>
      <c r="LN215" s="727">
        <v>35.6</v>
      </c>
      <c r="LO215" s="727">
        <v>36.017000000000003</v>
      </c>
      <c r="LP215" s="727">
        <v>34.75</v>
      </c>
      <c r="LQ215" s="727">
        <v>34.917000000000002</v>
      </c>
      <c r="LR215" s="727">
        <v>36.133000000000003</v>
      </c>
      <c r="LS215" s="727">
        <v>35.832999999999998</v>
      </c>
      <c r="LT215" s="727">
        <v>34.466999999999999</v>
      </c>
      <c r="LU215" s="727">
        <v>34.6</v>
      </c>
      <c r="LV215" s="727">
        <v>34.167000000000002</v>
      </c>
      <c r="LW215" s="727">
        <v>33.450000000000003</v>
      </c>
      <c r="LX215" s="727">
        <v>33.216999999999999</v>
      </c>
      <c r="LY215" s="727">
        <v>36.183</v>
      </c>
      <c r="LZ215" s="727">
        <v>35.332999999999998</v>
      </c>
      <c r="MA215" s="727">
        <v>36.183</v>
      </c>
      <c r="MB215" s="727">
        <v>36.35</v>
      </c>
      <c r="MC215" s="727">
        <v>36</v>
      </c>
      <c r="MD215" s="727">
        <v>36.267000000000003</v>
      </c>
      <c r="ME215" s="727">
        <v>36.299999999999997</v>
      </c>
      <c r="MF215" s="727">
        <v>35.732999999999997</v>
      </c>
      <c r="MG215" s="727">
        <v>36.366999999999997</v>
      </c>
      <c r="MH215" s="727">
        <v>37.232999999999997</v>
      </c>
      <c r="MI215" s="727">
        <v>37.15</v>
      </c>
      <c r="MJ215" s="727">
        <v>33.982999999999997</v>
      </c>
      <c r="MK215" s="727">
        <v>34.65</v>
      </c>
      <c r="ML215" s="727">
        <v>35</v>
      </c>
      <c r="MM215" s="727">
        <v>35.332999999999998</v>
      </c>
      <c r="MN215" s="727">
        <v>36.299999999999997</v>
      </c>
      <c r="MO215" s="727">
        <v>35.383000000000003</v>
      </c>
      <c r="MP215" s="727">
        <v>36.332999999999998</v>
      </c>
      <c r="MQ215" s="727">
        <v>35.417000000000002</v>
      </c>
      <c r="MR215" s="727">
        <v>35.533000000000001</v>
      </c>
      <c r="MS215" s="727">
        <v>36.15</v>
      </c>
      <c r="MT215" s="727">
        <v>36.61</v>
      </c>
      <c r="MU215" s="727">
        <v>34.65</v>
      </c>
      <c r="MV215" s="727">
        <v>36.200000000000003</v>
      </c>
      <c r="MW215" s="727">
        <v>36.767000000000003</v>
      </c>
      <c r="MX215" s="727">
        <v>34.9</v>
      </c>
      <c r="MY215" s="727">
        <v>34.567</v>
      </c>
      <c r="MZ215" s="727">
        <v>36.450000000000003</v>
      </c>
      <c r="NA215" s="727">
        <v>34.433</v>
      </c>
      <c r="NB215" s="727">
        <v>35.517000000000003</v>
      </c>
      <c r="NC215" s="727">
        <v>34.99</v>
      </c>
      <c r="ND215" s="727">
        <v>35.04</v>
      </c>
      <c r="NE215" s="727">
        <v>35.616999999999997</v>
      </c>
      <c r="NF215" s="727">
        <v>36.75</v>
      </c>
      <c r="NG215" s="727">
        <v>36.450000000000003</v>
      </c>
      <c r="NH215" s="727">
        <v>35.183</v>
      </c>
      <c r="NI215" s="727">
        <v>35.65</v>
      </c>
      <c r="NJ215" s="727">
        <v>35.267000000000003</v>
      </c>
      <c r="NK215" s="727">
        <v>36.933</v>
      </c>
      <c r="NL215" s="727">
        <v>34.65</v>
      </c>
      <c r="NM215" s="727">
        <v>35.033000000000001</v>
      </c>
      <c r="NN215" s="727">
        <v>34.267000000000003</v>
      </c>
      <c r="NO215" s="727">
        <v>35.133000000000003</v>
      </c>
      <c r="NP215" s="727">
        <v>35.950000000000003</v>
      </c>
      <c r="NQ215" s="727">
        <v>34.767000000000003</v>
      </c>
      <c r="NR215" s="727">
        <v>34.9</v>
      </c>
      <c r="NS215" s="727">
        <v>34.85</v>
      </c>
      <c r="NT215" s="727">
        <v>34.732999999999997</v>
      </c>
      <c r="NU215" s="727">
        <v>34.633000000000003</v>
      </c>
      <c r="NV215" s="727">
        <v>34.75</v>
      </c>
      <c r="NW215" s="727">
        <v>35.433</v>
      </c>
      <c r="NX215" s="727">
        <v>36.082999999999998</v>
      </c>
      <c r="NY215" s="727">
        <v>36.25</v>
      </c>
      <c r="NZ215" s="727">
        <v>36.630000000000003</v>
      </c>
      <c r="OA215" s="727">
        <v>36.783000000000001</v>
      </c>
      <c r="OB215" s="727">
        <v>36.033000000000001</v>
      </c>
      <c r="OC215" s="727">
        <v>36.317</v>
      </c>
      <c r="OD215" s="727">
        <v>34.116999999999997</v>
      </c>
      <c r="OE215" s="727">
        <v>34.433</v>
      </c>
      <c r="OF215" s="727">
        <v>34.216999999999999</v>
      </c>
      <c r="OG215" s="727">
        <v>34.200000000000003</v>
      </c>
      <c r="OH215" s="727">
        <v>34.917000000000002</v>
      </c>
      <c r="OI215" s="727">
        <v>35.667000000000002</v>
      </c>
      <c r="OJ215" s="727">
        <v>37.517000000000003</v>
      </c>
      <c r="OK215" s="727">
        <v>37.183</v>
      </c>
      <c r="OL215" s="727">
        <v>38.133000000000003</v>
      </c>
      <c r="OM215" s="727">
        <v>37.35</v>
      </c>
      <c r="ON215" s="727">
        <v>37.65</v>
      </c>
      <c r="OO215" s="727">
        <v>38.979999999999997</v>
      </c>
      <c r="OP215" s="727">
        <v>38.267000000000003</v>
      </c>
      <c r="OQ215" s="727">
        <v>38.5</v>
      </c>
      <c r="OR215" s="727">
        <v>38.716999999999999</v>
      </c>
      <c r="OS215" s="727">
        <v>38.716999999999999</v>
      </c>
      <c r="OT215" s="727">
        <v>38.299999999999997</v>
      </c>
      <c r="OU215" s="727">
        <v>38.332999999999998</v>
      </c>
      <c r="OV215" s="727">
        <v>38.866999999999997</v>
      </c>
      <c r="OW215" s="727">
        <v>39.15</v>
      </c>
      <c r="OX215" s="727">
        <v>39.082999999999998</v>
      </c>
      <c r="OY215" s="727">
        <v>36.9</v>
      </c>
      <c r="OZ215" s="727">
        <v>36.683</v>
      </c>
      <c r="PA215" s="727">
        <v>39.167000000000002</v>
      </c>
      <c r="PB215" s="727">
        <v>39.700000000000003</v>
      </c>
      <c r="PC215" s="727">
        <v>39.450000000000003</v>
      </c>
      <c r="PD215" s="727">
        <v>39.366999999999997</v>
      </c>
      <c r="PE215" s="727">
        <v>39.866999999999997</v>
      </c>
      <c r="PF215" s="727">
        <v>40.183</v>
      </c>
      <c r="PG215" s="727">
        <v>40.082999999999998</v>
      </c>
      <c r="PH215" s="727">
        <v>40.200000000000003</v>
      </c>
      <c r="PI215" s="727">
        <v>39.133000000000003</v>
      </c>
      <c r="PJ215" s="727">
        <v>39.667000000000002</v>
      </c>
      <c r="PK215" s="727">
        <v>40.883000000000003</v>
      </c>
      <c r="PL215" s="727">
        <v>40.283000000000001</v>
      </c>
      <c r="PM215" s="727">
        <v>40.017000000000003</v>
      </c>
      <c r="PN215" s="727">
        <v>37.332999999999998</v>
      </c>
      <c r="PO215" s="727">
        <v>38.267000000000003</v>
      </c>
      <c r="PP215" s="727">
        <v>36.567</v>
      </c>
      <c r="PQ215" s="727">
        <v>36.767000000000003</v>
      </c>
      <c r="PR215" s="727">
        <v>37.317</v>
      </c>
      <c r="PS215" s="727">
        <v>37.216999999999999</v>
      </c>
      <c r="PT215" s="727">
        <v>37.950000000000003</v>
      </c>
      <c r="PU215" s="727">
        <v>37.133000000000003</v>
      </c>
      <c r="PV215" s="727">
        <v>36.982999999999997</v>
      </c>
      <c r="PW215" s="727">
        <v>37.799999999999997</v>
      </c>
      <c r="PX215" s="727">
        <v>37.270000000000003</v>
      </c>
      <c r="PY215" s="727">
        <v>37.866999999999997</v>
      </c>
      <c r="PZ215" s="727">
        <v>38.383000000000003</v>
      </c>
      <c r="QA215" s="727">
        <v>38.883000000000003</v>
      </c>
      <c r="QB215" s="727">
        <v>39.283000000000001</v>
      </c>
      <c r="QC215" s="727">
        <v>39.65</v>
      </c>
      <c r="QD215" s="727">
        <v>39.4</v>
      </c>
      <c r="QE215" s="727">
        <v>39.049999999999997</v>
      </c>
      <c r="QF215" s="727">
        <v>38.033000000000001</v>
      </c>
      <c r="QG215" s="727">
        <v>38.183</v>
      </c>
      <c r="QH215" s="727">
        <v>38.232999999999997</v>
      </c>
      <c r="QI215" s="727">
        <v>37.582999999999998</v>
      </c>
      <c r="QJ215" s="727">
        <v>37.817</v>
      </c>
      <c r="QK215" s="727">
        <v>37.9</v>
      </c>
      <c r="QL215" s="727">
        <v>37.082999999999998</v>
      </c>
      <c r="QM215" s="727">
        <v>38.383000000000003</v>
      </c>
      <c r="QN215" s="727">
        <v>39.35</v>
      </c>
      <c r="QO215" s="727">
        <v>40.183</v>
      </c>
      <c r="QP215" s="727">
        <v>39.982999999999997</v>
      </c>
      <c r="QQ215" s="727">
        <v>39.950000000000003</v>
      </c>
      <c r="QR215" s="727">
        <v>40.067</v>
      </c>
      <c r="QS215" s="727">
        <v>39.9</v>
      </c>
      <c r="QT215" s="727">
        <v>39.1</v>
      </c>
      <c r="QU215" s="727">
        <v>38.049999999999997</v>
      </c>
      <c r="QV215" s="727">
        <v>38.317</v>
      </c>
      <c r="QW215" s="727">
        <v>37.767000000000003</v>
      </c>
      <c r="QX215" s="727">
        <v>38.549999999999997</v>
      </c>
      <c r="QY215" s="727">
        <v>37.75</v>
      </c>
      <c r="QZ215" s="727">
        <v>38.75</v>
      </c>
      <c r="RA215" s="727">
        <v>38.65</v>
      </c>
      <c r="RB215" s="727">
        <v>37.049999999999997</v>
      </c>
      <c r="RC215" s="727">
        <v>38</v>
      </c>
      <c r="RD215" s="727">
        <v>38.25</v>
      </c>
      <c r="RE215" s="727">
        <v>39.450000000000003</v>
      </c>
      <c r="RF215" s="727">
        <v>39.133000000000003</v>
      </c>
      <c r="RG215" s="727">
        <v>39.716999999999999</v>
      </c>
      <c r="RH215" s="727">
        <v>40.417000000000002</v>
      </c>
      <c r="RI215" s="727">
        <v>39.85</v>
      </c>
      <c r="RJ215" s="727">
        <v>39.933</v>
      </c>
      <c r="RK215" s="727">
        <v>40.466999999999999</v>
      </c>
      <c r="RL215" s="727">
        <v>37.232999999999997</v>
      </c>
      <c r="RM215" s="727">
        <v>38.817</v>
      </c>
      <c r="RN215" s="727">
        <v>37.767000000000003</v>
      </c>
      <c r="RO215" s="727">
        <v>40.1</v>
      </c>
      <c r="RP215" s="727">
        <v>38.133000000000003</v>
      </c>
      <c r="RQ215" s="727">
        <v>37.75</v>
      </c>
      <c r="RR215" s="727">
        <v>38.582999999999998</v>
      </c>
      <c r="RS215" s="727">
        <v>38.1</v>
      </c>
      <c r="RT215" s="727">
        <v>39.299999999999997</v>
      </c>
      <c r="RU215" s="727">
        <v>39.116999999999997</v>
      </c>
      <c r="RV215" s="727">
        <v>38.716999999999999</v>
      </c>
      <c r="RW215" s="727">
        <v>38.85</v>
      </c>
      <c r="RX215" s="727">
        <v>38.832999999999998</v>
      </c>
      <c r="RY215" s="727">
        <v>39.767000000000003</v>
      </c>
      <c r="RZ215" s="727">
        <v>37.65</v>
      </c>
      <c r="SA215" s="727">
        <v>37.75</v>
      </c>
      <c r="SB215" s="727">
        <v>37.616999999999997</v>
      </c>
      <c r="SC215" s="727">
        <v>38.067</v>
      </c>
      <c r="SD215" s="727">
        <v>37.667000000000002</v>
      </c>
      <c r="SE215" s="727">
        <v>38.049999999999997</v>
      </c>
      <c r="SF215" s="727">
        <v>37.767000000000003</v>
      </c>
      <c r="SG215" s="727">
        <v>37.933</v>
      </c>
      <c r="SH215" s="727">
        <v>37.033000000000001</v>
      </c>
      <c r="SI215" s="727">
        <v>38.35</v>
      </c>
      <c r="SJ215" s="727">
        <v>38.85</v>
      </c>
      <c r="SK215" s="727">
        <v>39.049999999999997</v>
      </c>
      <c r="SL215" s="727">
        <v>39.133000000000003</v>
      </c>
      <c r="SM215" s="727">
        <v>38.332999999999998</v>
      </c>
      <c r="SN215" s="727">
        <v>39.067</v>
      </c>
      <c r="SO215" s="727">
        <v>38.950000000000003</v>
      </c>
      <c r="SP215" s="727">
        <v>39.549999999999997</v>
      </c>
      <c r="SQ215" s="727">
        <v>38.883000000000003</v>
      </c>
      <c r="SR215" s="727">
        <v>38.817</v>
      </c>
      <c r="SS215" s="727">
        <v>37.433</v>
      </c>
      <c r="ST215" s="727">
        <v>37.15</v>
      </c>
      <c r="SU215" s="727">
        <v>38.049999999999997</v>
      </c>
      <c r="SV215" s="727">
        <v>38.067</v>
      </c>
      <c r="SW215" s="727">
        <v>38.283000000000001</v>
      </c>
      <c r="SX215" s="727">
        <v>37.267000000000003</v>
      </c>
      <c r="SY215" s="727">
        <v>39.366999999999997</v>
      </c>
      <c r="SZ215" s="727">
        <v>39.383000000000003</v>
      </c>
      <c r="TA215" s="727">
        <v>38.817</v>
      </c>
      <c r="TB215" s="727">
        <v>39.183</v>
      </c>
      <c r="TC215" s="727">
        <v>39.741999999999997</v>
      </c>
      <c r="TD215" s="727">
        <v>39.216999999999999</v>
      </c>
      <c r="TE215" s="727">
        <v>39.65</v>
      </c>
      <c r="TF215" s="727">
        <v>39.216999999999999</v>
      </c>
      <c r="TG215" s="727">
        <v>38.533000000000001</v>
      </c>
      <c r="TH215" s="727">
        <v>39.716999999999999</v>
      </c>
      <c r="TI215" s="727">
        <v>40.167000000000002</v>
      </c>
      <c r="TJ215" s="727">
        <v>40.130000000000003</v>
      </c>
      <c r="TK215" s="727">
        <v>37.616999999999997</v>
      </c>
      <c r="TL215" s="727">
        <v>38.366999999999997</v>
      </c>
      <c r="TM215" s="727">
        <v>37.082999999999998</v>
      </c>
      <c r="TN215" s="727">
        <v>37.700000000000003</v>
      </c>
      <c r="TO215" s="727">
        <v>37.700000000000003</v>
      </c>
      <c r="TP215" s="727">
        <v>39.133000000000003</v>
      </c>
      <c r="TQ215" s="727">
        <v>38.5</v>
      </c>
      <c r="TR215" s="727">
        <v>37.299999999999997</v>
      </c>
      <c r="TS215" s="727">
        <v>40.433</v>
      </c>
      <c r="TT215" s="727">
        <v>40.450000000000003</v>
      </c>
      <c r="TU215" s="727">
        <v>38.58</v>
      </c>
      <c r="TV215" s="727">
        <v>39.332999999999998</v>
      </c>
      <c r="TW215" s="727">
        <v>37.366999999999997</v>
      </c>
      <c r="TX215" s="727">
        <v>37.283000000000001</v>
      </c>
      <c r="TY215" s="727">
        <v>38.5</v>
      </c>
      <c r="TZ215" s="727">
        <v>39.133000000000003</v>
      </c>
      <c r="UA215" s="727">
        <v>39.1</v>
      </c>
      <c r="UB215" s="727">
        <v>38.700000000000003</v>
      </c>
      <c r="UC215" s="727">
        <v>38.067</v>
      </c>
      <c r="UD215" s="727">
        <v>39.299999999999997</v>
      </c>
      <c r="UE215" s="727">
        <v>39.482999999999997</v>
      </c>
      <c r="UF215" s="727">
        <v>39.417000000000002</v>
      </c>
      <c r="UG215" s="727">
        <v>36.6</v>
      </c>
      <c r="UH215" s="727">
        <v>36.667000000000002</v>
      </c>
      <c r="UI215" s="727">
        <v>37.9</v>
      </c>
      <c r="UJ215" s="727">
        <v>37.633000000000003</v>
      </c>
      <c r="UK215" s="727">
        <v>37.700000000000003</v>
      </c>
      <c r="UL215" s="727">
        <v>37.716999999999999</v>
      </c>
      <c r="UM215" s="727">
        <v>37.667000000000002</v>
      </c>
      <c r="UN215" s="727">
        <v>38</v>
      </c>
      <c r="UO215" s="727">
        <v>37.616999999999997</v>
      </c>
      <c r="UP215" s="727">
        <v>37.366999999999997</v>
      </c>
      <c r="UQ215" s="727">
        <v>38.216999999999999</v>
      </c>
      <c r="UR215" s="727">
        <v>38.517000000000003</v>
      </c>
      <c r="US215" s="727">
        <v>40.716999999999999</v>
      </c>
      <c r="UT215" s="727">
        <v>40.85</v>
      </c>
      <c r="UU215" s="727">
        <v>41.482999999999997</v>
      </c>
      <c r="UV215" s="727">
        <v>40.783000000000001</v>
      </c>
      <c r="UW215" s="727">
        <v>40.783000000000001</v>
      </c>
      <c r="UX215" s="727">
        <v>40.783000000000001</v>
      </c>
      <c r="UY215" s="727">
        <v>41.633000000000003</v>
      </c>
      <c r="UZ215" s="727">
        <v>41.067</v>
      </c>
      <c r="VA215" s="727">
        <v>41.5</v>
      </c>
      <c r="VB215" s="727">
        <v>41.183</v>
      </c>
      <c r="VC215" s="727">
        <v>41.267000000000003</v>
      </c>
      <c r="VD215" s="727">
        <v>41.332999999999998</v>
      </c>
      <c r="VE215" s="727">
        <v>41.917000000000002</v>
      </c>
      <c r="VF215" s="727">
        <v>41.167000000000002</v>
      </c>
      <c r="VG215" s="727">
        <v>41.65</v>
      </c>
      <c r="VH215" s="727">
        <v>41.25</v>
      </c>
      <c r="VI215" s="727">
        <v>41.917000000000002</v>
      </c>
      <c r="VJ215" s="727">
        <v>41.667000000000002</v>
      </c>
      <c r="VK215" s="727">
        <v>41.4</v>
      </c>
      <c r="VL215" s="727">
        <v>41.667000000000002</v>
      </c>
      <c r="VM215" s="727">
        <v>41.716999999999999</v>
      </c>
      <c r="VN215" s="727">
        <v>42.067</v>
      </c>
      <c r="VO215" s="727">
        <v>42.7</v>
      </c>
      <c r="VP215" s="727">
        <v>41.933</v>
      </c>
      <c r="VQ215" s="727">
        <v>41.366999999999997</v>
      </c>
      <c r="VR215" s="727">
        <v>41.732999999999997</v>
      </c>
      <c r="VS215" s="727">
        <v>42.582999999999998</v>
      </c>
      <c r="VT215" s="727">
        <v>42.366999999999997</v>
      </c>
      <c r="VU215" s="727">
        <v>42.267000000000003</v>
      </c>
      <c r="VV215" s="727">
        <v>42.183</v>
      </c>
      <c r="VW215" s="727">
        <v>40.366999999999997</v>
      </c>
      <c r="VX215" s="727">
        <v>40.200000000000003</v>
      </c>
      <c r="VY215" s="727">
        <v>40.116999999999997</v>
      </c>
      <c r="VZ215" s="727">
        <v>40.133000000000003</v>
      </c>
      <c r="WA215" s="727">
        <v>40.216999999999999</v>
      </c>
      <c r="WB215" s="727">
        <v>40.783000000000001</v>
      </c>
      <c r="WC215" s="727">
        <v>41.183</v>
      </c>
      <c r="WD215" s="727">
        <v>40.299999999999997</v>
      </c>
      <c r="WE215" s="727">
        <v>40.317</v>
      </c>
      <c r="WF215" s="727">
        <v>40.72</v>
      </c>
      <c r="WG215" s="727">
        <v>41.332999999999998</v>
      </c>
      <c r="WH215" s="727">
        <v>41.25</v>
      </c>
      <c r="WI215" s="727">
        <v>41.7</v>
      </c>
      <c r="WJ215" s="727">
        <v>42.2</v>
      </c>
      <c r="WK215" s="727">
        <v>42.167000000000002</v>
      </c>
      <c r="WL215" s="727">
        <v>43.517000000000003</v>
      </c>
      <c r="WM215" s="727">
        <v>40.65</v>
      </c>
      <c r="WN215" s="727">
        <v>42.75</v>
      </c>
      <c r="WO215" s="727">
        <v>43.35</v>
      </c>
      <c r="WP215" s="727">
        <v>43.116999999999997</v>
      </c>
      <c r="WQ215" s="727">
        <v>43.15</v>
      </c>
      <c r="WR215" s="727">
        <v>40.5</v>
      </c>
      <c r="WS215" s="727">
        <v>40.35</v>
      </c>
      <c r="WT215" s="727">
        <v>40.917000000000002</v>
      </c>
      <c r="WU215" s="727">
        <v>42.15</v>
      </c>
      <c r="WV215" s="727">
        <v>41.4</v>
      </c>
      <c r="WW215" s="727">
        <v>41.517000000000003</v>
      </c>
      <c r="WX215" s="727">
        <v>40.817</v>
      </c>
      <c r="WY215" s="727">
        <v>41.25</v>
      </c>
      <c r="WZ215" s="727">
        <v>42.082999999999998</v>
      </c>
      <c r="XA215" s="727">
        <v>41.8</v>
      </c>
      <c r="XB215" s="727">
        <v>41.383000000000003</v>
      </c>
      <c r="XC215" s="727">
        <v>42.933</v>
      </c>
      <c r="XD215" s="727">
        <v>43.1</v>
      </c>
      <c r="XE215" s="727">
        <v>43.116999999999997</v>
      </c>
      <c r="XF215" s="727">
        <v>41.982999999999997</v>
      </c>
      <c r="XG215" s="727">
        <v>41.917000000000002</v>
      </c>
      <c r="XH215" s="727">
        <v>38.567</v>
      </c>
      <c r="XI215" s="727">
        <v>40.06</v>
      </c>
      <c r="XJ215" s="727">
        <v>39.832999999999998</v>
      </c>
      <c r="XK215" s="727">
        <v>40.667000000000002</v>
      </c>
      <c r="XL215" s="727">
        <v>41.75</v>
      </c>
      <c r="XM215" s="727">
        <v>41</v>
      </c>
      <c r="XN215" s="727">
        <v>40.65</v>
      </c>
      <c r="XO215" s="727">
        <v>40.232999999999997</v>
      </c>
      <c r="XP215" s="727">
        <v>41.783000000000001</v>
      </c>
      <c r="XQ215" s="727">
        <v>42.417000000000002</v>
      </c>
      <c r="XR215" s="727">
        <v>41.7</v>
      </c>
      <c r="XS215" s="727">
        <v>41.582999999999998</v>
      </c>
      <c r="XT215" s="727">
        <v>41.017000000000003</v>
      </c>
      <c r="XU215" s="727">
        <v>42.216999999999999</v>
      </c>
      <c r="XV215" s="727">
        <v>42.216999999999999</v>
      </c>
      <c r="XW215" s="727">
        <v>42.4</v>
      </c>
      <c r="XX215" s="727">
        <v>42.232999999999997</v>
      </c>
      <c r="XY215" s="727">
        <v>42.616999999999997</v>
      </c>
      <c r="XZ215" s="727">
        <v>42.633000000000003</v>
      </c>
      <c r="YA215" s="727">
        <v>42.917000000000002</v>
      </c>
      <c r="YB215" s="727">
        <v>42.783000000000001</v>
      </c>
      <c r="YC215" s="727">
        <v>42.267000000000003</v>
      </c>
      <c r="YD215" s="727">
        <v>42.3</v>
      </c>
      <c r="YE215" s="727">
        <v>42.2</v>
      </c>
      <c r="YF215" s="727">
        <v>41.466999999999999</v>
      </c>
      <c r="YG215" s="727">
        <v>41.883000000000003</v>
      </c>
      <c r="YH215" s="727">
        <v>41.4</v>
      </c>
      <c r="YI215" s="727">
        <v>41.283000000000001</v>
      </c>
      <c r="YJ215" s="727">
        <v>40.783000000000001</v>
      </c>
      <c r="YK215" s="727">
        <v>40.466999999999999</v>
      </c>
      <c r="YL215" s="727">
        <v>43.082999999999998</v>
      </c>
      <c r="YM215" s="727">
        <v>41.533000000000001</v>
      </c>
      <c r="YN215" s="727">
        <v>43.067</v>
      </c>
      <c r="YO215" s="727">
        <v>41.683</v>
      </c>
      <c r="YP215" s="727">
        <v>41.1</v>
      </c>
      <c r="YQ215" s="727">
        <v>40.75</v>
      </c>
      <c r="YR215" s="727">
        <v>42.05</v>
      </c>
      <c r="YS215" s="727">
        <v>41.033000000000001</v>
      </c>
      <c r="YT215" s="727">
        <v>42.4</v>
      </c>
      <c r="YU215" s="727">
        <v>41.832999999999998</v>
      </c>
      <c r="YV215" s="727">
        <v>41.017000000000003</v>
      </c>
      <c r="YW215" s="727">
        <v>42.232999999999997</v>
      </c>
      <c r="YX215" s="727">
        <v>43.283000000000001</v>
      </c>
      <c r="YY215" s="727">
        <v>41.982999999999997</v>
      </c>
      <c r="YZ215" s="727">
        <v>42.433</v>
      </c>
      <c r="ZA215" s="727">
        <v>40.716999999999999</v>
      </c>
      <c r="ZB215" s="727">
        <v>42.55</v>
      </c>
      <c r="ZC215" s="727">
        <v>40.667000000000002</v>
      </c>
      <c r="ZD215" s="727">
        <v>42.783000000000001</v>
      </c>
      <c r="ZE215" s="727">
        <v>43.15</v>
      </c>
      <c r="ZF215" s="727">
        <v>42.05</v>
      </c>
      <c r="ZG215" s="727">
        <v>41.366999999999997</v>
      </c>
      <c r="ZH215" s="727">
        <v>42.683</v>
      </c>
      <c r="ZI215" s="727">
        <v>42.982999999999997</v>
      </c>
      <c r="ZJ215" s="727">
        <v>42.55</v>
      </c>
      <c r="ZK215" s="727">
        <v>41.3</v>
      </c>
      <c r="ZL215" s="727">
        <v>41.017000000000003</v>
      </c>
      <c r="ZM215" s="727">
        <v>43.216999999999999</v>
      </c>
      <c r="ZN215" s="727">
        <v>42.6</v>
      </c>
      <c r="ZO215" s="727">
        <v>41.267000000000003</v>
      </c>
      <c r="ZP215" s="727">
        <v>41.317</v>
      </c>
      <c r="ZQ215" s="727">
        <v>40.832999999999998</v>
      </c>
      <c r="ZR215" s="727">
        <v>40.299999999999997</v>
      </c>
      <c r="ZS215" s="727">
        <v>40.966999999999999</v>
      </c>
      <c r="ZT215" s="727">
        <v>41.616999999999997</v>
      </c>
      <c r="ZU215" s="727">
        <v>40.6</v>
      </c>
      <c r="ZV215" s="727">
        <v>40.732999999999997</v>
      </c>
      <c r="ZW215" s="727">
        <v>41.767000000000003</v>
      </c>
      <c r="ZX215" s="727">
        <v>41.366999999999997</v>
      </c>
      <c r="ZY215" s="727">
        <v>40.082999999999998</v>
      </c>
      <c r="ZZ215" s="727">
        <v>41.116999999999997</v>
      </c>
      <c r="AAA215" s="727">
        <v>41.433</v>
      </c>
      <c r="AAB215" s="727">
        <v>42.582999999999998</v>
      </c>
      <c r="AAC215" s="727">
        <v>41.982999999999997</v>
      </c>
      <c r="AAD215" s="727">
        <v>41.45</v>
      </c>
      <c r="AAE215" s="727">
        <v>41.45</v>
      </c>
      <c r="AAF215" s="727">
        <v>42.466999999999999</v>
      </c>
      <c r="AAG215" s="727">
        <v>42.383000000000003</v>
      </c>
      <c r="AAH215" s="727">
        <v>41.1</v>
      </c>
      <c r="AAI215" s="727">
        <v>41.116999999999997</v>
      </c>
      <c r="AAJ215" s="727">
        <v>40.200000000000003</v>
      </c>
      <c r="AAK215" s="727">
        <v>40.517000000000003</v>
      </c>
      <c r="AAL215" s="727">
        <v>40.450000000000003</v>
      </c>
      <c r="AAM215" s="727">
        <v>42.05</v>
      </c>
      <c r="AAN215" s="727">
        <v>42.832999999999998</v>
      </c>
      <c r="AAO215" s="727">
        <v>41.15</v>
      </c>
      <c r="AAP215" s="727">
        <v>41.317</v>
      </c>
      <c r="AAQ215" s="727">
        <v>39.832999999999998</v>
      </c>
      <c r="AAR215" s="727">
        <v>41.866999999999997</v>
      </c>
      <c r="AAS215" s="727">
        <v>42.866999999999997</v>
      </c>
      <c r="AAT215" s="727">
        <v>42.9</v>
      </c>
      <c r="AAU215" s="727">
        <v>40.5</v>
      </c>
      <c r="AAV215" s="727">
        <v>40.433</v>
      </c>
      <c r="AAW215" s="727">
        <v>40.482999999999997</v>
      </c>
      <c r="AAX215" s="727">
        <v>39.533000000000001</v>
      </c>
      <c r="AAY215" s="727">
        <v>40.770000000000003</v>
      </c>
      <c r="AAZ215" s="727">
        <v>40.216999999999999</v>
      </c>
      <c r="ABA215" s="727">
        <v>41.46</v>
      </c>
      <c r="ABB215" s="727">
        <v>41.8</v>
      </c>
      <c r="ABC215" s="727">
        <v>41.2</v>
      </c>
      <c r="ABD215" s="727">
        <v>41.116999999999997</v>
      </c>
      <c r="ABE215" s="727">
        <v>42.817</v>
      </c>
      <c r="ABF215" s="727">
        <v>43.05</v>
      </c>
      <c r="ABG215" s="727">
        <v>41.283000000000001</v>
      </c>
      <c r="ABH215" s="727">
        <v>43.6</v>
      </c>
      <c r="ABI215" s="727">
        <v>42.917000000000002</v>
      </c>
      <c r="ABJ215" s="727">
        <v>43.517000000000003</v>
      </c>
      <c r="ABK215" s="727">
        <v>42.15</v>
      </c>
      <c r="ABL215" s="727">
        <v>40.067</v>
      </c>
      <c r="ABM215" s="727">
        <v>40.716999999999999</v>
      </c>
      <c r="ABN215" s="727">
        <v>40.832999999999998</v>
      </c>
      <c r="ABO215" s="727">
        <v>40.9</v>
      </c>
      <c r="ABP215" s="727">
        <v>39.299999999999997</v>
      </c>
      <c r="ABQ215" s="727">
        <v>39.317</v>
      </c>
      <c r="ABR215" s="727">
        <v>38.9</v>
      </c>
      <c r="ABS215" s="727">
        <v>43.5</v>
      </c>
      <c r="ABT215" s="727">
        <v>42.55</v>
      </c>
      <c r="ABU215" s="727">
        <v>42.533000000000001</v>
      </c>
      <c r="ABV215" s="727">
        <v>42.65</v>
      </c>
      <c r="ABW215" s="727">
        <v>42.22</v>
      </c>
      <c r="ABX215" s="727">
        <v>39.133000000000003</v>
      </c>
      <c r="ABY215" s="727">
        <v>40.15</v>
      </c>
      <c r="ABZ215" s="727">
        <v>40.517000000000003</v>
      </c>
      <c r="ACA215" s="727">
        <v>40.982999999999997</v>
      </c>
      <c r="ACB215" s="727">
        <v>41.783000000000001</v>
      </c>
      <c r="ACC215" s="727">
        <v>41.783000000000001</v>
      </c>
      <c r="ACD215" s="727">
        <v>41.5</v>
      </c>
      <c r="ACE215" s="727">
        <v>42.19</v>
      </c>
      <c r="ACF215" s="727">
        <v>42.6</v>
      </c>
      <c r="ACG215" s="727">
        <v>42.167000000000002</v>
      </c>
      <c r="ACH215" s="727">
        <v>43.2</v>
      </c>
      <c r="ACI215" s="727">
        <v>43.082999999999998</v>
      </c>
      <c r="ACJ215" s="727">
        <v>43.65</v>
      </c>
      <c r="ACK215" s="727">
        <v>43.4</v>
      </c>
      <c r="ACL215" s="727">
        <v>44.533000000000001</v>
      </c>
      <c r="ACM215" s="727">
        <v>44.45</v>
      </c>
      <c r="ACN215" s="727">
        <v>44.067</v>
      </c>
      <c r="ACO215" s="727">
        <v>47.283000000000001</v>
      </c>
      <c r="ACP215" s="727">
        <v>44.8</v>
      </c>
      <c r="ACQ215" s="727">
        <v>43.35</v>
      </c>
      <c r="ACR215" s="727">
        <v>43.633000000000003</v>
      </c>
      <c r="ACS215" s="727">
        <v>44.267000000000003</v>
      </c>
      <c r="ACT215" s="727">
        <v>44.2</v>
      </c>
      <c r="ACU215" s="727">
        <v>43.567</v>
      </c>
      <c r="ACV215" s="727">
        <v>44.582999999999998</v>
      </c>
      <c r="ACW215" s="727">
        <v>42.9</v>
      </c>
      <c r="ACX215" s="727">
        <v>44.466999999999999</v>
      </c>
      <c r="ACY215" s="727">
        <v>44.05</v>
      </c>
      <c r="ACZ215" s="727">
        <v>44.317</v>
      </c>
      <c r="ADA215" s="727">
        <v>45.65</v>
      </c>
      <c r="ADB215" s="727">
        <v>44.933</v>
      </c>
      <c r="ADC215" s="727">
        <v>44</v>
      </c>
      <c r="ADD215" s="727">
        <v>44.383000000000003</v>
      </c>
      <c r="ADE215" s="727">
        <v>42.883000000000003</v>
      </c>
      <c r="ADF215" s="727">
        <v>42.133000000000003</v>
      </c>
      <c r="ADG215" s="727">
        <v>42.232999999999997</v>
      </c>
      <c r="ADH215" s="727">
        <v>43.167000000000002</v>
      </c>
      <c r="ADI215" s="727">
        <v>42.966999999999999</v>
      </c>
      <c r="ADJ215" s="727">
        <v>42.667000000000002</v>
      </c>
      <c r="ADK215" s="727">
        <v>43.533000000000001</v>
      </c>
      <c r="ADL215" s="727">
        <v>44.366999999999997</v>
      </c>
      <c r="ADM215" s="727">
        <v>44.283000000000001</v>
      </c>
      <c r="ADN215" s="727">
        <v>44.267000000000003</v>
      </c>
      <c r="ADO215" s="727">
        <v>44.732999999999997</v>
      </c>
      <c r="ADP215" s="727">
        <v>45.067</v>
      </c>
      <c r="ADQ215" s="727">
        <v>44.45</v>
      </c>
      <c r="ADR215" s="727">
        <v>42.95</v>
      </c>
      <c r="ADS215" s="727">
        <v>45.933</v>
      </c>
      <c r="ADT215" s="727">
        <v>43.13</v>
      </c>
      <c r="ADU215" s="727">
        <v>42.616999999999997</v>
      </c>
      <c r="ADV215" s="727">
        <v>43.2</v>
      </c>
      <c r="ADW215" s="727">
        <v>43.866999999999997</v>
      </c>
      <c r="ADX215" s="727">
        <v>44.866999999999997</v>
      </c>
      <c r="ADY215" s="727">
        <v>43.9</v>
      </c>
      <c r="ADZ215" s="727">
        <v>44.482999999999997</v>
      </c>
      <c r="AEA215" s="727">
        <v>44.133000000000003</v>
      </c>
      <c r="AEB215" s="727">
        <v>43.982999999999997</v>
      </c>
      <c r="AEC215" s="727">
        <v>44.25</v>
      </c>
      <c r="AED215" s="727">
        <v>44.85</v>
      </c>
      <c r="AEE215" s="727">
        <v>44.917000000000002</v>
      </c>
      <c r="AEF215" s="727">
        <v>43.167000000000002</v>
      </c>
      <c r="AEG215" s="727">
        <v>44.783000000000001</v>
      </c>
      <c r="AEH215" s="727">
        <v>45.482999999999997</v>
      </c>
      <c r="AEI215" s="727">
        <v>45.7</v>
      </c>
      <c r="AEJ215" s="727">
        <v>45.75</v>
      </c>
      <c r="AEK215" s="727">
        <v>45.133000000000003</v>
      </c>
      <c r="AEL215" s="727">
        <v>41.05</v>
      </c>
      <c r="AEM215" s="727">
        <v>43.4</v>
      </c>
      <c r="AEN215" s="727">
        <v>43.167000000000002</v>
      </c>
      <c r="AEO215" s="727">
        <v>43.582999999999998</v>
      </c>
      <c r="AEP215" s="727">
        <v>44.3</v>
      </c>
      <c r="AEQ215" s="727">
        <v>42.917000000000002</v>
      </c>
      <c r="AER215" s="727">
        <v>44.4</v>
      </c>
      <c r="AES215" s="727">
        <v>48.017000000000003</v>
      </c>
      <c r="AET215" s="727">
        <v>43.767000000000003</v>
      </c>
      <c r="AEU215" s="727">
        <v>44.933</v>
      </c>
      <c r="AEV215" s="727">
        <v>45.65</v>
      </c>
      <c r="AEW215" s="727">
        <v>45.55</v>
      </c>
      <c r="AEX215" s="727">
        <v>46.4</v>
      </c>
      <c r="AEY215" s="727">
        <v>44.55</v>
      </c>
      <c r="AEZ215" s="727">
        <v>45.883000000000003</v>
      </c>
      <c r="AFA215" s="727">
        <v>46.7</v>
      </c>
      <c r="AFB215" s="727">
        <v>44.45</v>
      </c>
      <c r="AFC215" s="727">
        <v>46.283000000000001</v>
      </c>
      <c r="AFD215" s="727">
        <v>44.332999999999998</v>
      </c>
      <c r="AFE215" s="727">
        <v>44.582999999999998</v>
      </c>
      <c r="AFF215" s="727">
        <v>45.567</v>
      </c>
      <c r="AFG215" s="727">
        <v>43.982999999999997</v>
      </c>
      <c r="AFH215" s="727">
        <v>44.317</v>
      </c>
      <c r="AFI215" s="727">
        <v>44.116999999999997</v>
      </c>
      <c r="AFJ215" s="727">
        <v>44.866999999999997</v>
      </c>
      <c r="AFK215" s="727">
        <v>44.633000000000003</v>
      </c>
      <c r="AFL215" s="727">
        <v>45.067</v>
      </c>
      <c r="AFM215" s="727">
        <v>45.116999999999997</v>
      </c>
      <c r="AFN215" s="727">
        <v>45.95</v>
      </c>
      <c r="AFO215" s="727">
        <v>44.817</v>
      </c>
      <c r="AFP215" s="727">
        <v>44.883000000000003</v>
      </c>
      <c r="AFQ215" s="727">
        <v>45.1</v>
      </c>
      <c r="AFR215" s="727">
        <v>44.933</v>
      </c>
      <c r="AFS215" s="727">
        <v>44.216999999999999</v>
      </c>
      <c r="AFT215" s="727">
        <v>43.65</v>
      </c>
      <c r="AFU215" s="727">
        <v>43.65</v>
      </c>
      <c r="AFV215" s="727">
        <v>44.082999999999998</v>
      </c>
      <c r="AFW215" s="727">
        <v>43.683</v>
      </c>
      <c r="AFX215" s="727">
        <v>45.45</v>
      </c>
      <c r="AFY215" s="727">
        <v>44.85</v>
      </c>
      <c r="AFZ215" s="727">
        <v>44.05</v>
      </c>
      <c r="AGA215" s="727">
        <v>44.15</v>
      </c>
      <c r="AGB215" s="727">
        <v>45.15</v>
      </c>
      <c r="AGC215" s="727">
        <v>44.35</v>
      </c>
      <c r="AGD215" s="727">
        <v>44.767000000000003</v>
      </c>
      <c r="AGE215" s="727">
        <v>43.966999999999999</v>
      </c>
      <c r="AGF215" s="727">
        <v>47.133000000000003</v>
      </c>
      <c r="AGG215" s="727">
        <v>45.533000000000001</v>
      </c>
      <c r="AGH215" s="727">
        <v>44.383000000000003</v>
      </c>
      <c r="AGI215" s="727">
        <v>44.517000000000003</v>
      </c>
      <c r="AGJ215" s="727">
        <v>45.8</v>
      </c>
      <c r="AGK215" s="727">
        <v>47.05</v>
      </c>
      <c r="AGL215" s="727">
        <v>45.95</v>
      </c>
      <c r="AGM215" s="727">
        <v>45.8</v>
      </c>
      <c r="AGN215" s="727">
        <v>45.7</v>
      </c>
      <c r="AGO215" s="727">
        <v>43.62</v>
      </c>
      <c r="AGP215" s="727">
        <v>43.633000000000003</v>
      </c>
      <c r="AGQ215" s="727">
        <v>43.05</v>
      </c>
      <c r="AGR215" s="727">
        <v>43.52</v>
      </c>
      <c r="AGS215" s="727">
        <v>44.25</v>
      </c>
      <c r="AGT215" s="727">
        <v>45.116999999999997</v>
      </c>
      <c r="AGU215" s="727">
        <v>45.7</v>
      </c>
      <c r="AGV215" s="727">
        <v>45.283000000000001</v>
      </c>
      <c r="AGW215" s="727">
        <v>44.832999999999998</v>
      </c>
      <c r="AGX215" s="727">
        <v>43.232999999999997</v>
      </c>
      <c r="AGY215" s="727">
        <v>43.417000000000002</v>
      </c>
      <c r="AGZ215" s="727">
        <v>44.05</v>
      </c>
      <c r="AHA215" s="727">
        <v>44.9</v>
      </c>
      <c r="AHB215" s="727">
        <v>44.482999999999997</v>
      </c>
      <c r="AHC215" s="727">
        <v>45.25</v>
      </c>
      <c r="AHD215" s="727">
        <v>45.6</v>
      </c>
      <c r="AHE215" s="727">
        <v>45.55</v>
      </c>
      <c r="AHF215" s="727">
        <v>45.533000000000001</v>
      </c>
      <c r="AHG215" s="727">
        <v>45.616999999999997</v>
      </c>
      <c r="AHH215" s="727">
        <v>46.116999999999997</v>
      </c>
      <c r="AHI215" s="727">
        <v>46.866999999999997</v>
      </c>
      <c r="AHJ215" s="727">
        <v>46.683</v>
      </c>
      <c r="AHK215" s="727">
        <v>43.966999999999999</v>
      </c>
      <c r="AHL215" s="727">
        <v>46.466999999999999</v>
      </c>
      <c r="AHM215" s="727">
        <v>46.25</v>
      </c>
      <c r="AHN215" s="727">
        <v>45.567</v>
      </c>
      <c r="AHO215" s="727">
        <v>45.633000000000003</v>
      </c>
      <c r="AHP215" s="727">
        <v>45.817</v>
      </c>
      <c r="AHQ215" s="727">
        <v>47.167000000000002</v>
      </c>
      <c r="AHR215" s="727">
        <v>47.05</v>
      </c>
      <c r="AHS215" s="727">
        <v>46.533000000000001</v>
      </c>
      <c r="AHT215" s="727">
        <v>46.832999999999998</v>
      </c>
      <c r="AHU215" s="727">
        <v>47.85</v>
      </c>
      <c r="AHV215" s="727">
        <v>46.9</v>
      </c>
      <c r="AHW215" s="727">
        <v>47.383000000000003</v>
      </c>
      <c r="AHX215" s="727">
        <v>46.832999999999998</v>
      </c>
      <c r="AHY215" s="727">
        <v>47.216999999999999</v>
      </c>
      <c r="AHZ215" s="727">
        <v>47.817</v>
      </c>
      <c r="AIA215" s="727">
        <v>48.567</v>
      </c>
      <c r="AIB215" s="727">
        <v>46.267000000000003</v>
      </c>
      <c r="AIC215" s="727">
        <v>47.4</v>
      </c>
      <c r="AID215" s="727">
        <v>45.883000000000003</v>
      </c>
      <c r="AIE215" s="727">
        <v>48.716999999999999</v>
      </c>
      <c r="AIF215" s="727">
        <v>48.85</v>
      </c>
      <c r="AIG215" s="727">
        <v>48.783000000000001</v>
      </c>
      <c r="AIH215" s="727">
        <v>45.567</v>
      </c>
      <c r="AII215" s="727">
        <v>46.55</v>
      </c>
      <c r="AIJ215" s="727">
        <v>47.582999999999998</v>
      </c>
      <c r="AIK215" s="727">
        <v>45.317</v>
      </c>
      <c r="AIL215" s="727">
        <v>46.933</v>
      </c>
      <c r="AIM215" s="727">
        <v>45.7</v>
      </c>
      <c r="AIN215" s="727">
        <v>46.917000000000002</v>
      </c>
      <c r="AIO215" s="727">
        <v>47.5</v>
      </c>
      <c r="AIP215" s="727">
        <v>48.067</v>
      </c>
      <c r="AIQ215" s="727">
        <v>47.2</v>
      </c>
      <c r="AIR215" s="727">
        <v>43.667000000000002</v>
      </c>
      <c r="AIS215" s="727">
        <v>48.116999999999997</v>
      </c>
      <c r="AIT215" s="727">
        <v>47.966999999999999</v>
      </c>
      <c r="AIU215" s="727">
        <v>47.95</v>
      </c>
      <c r="AIV215" s="727">
        <v>46.77</v>
      </c>
      <c r="AIW215" s="727">
        <v>46.8</v>
      </c>
      <c r="AIX215" s="727">
        <v>48.2</v>
      </c>
      <c r="AIY215" s="727">
        <v>48.417000000000002</v>
      </c>
      <c r="AIZ215" s="727">
        <v>48.267000000000003</v>
      </c>
      <c r="AJA215" s="727">
        <v>48.216999999999999</v>
      </c>
      <c r="AJB215" s="727">
        <v>48.31</v>
      </c>
      <c r="AJC215" s="727">
        <v>47.7</v>
      </c>
      <c r="AJD215" s="727">
        <v>46.6</v>
      </c>
      <c r="AJE215" s="727">
        <v>46.917000000000002</v>
      </c>
      <c r="AJF215" s="727">
        <v>47.466999999999999</v>
      </c>
      <c r="AJG215" s="727">
        <v>48.55</v>
      </c>
      <c r="AJH215" s="727">
        <v>48.317</v>
      </c>
      <c r="AJI215" s="727">
        <v>48.6</v>
      </c>
      <c r="AJJ215" s="727">
        <v>46.567</v>
      </c>
      <c r="AJK215" s="727">
        <v>47.283000000000001</v>
      </c>
      <c r="AJL215" s="727">
        <v>47.4</v>
      </c>
      <c r="AJM215" s="727">
        <v>47.3</v>
      </c>
      <c r="AJN215" s="727">
        <v>47.2</v>
      </c>
      <c r="AJO215" s="727">
        <v>46.366999999999997</v>
      </c>
      <c r="AJP215" s="727">
        <v>47.767000000000003</v>
      </c>
      <c r="AJQ215" s="727">
        <v>46.567</v>
      </c>
      <c r="AJR215" s="727">
        <v>46.267000000000003</v>
      </c>
      <c r="AJS215" s="727">
        <v>46.1</v>
      </c>
      <c r="AJT215" s="727">
        <v>47.49</v>
      </c>
      <c r="AJU215" s="727">
        <v>47.633000000000003</v>
      </c>
      <c r="AJV215" s="727">
        <v>47.683</v>
      </c>
      <c r="AJW215" s="727">
        <v>46.75</v>
      </c>
      <c r="AJX215" s="727">
        <v>48.116999999999997</v>
      </c>
      <c r="AJY215" s="727">
        <v>46.15</v>
      </c>
      <c r="AJZ215" s="727">
        <v>46.966999999999999</v>
      </c>
      <c r="AKA215" s="727">
        <v>46.982999999999997</v>
      </c>
      <c r="AKB215" s="727">
        <v>46.133000000000003</v>
      </c>
      <c r="AKC215" s="727">
        <v>46.482999999999997</v>
      </c>
      <c r="AKD215" s="727">
        <v>47.482999999999997</v>
      </c>
      <c r="AKE215" s="727">
        <v>47.466999999999999</v>
      </c>
      <c r="AKF215" s="727">
        <v>47.482999999999997</v>
      </c>
      <c r="AKG215" s="727">
        <v>47.68</v>
      </c>
      <c r="AKH215" s="727">
        <v>47.9</v>
      </c>
      <c r="AKI215" s="727">
        <v>47.267000000000003</v>
      </c>
      <c r="AKJ215" s="727">
        <v>47.933</v>
      </c>
      <c r="AKK215" s="727">
        <v>48.8</v>
      </c>
      <c r="AKL215" s="727">
        <v>47.15</v>
      </c>
      <c r="AKM215" s="727">
        <v>47.082999999999998</v>
      </c>
      <c r="AKN215" s="727">
        <v>46.433</v>
      </c>
      <c r="AKO215" s="727">
        <v>44.05</v>
      </c>
      <c r="AKP215" s="727">
        <v>43.9</v>
      </c>
      <c r="AKQ215" s="727">
        <v>42.933</v>
      </c>
      <c r="AKR215" s="727">
        <v>41.767000000000003</v>
      </c>
      <c r="AKS215" s="727">
        <v>40.65</v>
      </c>
      <c r="AKT215" s="727">
        <v>40.716999999999999</v>
      </c>
      <c r="AKU215" s="727">
        <v>40.85</v>
      </c>
      <c r="AKV215" s="727">
        <v>42.716999999999999</v>
      </c>
      <c r="AKW215" s="727">
        <v>42.2</v>
      </c>
      <c r="AKX215" s="727">
        <v>42.15</v>
      </c>
      <c r="AKY215" s="727">
        <v>37.4</v>
      </c>
      <c r="AKZ215" s="727">
        <v>38.267000000000003</v>
      </c>
      <c r="ALA215" s="727">
        <v>39.832999999999998</v>
      </c>
      <c r="ALB215" s="727">
        <v>38.817</v>
      </c>
      <c r="ALC215" s="727">
        <v>39</v>
      </c>
      <c r="ALD215" s="727">
        <v>37.082999999999998</v>
      </c>
      <c r="ALE215" s="727">
        <v>36.633000000000003</v>
      </c>
      <c r="ALF215" s="727">
        <v>35.683</v>
      </c>
      <c r="ALG215" s="727">
        <v>36.667000000000002</v>
      </c>
      <c r="ALH215" s="727">
        <v>36.982999999999997</v>
      </c>
      <c r="ALI215" s="727">
        <v>35.133000000000003</v>
      </c>
      <c r="ALJ215" s="727">
        <v>36.299999999999997</v>
      </c>
      <c r="ALK215" s="727">
        <v>36.332999999999998</v>
      </c>
      <c r="ALL215" s="727">
        <v>32.832999999999998</v>
      </c>
      <c r="ALM215" s="727">
        <v>33.633000000000003</v>
      </c>
      <c r="ALN215" s="727">
        <v>33.616999999999997</v>
      </c>
      <c r="ALO215" s="727">
        <v>32.85</v>
      </c>
      <c r="ALP215" s="727">
        <v>31.317</v>
      </c>
      <c r="ALQ215" s="727">
        <v>30.4</v>
      </c>
      <c r="ALR215" s="727">
        <v>30.417000000000002</v>
      </c>
      <c r="ALS215" s="727">
        <v>30.067</v>
      </c>
      <c r="ALT215" s="727">
        <v>30.417000000000002</v>
      </c>
      <c r="ALU215" s="727">
        <v>32</v>
      </c>
      <c r="ALV215" s="727">
        <v>30.966999999999999</v>
      </c>
      <c r="ALW215" s="727">
        <v>27.85</v>
      </c>
      <c r="ALX215" s="727">
        <v>33.966999999999999</v>
      </c>
      <c r="ALY215" s="727">
        <v>33.683</v>
      </c>
      <c r="ALZ215" s="727">
        <v>33.817</v>
      </c>
      <c r="AMA215" s="727">
        <v>28.617000000000001</v>
      </c>
      <c r="AMB215" s="727">
        <v>21.983000000000001</v>
      </c>
      <c r="AMC215" s="727">
        <v>21.45</v>
      </c>
      <c r="AMD215" s="727">
        <v>21.317</v>
      </c>
      <c r="AME215" s="727">
        <v>21.317</v>
      </c>
      <c r="AMF215" s="727">
        <v>21.15</v>
      </c>
      <c r="AMG215" s="727">
        <v>20.9</v>
      </c>
      <c r="AMH215" s="727">
        <v>20.95</v>
      </c>
      <c r="AMI215" s="727">
        <v>20.783000000000001</v>
      </c>
      <c r="AMJ215" s="727">
        <v>19.733000000000001</v>
      </c>
      <c r="AMK215" s="732">
        <v>19.716999999999999</v>
      </c>
    </row>
    <row r="216" spans="2:1025" x14ac:dyDescent="0.25">
      <c r="B216" s="737" t="s">
        <v>2881</v>
      </c>
      <c r="C216" s="737" t="s">
        <v>2882</v>
      </c>
      <c r="D216" s="738">
        <v>3110.8883000000001</v>
      </c>
      <c r="E216" s="738">
        <v>1835.6547</v>
      </c>
      <c r="F216" s="738">
        <v>23411.700199999999</v>
      </c>
      <c r="G216" s="738">
        <v>306.55245831338061</v>
      </c>
      <c r="N216" s="729" t="s">
        <v>2874</v>
      </c>
      <c r="O216" s="727">
        <v>-116.167</v>
      </c>
      <c r="P216" s="727">
        <v>-99.85</v>
      </c>
      <c r="Q216" s="727">
        <v>-122.667</v>
      </c>
      <c r="R216" s="727">
        <v>-114.617</v>
      </c>
      <c r="S216" s="727">
        <v>-160</v>
      </c>
      <c r="T216" s="727">
        <v>-156.62</v>
      </c>
      <c r="U216" s="727">
        <v>-148.483</v>
      </c>
      <c r="V216" s="727">
        <v>-166.8</v>
      </c>
      <c r="W216" s="727">
        <v>-166.05</v>
      </c>
      <c r="X216" s="727">
        <v>-162.6</v>
      </c>
      <c r="Y216" s="727">
        <v>-151.733</v>
      </c>
      <c r="Z216" s="727">
        <v>-157.85</v>
      </c>
      <c r="AA216" s="727">
        <v>-151.517</v>
      </c>
      <c r="AB216" s="727">
        <v>-152.1</v>
      </c>
      <c r="AC216" s="727">
        <v>-145.267</v>
      </c>
      <c r="AD216" s="727">
        <v>-165.45</v>
      </c>
      <c r="AE216" s="727">
        <v>-163.30000000000001</v>
      </c>
      <c r="AF216" s="727">
        <v>-170.5</v>
      </c>
      <c r="AG216" s="727">
        <v>-171.75</v>
      </c>
      <c r="AH216" s="727">
        <v>-160.80000000000001</v>
      </c>
      <c r="AI216" s="727">
        <v>-160.18299999999999</v>
      </c>
      <c r="AJ216" s="727">
        <v>-164.5</v>
      </c>
      <c r="AK216" s="727">
        <v>-166.267</v>
      </c>
      <c r="AL216" s="727">
        <v>-166.15</v>
      </c>
      <c r="AM216" s="727">
        <v>-161.833</v>
      </c>
      <c r="AN216" s="727">
        <v>-156.38300000000001</v>
      </c>
      <c r="AO216" s="727">
        <v>-155.6</v>
      </c>
      <c r="AP216" s="727">
        <v>-159.53299999999999</v>
      </c>
      <c r="AQ216" s="727">
        <v>-152.28299999999999</v>
      </c>
      <c r="AR216" s="727">
        <v>-152.083</v>
      </c>
      <c r="AS216" s="727">
        <v>-150.1</v>
      </c>
      <c r="AT216" s="727">
        <v>-151.233</v>
      </c>
      <c r="AU216" s="727">
        <v>-151.03299999999999</v>
      </c>
      <c r="AV216" s="727">
        <v>-149.1</v>
      </c>
      <c r="AW216" s="727">
        <v>-149.833</v>
      </c>
      <c r="AX216" s="727">
        <v>-135.44999999999999</v>
      </c>
      <c r="AY216" s="727">
        <v>-147.85</v>
      </c>
      <c r="AZ216" s="727">
        <v>-149.017</v>
      </c>
      <c r="BA216" s="727">
        <v>-147.1</v>
      </c>
      <c r="BB216" s="727">
        <v>-145.71700000000001</v>
      </c>
      <c r="BC216" s="727">
        <v>-145.44999999999999</v>
      </c>
      <c r="BD216" s="727">
        <v>-149.80000000000001</v>
      </c>
      <c r="BE216" s="727">
        <v>-149.96700000000001</v>
      </c>
      <c r="BF216" s="727">
        <v>-150</v>
      </c>
      <c r="BG216" s="727">
        <v>-149.85</v>
      </c>
      <c r="BH216" s="727">
        <v>-149.083</v>
      </c>
      <c r="BI216" s="727">
        <v>-149.517</v>
      </c>
      <c r="BJ216" s="727">
        <v>-146.35</v>
      </c>
      <c r="BK216" s="727">
        <v>-146.267</v>
      </c>
      <c r="BL216" s="727">
        <v>-148.68299999999999</v>
      </c>
      <c r="BM216" s="727">
        <v>-149.44999999999999</v>
      </c>
      <c r="BN216" s="727">
        <v>-141.93299999999999</v>
      </c>
      <c r="BO216" s="727">
        <v>-145.5</v>
      </c>
      <c r="BP216" s="727">
        <v>-152.30000000000001</v>
      </c>
      <c r="BQ216" s="727">
        <v>-170.21700000000001</v>
      </c>
      <c r="BR216" s="727">
        <v>-162.71700000000001</v>
      </c>
      <c r="BS216" s="727">
        <v>-160.517</v>
      </c>
      <c r="BT216" s="727">
        <v>-158.517</v>
      </c>
      <c r="BU216" s="727">
        <v>-156.65</v>
      </c>
      <c r="BV216" s="727">
        <v>-158.61699999999999</v>
      </c>
      <c r="BW216" s="727">
        <v>-154.917</v>
      </c>
      <c r="BX216" s="727">
        <v>-157.15</v>
      </c>
      <c r="BY216" s="727">
        <v>-151.483</v>
      </c>
      <c r="BZ216" s="727">
        <v>-146.31700000000001</v>
      </c>
      <c r="CA216" s="727">
        <v>-152.5</v>
      </c>
      <c r="CB216" s="727">
        <v>-160.4</v>
      </c>
      <c r="CC216" s="727">
        <v>-139.63300000000001</v>
      </c>
      <c r="CD216" s="727">
        <v>-135.30000000000001</v>
      </c>
      <c r="CE216" s="727">
        <v>-135.69999999999999</v>
      </c>
      <c r="CF216" s="727">
        <v>-135.36699999999999</v>
      </c>
      <c r="CG216" s="727">
        <v>-134.583</v>
      </c>
      <c r="CH216" s="727">
        <v>-133.94999999999999</v>
      </c>
      <c r="CI216" s="727">
        <v>-132.94999999999999</v>
      </c>
      <c r="CJ216" s="727">
        <v>-132.36699999999999</v>
      </c>
      <c r="CK216" s="727">
        <v>-132.833</v>
      </c>
      <c r="CL216" s="727">
        <v>-131.71700000000001</v>
      </c>
      <c r="CM216" s="727">
        <v>-131.56700000000001</v>
      </c>
      <c r="CN216" s="727">
        <v>174.11699999999999</v>
      </c>
      <c r="CO216" s="727">
        <v>-176.65</v>
      </c>
      <c r="CP216" s="727">
        <v>-166.55</v>
      </c>
      <c r="CQ216" s="727">
        <v>-81.75</v>
      </c>
      <c r="CR216" s="727">
        <v>-81.683000000000007</v>
      </c>
      <c r="CS216" s="727">
        <v>-81.05</v>
      </c>
      <c r="CT216" s="727">
        <v>-80.3</v>
      </c>
      <c r="CU216" s="727">
        <v>-80.283000000000001</v>
      </c>
      <c r="CV216" s="727">
        <v>-80.150000000000006</v>
      </c>
      <c r="CW216" s="727">
        <v>-80.382999999999996</v>
      </c>
      <c r="CX216" s="727">
        <v>-80.433000000000007</v>
      </c>
      <c r="CY216" s="727">
        <v>-80.099999999999994</v>
      </c>
      <c r="CZ216" s="727">
        <v>-81.766999999999996</v>
      </c>
      <c r="DA216" s="727">
        <v>-80.167000000000002</v>
      </c>
      <c r="DB216" s="727">
        <v>-80.650000000000006</v>
      </c>
      <c r="DC216" s="727">
        <v>-80.417000000000002</v>
      </c>
      <c r="DD216" s="727">
        <v>-81.332999999999998</v>
      </c>
      <c r="DE216" s="727">
        <v>-81.332999999999998</v>
      </c>
      <c r="DF216" s="727">
        <v>-82.216999999999999</v>
      </c>
      <c r="DG216" s="727">
        <v>-81.066999999999993</v>
      </c>
      <c r="DH216" s="727">
        <v>-81.25</v>
      </c>
      <c r="DI216" s="727">
        <v>-81.7</v>
      </c>
      <c r="DJ216" s="727">
        <v>-81.667000000000002</v>
      </c>
      <c r="DK216" s="727">
        <v>-81.417000000000002</v>
      </c>
      <c r="DL216" s="727">
        <v>-81.516999999999996</v>
      </c>
      <c r="DM216" s="727">
        <v>-81.2</v>
      </c>
      <c r="DN216" s="727">
        <v>-80.033000000000001</v>
      </c>
      <c r="DO216" s="727">
        <v>-80.716999999999999</v>
      </c>
      <c r="DP216" s="727">
        <v>-80.367000000000004</v>
      </c>
      <c r="DQ216" s="727">
        <v>-82.632999999999996</v>
      </c>
      <c r="DR216" s="727">
        <v>-81.867000000000004</v>
      </c>
      <c r="DS216" s="727">
        <v>-81.75</v>
      </c>
      <c r="DT216" s="727">
        <v>-82.533000000000001</v>
      </c>
      <c r="DU216" s="727">
        <v>-82.55</v>
      </c>
      <c r="DV216" s="727">
        <v>-82.683000000000007</v>
      </c>
      <c r="DW216" s="727">
        <v>-82.016999999999996</v>
      </c>
      <c r="DX216" s="727">
        <v>-82.5</v>
      </c>
      <c r="DY216" s="727">
        <v>-81.466999999999999</v>
      </c>
      <c r="DZ216" s="727">
        <v>-81.382999999999996</v>
      </c>
      <c r="EA216" s="727">
        <v>-84.37</v>
      </c>
      <c r="EB216" s="727">
        <v>-82.283000000000001</v>
      </c>
      <c r="EC216" s="727">
        <v>-84.183000000000007</v>
      </c>
      <c r="ED216" s="727">
        <v>-83.283000000000001</v>
      </c>
      <c r="EE216" s="727">
        <v>-83.65</v>
      </c>
      <c r="EF216" s="727">
        <v>-83.6</v>
      </c>
      <c r="EG216" s="727">
        <v>-81.966999999999999</v>
      </c>
      <c r="EH216" s="727">
        <v>-84.433000000000007</v>
      </c>
      <c r="EI216" s="727">
        <v>-84.516999999999996</v>
      </c>
      <c r="EJ216" s="727">
        <v>-84.3</v>
      </c>
      <c r="EK216" s="727">
        <v>-86.516999999999996</v>
      </c>
      <c r="EL216" s="727">
        <v>-86.516999999999996</v>
      </c>
      <c r="EM216" s="727">
        <v>-87.183000000000007</v>
      </c>
      <c r="EN216" s="727">
        <v>-87.316999999999993</v>
      </c>
      <c r="EO216" s="727">
        <v>-87.016999999999996</v>
      </c>
      <c r="EP216" s="727">
        <v>-88.25</v>
      </c>
      <c r="EQ216" s="727">
        <v>-88.066999999999993</v>
      </c>
      <c r="ER216" s="727">
        <v>-85.683000000000007</v>
      </c>
      <c r="ES216" s="727">
        <v>-85</v>
      </c>
      <c r="ET216" s="727">
        <v>-84.95</v>
      </c>
      <c r="EU216" s="727">
        <v>-86.4</v>
      </c>
      <c r="EV216" s="727">
        <v>-86.35</v>
      </c>
      <c r="EW216" s="727">
        <v>-86.016999999999996</v>
      </c>
      <c r="EX216" s="727">
        <v>-85.433000000000007</v>
      </c>
      <c r="EY216" s="727">
        <v>-85.716999999999999</v>
      </c>
      <c r="EZ216" s="727">
        <v>-84.516999999999996</v>
      </c>
      <c r="FA216" s="727">
        <v>-86.75</v>
      </c>
      <c r="FB216" s="727">
        <v>-85.433000000000007</v>
      </c>
      <c r="FC216" s="727">
        <v>-86.082999999999998</v>
      </c>
      <c r="FD216" s="727">
        <v>-87.617000000000004</v>
      </c>
      <c r="FE216" s="727">
        <v>-85.85</v>
      </c>
      <c r="FF216" s="727">
        <v>-90.25</v>
      </c>
      <c r="FG216" s="727">
        <v>-91.882999999999996</v>
      </c>
      <c r="FH216" s="727">
        <v>-90.033000000000001</v>
      </c>
      <c r="FI216" s="727">
        <v>-90.016999999999996</v>
      </c>
      <c r="FJ216" s="727">
        <v>-91.15</v>
      </c>
      <c r="FK216" s="727">
        <v>-91.332999999999998</v>
      </c>
      <c r="FL216" s="727">
        <v>-88.75</v>
      </c>
      <c r="FM216" s="727">
        <v>-88.566999999999993</v>
      </c>
      <c r="FN216" s="727">
        <v>-89.332999999999998</v>
      </c>
      <c r="FO216" s="727">
        <v>-90.082999999999998</v>
      </c>
      <c r="FP216" s="727">
        <v>-90.983000000000004</v>
      </c>
      <c r="FQ216" s="727">
        <v>-91.3</v>
      </c>
      <c r="FR216" s="727">
        <v>-90.466999999999999</v>
      </c>
      <c r="FS216" s="727">
        <v>-90.082999999999998</v>
      </c>
      <c r="FT216" s="727">
        <v>-93.183000000000007</v>
      </c>
      <c r="FU216" s="727">
        <v>-93.233000000000004</v>
      </c>
      <c r="FV216" s="727">
        <v>-93.167000000000002</v>
      </c>
      <c r="FW216" s="727">
        <v>-91.983000000000004</v>
      </c>
      <c r="FX216" s="727">
        <v>-90.667000000000002</v>
      </c>
      <c r="FY216" s="727">
        <v>-94.016999999999996</v>
      </c>
      <c r="FZ216" s="727">
        <v>-94.8</v>
      </c>
      <c r="GA216" s="727">
        <v>-95.55</v>
      </c>
      <c r="GB216" s="727">
        <v>-95.367000000000004</v>
      </c>
      <c r="GC216" s="727">
        <v>-95.283000000000001</v>
      </c>
      <c r="GD216" s="727">
        <v>-95.09</v>
      </c>
      <c r="GE216" s="727">
        <v>-96.367000000000004</v>
      </c>
      <c r="GF216" s="727">
        <v>-94.75</v>
      </c>
      <c r="GG216" s="727">
        <v>-95.4</v>
      </c>
      <c r="GH216" s="727">
        <v>-94.98</v>
      </c>
      <c r="GI216" s="727">
        <v>-93.816999999999993</v>
      </c>
      <c r="GJ216" s="727">
        <v>-93.75</v>
      </c>
      <c r="GK216" s="727">
        <v>-93.667000000000002</v>
      </c>
      <c r="GL216" s="727">
        <v>-92.033000000000001</v>
      </c>
      <c r="GM216" s="727">
        <v>-92.3</v>
      </c>
      <c r="GN216" s="727">
        <v>-94.716999999999999</v>
      </c>
      <c r="GO216" s="727">
        <v>-97.433000000000007</v>
      </c>
      <c r="GP216" s="727">
        <v>-97.65</v>
      </c>
      <c r="GQ216" s="727">
        <v>-98.17</v>
      </c>
      <c r="GR216" s="727">
        <v>-97.63</v>
      </c>
      <c r="GS216" s="727">
        <v>-97.283000000000001</v>
      </c>
      <c r="GT216" s="727">
        <v>-97.816999999999993</v>
      </c>
      <c r="GU216" s="727">
        <v>-98.033000000000001</v>
      </c>
      <c r="GV216" s="727">
        <v>-99.49</v>
      </c>
      <c r="GW216" s="727">
        <v>-98.466999999999999</v>
      </c>
      <c r="GX216" s="727">
        <v>-97.05</v>
      </c>
      <c r="GY216" s="727">
        <v>-99.216999999999999</v>
      </c>
      <c r="GZ216" s="727">
        <v>-98.466999999999999</v>
      </c>
      <c r="HA216" s="727">
        <v>-99.167000000000002</v>
      </c>
      <c r="HB216" s="727">
        <v>-98.582999999999998</v>
      </c>
      <c r="HC216" s="727">
        <v>-98.283000000000001</v>
      </c>
      <c r="HD216" s="727">
        <v>-97.74</v>
      </c>
      <c r="HE216" s="727">
        <v>-97.766999999999996</v>
      </c>
      <c r="HF216" s="727">
        <v>-97.683000000000007</v>
      </c>
      <c r="HG216" s="727">
        <v>-96.933000000000007</v>
      </c>
      <c r="HH216" s="727">
        <v>-96.25</v>
      </c>
      <c r="HI216" s="727">
        <v>-97.233000000000004</v>
      </c>
      <c r="HJ216" s="727">
        <v>-97.316999999999993</v>
      </c>
      <c r="HK216" s="727">
        <v>-97.716999999999999</v>
      </c>
      <c r="HL216" s="727">
        <v>-97.683000000000007</v>
      </c>
      <c r="HM216" s="727">
        <v>-97.832999999999998</v>
      </c>
      <c r="HN216" s="727">
        <v>-97.4</v>
      </c>
      <c r="HO216" s="727">
        <v>-96.85</v>
      </c>
      <c r="HP216" s="727">
        <v>-95.45</v>
      </c>
      <c r="HQ216" s="727">
        <v>-96.066999999999993</v>
      </c>
      <c r="HR216" s="727">
        <v>-97.016999999999996</v>
      </c>
      <c r="HS216" s="727">
        <v>-97.316999999999993</v>
      </c>
      <c r="HT216" s="727">
        <v>-97.45</v>
      </c>
      <c r="HU216" s="727">
        <v>-97.367000000000004</v>
      </c>
      <c r="HV216" s="727">
        <v>-98.066999999999993</v>
      </c>
      <c r="HW216" s="727">
        <v>-96.832999999999998</v>
      </c>
      <c r="HX216" s="727">
        <v>-96.867000000000004</v>
      </c>
      <c r="HY216" s="727">
        <v>-100.91</v>
      </c>
      <c r="HZ216" s="727">
        <v>-100.783</v>
      </c>
      <c r="IA216" s="727">
        <v>-100.5</v>
      </c>
      <c r="IB216" s="727">
        <v>-102.55</v>
      </c>
      <c r="IC216" s="727">
        <v>-104.017</v>
      </c>
      <c r="ID216" s="727">
        <v>-102.18300000000001</v>
      </c>
      <c r="IE216" s="727">
        <v>-103.2</v>
      </c>
      <c r="IF216" s="727">
        <v>-99.71</v>
      </c>
      <c r="IG216" s="727">
        <v>-101.81699999999999</v>
      </c>
      <c r="IH216" s="727">
        <v>-104.533</v>
      </c>
      <c r="II216" s="727">
        <v>-105.533</v>
      </c>
      <c r="IJ216" s="727">
        <v>-103.31699999999999</v>
      </c>
      <c r="IK216" s="727">
        <v>-104.267</v>
      </c>
      <c r="IL216" s="727">
        <v>-103.083</v>
      </c>
      <c r="IM216" s="727">
        <v>-106.917</v>
      </c>
      <c r="IN216" s="727">
        <v>-106.5</v>
      </c>
      <c r="IO216" s="727">
        <v>-107.267</v>
      </c>
      <c r="IP216" s="727">
        <v>-107.717</v>
      </c>
      <c r="IQ216" s="727">
        <v>-109.6</v>
      </c>
      <c r="IR216" s="727">
        <v>-110.95</v>
      </c>
      <c r="IS216" s="727">
        <v>-110.883</v>
      </c>
      <c r="IT216" s="727">
        <v>-109.68300000000001</v>
      </c>
      <c r="IU216" s="727">
        <v>-111.767</v>
      </c>
      <c r="IV216" s="727">
        <v>-111.983</v>
      </c>
      <c r="IW216" s="727">
        <v>-112.083</v>
      </c>
      <c r="IX216" s="727">
        <v>-112.367</v>
      </c>
      <c r="IY216" s="727">
        <v>-111.917</v>
      </c>
      <c r="IZ216" s="727">
        <v>-114.6</v>
      </c>
      <c r="JA216" s="727">
        <v>-117.25</v>
      </c>
      <c r="JB216" s="727">
        <v>-116.5</v>
      </c>
      <c r="JC216" s="727">
        <v>-117.45</v>
      </c>
      <c r="JD216" s="727">
        <v>-118.35</v>
      </c>
      <c r="JE216" s="727">
        <v>-118.45</v>
      </c>
      <c r="JF216" s="727">
        <v>-118.483</v>
      </c>
      <c r="JG216" s="727">
        <v>-120.467</v>
      </c>
      <c r="JH216" s="727">
        <v>-120.633</v>
      </c>
      <c r="JI216" s="727">
        <v>-117.633</v>
      </c>
      <c r="JJ216" s="727">
        <v>-117.167</v>
      </c>
      <c r="JK216" s="727">
        <v>-117.133</v>
      </c>
      <c r="JL216" s="727">
        <v>-116.983</v>
      </c>
      <c r="JM216" s="727">
        <v>-117.2</v>
      </c>
      <c r="JN216" s="727">
        <v>-117.35</v>
      </c>
      <c r="JO216" s="727">
        <v>-117.283</v>
      </c>
      <c r="JP216" s="727">
        <v>-117.133</v>
      </c>
      <c r="JQ216" s="727">
        <v>-118.4</v>
      </c>
      <c r="JR216" s="727">
        <v>-118.333</v>
      </c>
      <c r="JS216" s="727">
        <v>-118.167</v>
      </c>
      <c r="JT216" s="727">
        <v>-117.983</v>
      </c>
      <c r="JU216" s="727">
        <v>-117.867</v>
      </c>
      <c r="JV216" s="727">
        <v>-77.900000000000006</v>
      </c>
      <c r="JW216" s="727">
        <v>-79.016999999999996</v>
      </c>
      <c r="JX216" s="727">
        <v>-78.882999999999996</v>
      </c>
      <c r="JY216" s="727">
        <v>-75.55</v>
      </c>
      <c r="JZ216" s="727">
        <v>-75.7</v>
      </c>
      <c r="KA216" s="727">
        <v>-78.783000000000001</v>
      </c>
      <c r="KB216" s="727">
        <v>-77.400000000000006</v>
      </c>
      <c r="KC216" s="727">
        <v>-77.966999999999999</v>
      </c>
      <c r="KD216" s="727">
        <v>-77.632999999999996</v>
      </c>
      <c r="KE216" s="727">
        <v>-77.900000000000006</v>
      </c>
      <c r="KF216" s="727">
        <v>-77.617000000000004</v>
      </c>
      <c r="KG216" s="727">
        <v>-76.033000000000001</v>
      </c>
      <c r="KH216" s="727">
        <v>-76.2</v>
      </c>
      <c r="KI216" s="727">
        <v>-76.900000000000006</v>
      </c>
      <c r="KJ216" s="727">
        <v>-76.283000000000001</v>
      </c>
      <c r="KK216" s="727">
        <v>-76.5</v>
      </c>
      <c r="KL216" s="727">
        <v>-76.882999999999996</v>
      </c>
      <c r="KM216" s="727">
        <v>-77.05</v>
      </c>
      <c r="KN216" s="727">
        <v>-77.382999999999996</v>
      </c>
      <c r="KO216" s="727">
        <v>-81.117000000000004</v>
      </c>
      <c r="KP216" s="727">
        <v>-79.733000000000004</v>
      </c>
      <c r="KQ216" s="727">
        <v>-83.332999999999998</v>
      </c>
      <c r="KR216" s="727">
        <v>-82.35</v>
      </c>
      <c r="KS216" s="727">
        <v>-82.216999999999999</v>
      </c>
      <c r="KT216" s="727">
        <v>-82.716999999999999</v>
      </c>
      <c r="KU216" s="727">
        <v>-80.95</v>
      </c>
      <c r="KV216" s="727">
        <v>-79.400000000000006</v>
      </c>
      <c r="KW216" s="727">
        <v>-81.382999999999996</v>
      </c>
      <c r="KX216" s="727">
        <v>-82.533000000000001</v>
      </c>
      <c r="KY216" s="727">
        <v>-79.95</v>
      </c>
      <c r="KZ216" s="727">
        <v>-82.4</v>
      </c>
      <c r="LA216" s="727">
        <v>-80.216999999999999</v>
      </c>
      <c r="LB216" s="727">
        <v>-85.167000000000002</v>
      </c>
      <c r="LC216" s="727">
        <v>-86.783000000000001</v>
      </c>
      <c r="LD216" s="727">
        <v>-87.6</v>
      </c>
      <c r="LE216" s="727">
        <v>-85.2</v>
      </c>
      <c r="LF216" s="727">
        <v>-83.983000000000004</v>
      </c>
      <c r="LG216" s="727">
        <v>-85.082999999999998</v>
      </c>
      <c r="LH216" s="727">
        <v>-86.683000000000007</v>
      </c>
      <c r="LI216" s="727">
        <v>-90.466999999999999</v>
      </c>
      <c r="LJ216" s="727">
        <v>-88.45</v>
      </c>
      <c r="LK216" s="727">
        <v>-88.582999999999998</v>
      </c>
      <c r="LL216" s="727">
        <v>-88.766999999999996</v>
      </c>
      <c r="LM216" s="727">
        <v>-89.983000000000004</v>
      </c>
      <c r="LN216" s="727">
        <v>-88.917000000000002</v>
      </c>
      <c r="LO216" s="727">
        <v>-89.4</v>
      </c>
      <c r="LP216" s="727">
        <v>-92.233000000000004</v>
      </c>
      <c r="LQ216" s="727">
        <v>-92.15</v>
      </c>
      <c r="LR216" s="727">
        <v>-90.917000000000002</v>
      </c>
      <c r="LS216" s="727">
        <v>-90.65</v>
      </c>
      <c r="LT216" s="727">
        <v>-93.1</v>
      </c>
      <c r="LU216" s="727">
        <v>-91.566999999999993</v>
      </c>
      <c r="LV216" s="727">
        <v>-91.933000000000007</v>
      </c>
      <c r="LW216" s="727">
        <v>-94</v>
      </c>
      <c r="LX216" s="727">
        <v>-92.816999999999993</v>
      </c>
      <c r="LY216" s="727">
        <v>-94.117000000000004</v>
      </c>
      <c r="LZ216" s="727">
        <v>-94.367000000000004</v>
      </c>
      <c r="MA216" s="727">
        <v>-94.483000000000004</v>
      </c>
      <c r="MB216" s="727">
        <v>-94.216999999999999</v>
      </c>
      <c r="MC216" s="727">
        <v>-94.167000000000002</v>
      </c>
      <c r="MD216" s="727">
        <v>-93.15</v>
      </c>
      <c r="ME216" s="727">
        <v>-92.466999999999999</v>
      </c>
      <c r="MF216" s="727">
        <v>-91.65</v>
      </c>
      <c r="MG216" s="727">
        <v>-94.1</v>
      </c>
      <c r="MH216" s="727">
        <v>-89.566999999999993</v>
      </c>
      <c r="MI216" s="727">
        <v>-94.5</v>
      </c>
      <c r="MJ216" s="727">
        <v>-98.5</v>
      </c>
      <c r="MK216" s="727">
        <v>-99.266999999999996</v>
      </c>
      <c r="ML216" s="727">
        <v>-99.05</v>
      </c>
      <c r="MM216" s="727">
        <v>-99.2</v>
      </c>
      <c r="MN216" s="727">
        <v>-99.766999999999996</v>
      </c>
      <c r="MO216" s="727">
        <v>-97.6</v>
      </c>
      <c r="MP216" s="727">
        <v>-97.917000000000002</v>
      </c>
      <c r="MQ216" s="727">
        <v>-97.382999999999996</v>
      </c>
      <c r="MR216" s="727">
        <v>-97.65</v>
      </c>
      <c r="MS216" s="727">
        <v>-97.082999999999998</v>
      </c>
      <c r="MT216" s="727">
        <v>-97.49</v>
      </c>
      <c r="MU216" s="727">
        <v>-98.4</v>
      </c>
      <c r="MV216" s="727">
        <v>-95.882999999999996</v>
      </c>
      <c r="MW216" s="727">
        <v>-96.016999999999996</v>
      </c>
      <c r="MX216" s="727">
        <v>-95.783000000000001</v>
      </c>
      <c r="MY216" s="727">
        <v>-98.417000000000002</v>
      </c>
      <c r="MZ216" s="727">
        <v>-103.15</v>
      </c>
      <c r="NA216" s="727">
        <v>-100.283</v>
      </c>
      <c r="NB216" s="727">
        <v>-108.783</v>
      </c>
      <c r="NC216" s="727">
        <v>-101.9</v>
      </c>
      <c r="ND216" s="727">
        <v>-106.62</v>
      </c>
      <c r="NE216" s="727">
        <v>-106.083</v>
      </c>
      <c r="NF216" s="727">
        <v>-108.233</v>
      </c>
      <c r="NG216" s="727">
        <v>-105.667</v>
      </c>
      <c r="NH216" s="727">
        <v>-103.6</v>
      </c>
      <c r="NI216" s="727">
        <v>-105.15</v>
      </c>
      <c r="NJ216" s="727">
        <v>-113.95</v>
      </c>
      <c r="NK216" s="727">
        <v>-111.45</v>
      </c>
      <c r="NL216" s="727">
        <v>-112.417</v>
      </c>
      <c r="NM216" s="727">
        <v>-110.717</v>
      </c>
      <c r="NN216" s="727">
        <v>-110</v>
      </c>
      <c r="NO216" s="727">
        <v>-111.667</v>
      </c>
      <c r="NP216" s="727">
        <v>-112.15</v>
      </c>
      <c r="NQ216" s="727">
        <v>-114.617</v>
      </c>
      <c r="NR216" s="727">
        <v>-117.867</v>
      </c>
      <c r="NS216" s="727">
        <v>-116.8</v>
      </c>
      <c r="NT216" s="727">
        <v>-118.217</v>
      </c>
      <c r="NU216" s="727">
        <v>-118.083</v>
      </c>
      <c r="NV216" s="727">
        <v>-118.717</v>
      </c>
      <c r="NW216" s="727">
        <v>-119.05</v>
      </c>
      <c r="NX216" s="727">
        <v>-115.15</v>
      </c>
      <c r="NY216" s="727">
        <v>-115.033</v>
      </c>
      <c r="NZ216" s="727">
        <v>-116.02</v>
      </c>
      <c r="OA216" s="727">
        <v>-119.717</v>
      </c>
      <c r="OB216" s="727">
        <v>-119.06699999999999</v>
      </c>
      <c r="OC216" s="727">
        <v>-119.4</v>
      </c>
      <c r="OD216" s="727">
        <v>-119.117</v>
      </c>
      <c r="OE216" s="727">
        <v>-119.85</v>
      </c>
      <c r="OF216" s="727">
        <v>-119.083</v>
      </c>
      <c r="OG216" s="727">
        <v>-119.2</v>
      </c>
      <c r="OH216" s="727">
        <v>-120.467</v>
      </c>
      <c r="OI216" s="727">
        <v>-120.633</v>
      </c>
      <c r="OJ216" s="727">
        <v>-77.316999999999993</v>
      </c>
      <c r="OK216" s="727">
        <v>-77.516999999999996</v>
      </c>
      <c r="OL216" s="727">
        <v>-78.45</v>
      </c>
      <c r="OM216" s="727">
        <v>-78.433000000000007</v>
      </c>
      <c r="ON216" s="727">
        <v>-75.766999999999996</v>
      </c>
      <c r="OO216" s="727">
        <v>-77.47</v>
      </c>
      <c r="OP216" s="727">
        <v>-77.45</v>
      </c>
      <c r="OQ216" s="727">
        <v>-77.3</v>
      </c>
      <c r="OR216" s="727">
        <v>-77.516999999999996</v>
      </c>
      <c r="OS216" s="727">
        <v>-77.183000000000007</v>
      </c>
      <c r="OT216" s="727">
        <v>-76.417000000000002</v>
      </c>
      <c r="OU216" s="727">
        <v>-75.516999999999996</v>
      </c>
      <c r="OV216" s="727">
        <v>-77.033000000000001</v>
      </c>
      <c r="OW216" s="727">
        <v>-78.150000000000006</v>
      </c>
      <c r="OX216" s="727">
        <v>-77.566999999999993</v>
      </c>
      <c r="OY216" s="727">
        <v>-81.349999999999994</v>
      </c>
      <c r="OZ216" s="727">
        <v>-82.033000000000001</v>
      </c>
      <c r="PA216" s="727">
        <v>-76.683000000000007</v>
      </c>
      <c r="PB216" s="727">
        <v>-77.733000000000004</v>
      </c>
      <c r="PC216" s="727">
        <v>-74.566999999999993</v>
      </c>
      <c r="PD216" s="727">
        <v>-75.082999999999998</v>
      </c>
      <c r="PE216" s="727">
        <v>-75.233000000000004</v>
      </c>
      <c r="PF216" s="727">
        <v>-74.066999999999993</v>
      </c>
      <c r="PG216" s="727">
        <v>-75.016999999999996</v>
      </c>
      <c r="PH216" s="727">
        <v>-75.150000000000006</v>
      </c>
      <c r="PI216" s="727">
        <v>-75.466999999999999</v>
      </c>
      <c r="PJ216" s="727">
        <v>-75.599999999999994</v>
      </c>
      <c r="PK216" s="727">
        <v>-74.283000000000001</v>
      </c>
      <c r="PL216" s="727">
        <v>-74.816999999999993</v>
      </c>
      <c r="PM216" s="727">
        <v>-74.599999999999994</v>
      </c>
      <c r="PN216" s="727">
        <v>-79.2</v>
      </c>
      <c r="PO216" s="727">
        <v>-78.900000000000006</v>
      </c>
      <c r="PP216" s="727">
        <v>-79.332999999999998</v>
      </c>
      <c r="PQ216" s="727">
        <v>-80.816999999999993</v>
      </c>
      <c r="PR216" s="727">
        <v>-79.966999999999999</v>
      </c>
      <c r="PS216" s="727">
        <v>-80.417000000000002</v>
      </c>
      <c r="PT216" s="727">
        <v>-79.832999999999998</v>
      </c>
      <c r="PU216" s="727">
        <v>-80.683000000000007</v>
      </c>
      <c r="PV216" s="727">
        <v>-82.533000000000001</v>
      </c>
      <c r="PW216" s="727">
        <v>-81.117000000000004</v>
      </c>
      <c r="PX216" s="727">
        <v>-81.239999999999995</v>
      </c>
      <c r="PY216" s="727">
        <v>-80.400000000000006</v>
      </c>
      <c r="PZ216" s="727">
        <v>-81.582999999999998</v>
      </c>
      <c r="QA216" s="727">
        <v>-79.849999999999994</v>
      </c>
      <c r="QB216" s="727">
        <v>-80.233000000000004</v>
      </c>
      <c r="QC216" s="727">
        <v>-79.917000000000002</v>
      </c>
      <c r="QD216" s="727">
        <v>-77.983000000000004</v>
      </c>
      <c r="QE216" s="727">
        <v>-84.667000000000002</v>
      </c>
      <c r="QF216" s="727">
        <v>-84.6</v>
      </c>
      <c r="QG216" s="727">
        <v>-85.733000000000004</v>
      </c>
      <c r="QH216" s="727">
        <v>-85.667000000000002</v>
      </c>
      <c r="QI216" s="727">
        <v>-83.316999999999993</v>
      </c>
      <c r="QJ216" s="727">
        <v>-87.683000000000007</v>
      </c>
      <c r="QK216" s="727">
        <v>-85.966999999999999</v>
      </c>
      <c r="QL216" s="727">
        <v>-84.082999999999998</v>
      </c>
      <c r="QM216" s="727">
        <v>-82.55</v>
      </c>
      <c r="QN216" s="727">
        <v>-81.433000000000007</v>
      </c>
      <c r="QO216" s="727">
        <v>-80.650000000000006</v>
      </c>
      <c r="QP216" s="727">
        <v>-82.882999999999996</v>
      </c>
      <c r="QQ216" s="727">
        <v>-81.900000000000006</v>
      </c>
      <c r="QR216" s="727">
        <v>-83.066999999999993</v>
      </c>
      <c r="QS216" s="727">
        <v>-84.216999999999999</v>
      </c>
      <c r="QT216" s="727">
        <v>-84.417000000000002</v>
      </c>
      <c r="QU216" s="727">
        <v>-87.533000000000001</v>
      </c>
      <c r="QV216" s="727">
        <v>-88.867000000000004</v>
      </c>
      <c r="QW216" s="727">
        <v>-89.25</v>
      </c>
      <c r="QX216" s="727">
        <v>-89.85</v>
      </c>
      <c r="QY216" s="727">
        <v>-89.016999999999996</v>
      </c>
      <c r="QZ216" s="727">
        <v>-90.367000000000004</v>
      </c>
      <c r="RA216" s="727">
        <v>-90.65</v>
      </c>
      <c r="RB216" s="727">
        <v>-88.766999999999996</v>
      </c>
      <c r="RC216" s="727">
        <v>-84.6</v>
      </c>
      <c r="RD216" s="727">
        <v>-86.95</v>
      </c>
      <c r="RE216" s="727">
        <v>-87.3</v>
      </c>
      <c r="RF216" s="727">
        <v>-86.617000000000004</v>
      </c>
      <c r="RG216" s="727">
        <v>-86.266999999999996</v>
      </c>
      <c r="RH216" s="727">
        <v>-86.933000000000007</v>
      </c>
      <c r="RI216" s="727">
        <v>-89.683000000000007</v>
      </c>
      <c r="RJ216" s="727">
        <v>-91.2</v>
      </c>
      <c r="RK216" s="727">
        <v>-88.917000000000002</v>
      </c>
      <c r="RL216" s="727">
        <v>-93.382999999999996</v>
      </c>
      <c r="RM216" s="727">
        <v>-92.216999999999999</v>
      </c>
      <c r="RN216" s="727">
        <v>-90.4</v>
      </c>
      <c r="RO216" s="727">
        <v>-92.55</v>
      </c>
      <c r="RP216" s="727">
        <v>-91.766999999999996</v>
      </c>
      <c r="RQ216" s="727">
        <v>-92.15</v>
      </c>
      <c r="RR216" s="727">
        <v>-92.15</v>
      </c>
      <c r="RS216" s="727">
        <v>-92.55</v>
      </c>
      <c r="RT216" s="727">
        <v>-94.716999999999999</v>
      </c>
      <c r="RU216" s="727">
        <v>-94.6</v>
      </c>
      <c r="RV216" s="727">
        <v>-93.55</v>
      </c>
      <c r="RW216" s="727">
        <v>-94.733000000000004</v>
      </c>
      <c r="RX216" s="727">
        <v>-94.882999999999996</v>
      </c>
      <c r="RY216" s="727">
        <v>-94.9</v>
      </c>
      <c r="RZ216" s="727">
        <v>-97.433000000000007</v>
      </c>
      <c r="SA216" s="727">
        <v>-97.216999999999999</v>
      </c>
      <c r="SB216" s="727">
        <v>-97.266999999999996</v>
      </c>
      <c r="SC216" s="727">
        <v>-97.867000000000004</v>
      </c>
      <c r="SD216" s="727">
        <v>-95.483000000000004</v>
      </c>
      <c r="SE216" s="727">
        <v>-97.283000000000001</v>
      </c>
      <c r="SF216" s="727">
        <v>-99.966999999999999</v>
      </c>
      <c r="SG216" s="727">
        <v>-100.717</v>
      </c>
      <c r="SH216" s="727">
        <v>-100.967</v>
      </c>
      <c r="SI216" s="727">
        <v>-98.867000000000004</v>
      </c>
      <c r="SJ216" s="727">
        <v>-99.266999999999996</v>
      </c>
      <c r="SK216" s="727">
        <v>-96.766999999999996</v>
      </c>
      <c r="SL216" s="727">
        <v>-96.667000000000002</v>
      </c>
      <c r="SM216" s="727">
        <v>-96.183000000000007</v>
      </c>
      <c r="SN216" s="727">
        <v>-95.632999999999996</v>
      </c>
      <c r="SO216" s="727">
        <v>-95.667000000000002</v>
      </c>
      <c r="SP216" s="727">
        <v>-97.65</v>
      </c>
      <c r="SQ216" s="727">
        <v>-98.816999999999993</v>
      </c>
      <c r="SR216" s="727">
        <v>-97.667000000000002</v>
      </c>
      <c r="SS216" s="727">
        <v>-105.867</v>
      </c>
      <c r="ST216" s="727">
        <v>-107.75</v>
      </c>
      <c r="SU216" s="727">
        <v>-103.533</v>
      </c>
      <c r="SV216" s="727">
        <v>-102.68300000000001</v>
      </c>
      <c r="SW216" s="727">
        <v>-104.5</v>
      </c>
      <c r="SX216" s="727">
        <v>-104.333</v>
      </c>
      <c r="SY216" s="727">
        <v>-101.7</v>
      </c>
      <c r="SZ216" s="727">
        <v>-99.832999999999998</v>
      </c>
      <c r="TA216" s="727">
        <v>-104.717</v>
      </c>
      <c r="TB216" s="727">
        <v>-103.717</v>
      </c>
      <c r="TC216" s="727">
        <v>-105.179</v>
      </c>
      <c r="TD216" s="727">
        <v>-106.31699999999999</v>
      </c>
      <c r="TE216" s="727">
        <v>-106.917</v>
      </c>
      <c r="TF216" s="727">
        <v>-106.867</v>
      </c>
      <c r="TG216" s="727">
        <v>-106.93300000000001</v>
      </c>
      <c r="TH216" s="727">
        <v>-104.75</v>
      </c>
      <c r="TI216" s="727">
        <v>-103.233</v>
      </c>
      <c r="TJ216" s="727">
        <v>-105.24</v>
      </c>
      <c r="TK216" s="727">
        <v>-109.483</v>
      </c>
      <c r="TL216" s="727">
        <v>-110.717</v>
      </c>
      <c r="TM216" s="727">
        <v>-113.6</v>
      </c>
      <c r="TN216" s="727">
        <v>-113.1</v>
      </c>
      <c r="TO216" s="727">
        <v>-112.15</v>
      </c>
      <c r="TP216" s="727">
        <v>-108.533</v>
      </c>
      <c r="TQ216" s="727">
        <v>-107.9</v>
      </c>
      <c r="TR216" s="727">
        <v>-108.633</v>
      </c>
      <c r="TS216" s="727">
        <v>-104.633</v>
      </c>
      <c r="TT216" s="727">
        <v>-105.017</v>
      </c>
      <c r="TU216" s="727">
        <v>-109.54</v>
      </c>
      <c r="TV216" s="727">
        <v>-112.583</v>
      </c>
      <c r="TW216" s="727">
        <v>-118.35</v>
      </c>
      <c r="TX216" s="727">
        <v>-120.517</v>
      </c>
      <c r="TY216" s="727">
        <v>-121.5</v>
      </c>
      <c r="TZ216" s="727">
        <v>-121.43300000000001</v>
      </c>
      <c r="UA216" s="727">
        <v>-121.56699999999999</v>
      </c>
      <c r="UB216" s="727">
        <v>-121.583</v>
      </c>
      <c r="UC216" s="727">
        <v>-117.083</v>
      </c>
      <c r="UD216" s="727">
        <v>-114.85</v>
      </c>
      <c r="UE216" s="727">
        <v>-119.767</v>
      </c>
      <c r="UF216" s="727">
        <v>-118.717</v>
      </c>
      <c r="UG216" s="727">
        <v>-121.867</v>
      </c>
      <c r="UH216" s="727">
        <v>-121.6</v>
      </c>
      <c r="UI216" s="727">
        <v>-121.233</v>
      </c>
      <c r="UJ216" s="727">
        <v>-120.95</v>
      </c>
      <c r="UK216" s="727">
        <v>-121.81699999999999</v>
      </c>
      <c r="UL216" s="727">
        <v>-122.217</v>
      </c>
      <c r="UM216" s="727">
        <v>-122.117</v>
      </c>
      <c r="UN216" s="727">
        <v>-122.05</v>
      </c>
      <c r="UO216" s="727">
        <v>-122.4</v>
      </c>
      <c r="UP216" s="727">
        <v>-121.93300000000001</v>
      </c>
      <c r="UQ216" s="727">
        <v>-122.283</v>
      </c>
      <c r="UR216" s="727">
        <v>-122.81699999999999</v>
      </c>
      <c r="US216" s="727">
        <v>-74.183000000000007</v>
      </c>
      <c r="UT216" s="727">
        <v>-74.066999999999993</v>
      </c>
      <c r="UU216" s="727">
        <v>-73.132999999999996</v>
      </c>
      <c r="UV216" s="727">
        <v>-73.882999999999996</v>
      </c>
      <c r="UW216" s="727">
        <v>-73.966999999999999</v>
      </c>
      <c r="UX216" s="727">
        <v>-73.099999999999994</v>
      </c>
      <c r="UY216" s="727">
        <v>-73.882999999999996</v>
      </c>
      <c r="UZ216" s="727">
        <v>-73.716999999999999</v>
      </c>
      <c r="VA216" s="727">
        <v>-74.099999999999994</v>
      </c>
      <c r="VB216" s="727">
        <v>-73.150000000000006</v>
      </c>
      <c r="VC216" s="727">
        <v>-72.882999999999996</v>
      </c>
      <c r="VD216" s="727">
        <v>-72.05</v>
      </c>
      <c r="VE216" s="727">
        <v>-71.5</v>
      </c>
      <c r="VF216" s="727">
        <v>-71.582999999999998</v>
      </c>
      <c r="VG216" s="727">
        <v>-70.516999999999996</v>
      </c>
      <c r="VH216" s="727">
        <v>-70.066999999999993</v>
      </c>
      <c r="VI216" s="727">
        <v>-70.733000000000004</v>
      </c>
      <c r="VJ216" s="727">
        <v>-70.95</v>
      </c>
      <c r="VK216" s="727">
        <v>-70.617000000000004</v>
      </c>
      <c r="VL216" s="727">
        <v>-70.283000000000001</v>
      </c>
      <c r="VM216" s="727">
        <v>-71.433000000000007</v>
      </c>
      <c r="VN216" s="727">
        <v>-70.216999999999999</v>
      </c>
      <c r="VO216" s="727">
        <v>-73.167000000000002</v>
      </c>
      <c r="VP216" s="727">
        <v>-72.683000000000007</v>
      </c>
      <c r="VQ216" s="727">
        <v>-73.483000000000004</v>
      </c>
      <c r="VR216" s="727">
        <v>-72.650000000000006</v>
      </c>
      <c r="VS216" s="727">
        <v>-70.917000000000002</v>
      </c>
      <c r="VT216" s="727">
        <v>-71.016999999999996</v>
      </c>
      <c r="VU216" s="727">
        <v>-71.882999999999996</v>
      </c>
      <c r="VV216" s="727">
        <v>-71.183000000000007</v>
      </c>
      <c r="VW216" s="727">
        <v>-75.966999999999999</v>
      </c>
      <c r="VX216" s="727">
        <v>-76.766999999999996</v>
      </c>
      <c r="VY216" s="727">
        <v>-76.3</v>
      </c>
      <c r="VZ216" s="727">
        <v>-80.283000000000001</v>
      </c>
      <c r="WA216" s="727">
        <v>-76.849999999999994</v>
      </c>
      <c r="WB216" s="727">
        <v>-79.95</v>
      </c>
      <c r="WC216" s="727">
        <v>-78.900000000000006</v>
      </c>
      <c r="WD216" s="727">
        <v>-78.316999999999993</v>
      </c>
      <c r="WE216" s="727">
        <v>-78.832999999999998</v>
      </c>
      <c r="WF216" s="727">
        <v>-77.930000000000007</v>
      </c>
      <c r="WG216" s="727">
        <v>-75.733000000000004</v>
      </c>
      <c r="WH216" s="727">
        <v>-76.917000000000002</v>
      </c>
      <c r="WI216" s="727">
        <v>-74.8</v>
      </c>
      <c r="WJ216" s="727">
        <v>-75.983000000000004</v>
      </c>
      <c r="WK216" s="727">
        <v>-76.900000000000006</v>
      </c>
      <c r="WL216" s="727">
        <v>-72.95</v>
      </c>
      <c r="WM216" s="727">
        <v>-75.45</v>
      </c>
      <c r="WN216" s="727">
        <v>-73.8</v>
      </c>
      <c r="WO216" s="727">
        <v>-73.617000000000004</v>
      </c>
      <c r="WP216" s="727">
        <v>-76.099999999999994</v>
      </c>
      <c r="WQ216" s="727">
        <v>-75.382999999999996</v>
      </c>
      <c r="WR216" s="727">
        <v>-80.233000000000004</v>
      </c>
      <c r="WS216" s="727">
        <v>-79.917000000000002</v>
      </c>
      <c r="WT216" s="727">
        <v>-81.433000000000007</v>
      </c>
      <c r="WU216" s="727">
        <v>-79.266999999999996</v>
      </c>
      <c r="WV216" s="727">
        <v>-81.849999999999994</v>
      </c>
      <c r="WW216" s="727">
        <v>-81.683000000000007</v>
      </c>
      <c r="WX216" s="727">
        <v>-82.516999999999996</v>
      </c>
      <c r="WY216" s="727">
        <v>-80.667000000000002</v>
      </c>
      <c r="WZ216" s="727">
        <v>-80.183000000000007</v>
      </c>
      <c r="XA216" s="727">
        <v>-78.632999999999996</v>
      </c>
      <c r="XB216" s="727">
        <v>-79.867000000000004</v>
      </c>
      <c r="XC216" s="727">
        <v>-78.733000000000004</v>
      </c>
      <c r="XD216" s="727">
        <v>-78.95</v>
      </c>
      <c r="XE216" s="727">
        <v>-77.683000000000007</v>
      </c>
      <c r="XF216" s="727">
        <v>-87.917000000000002</v>
      </c>
      <c r="XG216" s="727">
        <v>-88.25</v>
      </c>
      <c r="XH216" s="727">
        <v>-90.15</v>
      </c>
      <c r="XI216" s="727">
        <v>-88.37</v>
      </c>
      <c r="XJ216" s="727">
        <v>-88.867000000000004</v>
      </c>
      <c r="XK216" s="727">
        <v>-89.683000000000007</v>
      </c>
      <c r="XL216" s="727">
        <v>-89.667000000000002</v>
      </c>
      <c r="XM216" s="727">
        <v>-85.2</v>
      </c>
      <c r="XN216" s="727">
        <v>-86.15</v>
      </c>
      <c r="XO216" s="727">
        <v>-85.4</v>
      </c>
      <c r="XP216" s="727">
        <v>-87.75</v>
      </c>
      <c r="XQ216" s="727">
        <v>-87.867000000000004</v>
      </c>
      <c r="XR216" s="727">
        <v>-86.332999999999998</v>
      </c>
      <c r="XS216" s="727">
        <v>-83.8</v>
      </c>
      <c r="XT216" s="727">
        <v>-83.667000000000002</v>
      </c>
      <c r="XU216" s="727">
        <v>-83.35</v>
      </c>
      <c r="XV216" s="727">
        <v>-83.75</v>
      </c>
      <c r="XW216" s="727">
        <v>-83</v>
      </c>
      <c r="XX216" s="727">
        <v>-83.533000000000001</v>
      </c>
      <c r="XY216" s="727">
        <v>-82.832999999999998</v>
      </c>
      <c r="XZ216" s="727">
        <v>-83.983000000000004</v>
      </c>
      <c r="YA216" s="727">
        <v>-82.533000000000001</v>
      </c>
      <c r="YB216" s="727">
        <v>-84.582999999999998</v>
      </c>
      <c r="YC216" s="727">
        <v>-84.466999999999999</v>
      </c>
      <c r="YD216" s="727">
        <v>-85.25</v>
      </c>
      <c r="YE216" s="727">
        <v>-89.1</v>
      </c>
      <c r="YF216" s="727">
        <v>-90.516999999999996</v>
      </c>
      <c r="YG216" s="727">
        <v>-91.716999999999999</v>
      </c>
      <c r="YH216" s="727">
        <v>-95.05</v>
      </c>
      <c r="YI216" s="727">
        <v>-91.667000000000002</v>
      </c>
      <c r="YJ216" s="727">
        <v>-91.117000000000004</v>
      </c>
      <c r="YK216" s="727">
        <v>-91.433000000000007</v>
      </c>
      <c r="YL216" s="727">
        <v>-94.266999999999996</v>
      </c>
      <c r="YM216" s="727">
        <v>-93.667000000000002</v>
      </c>
      <c r="YN216" s="727">
        <v>-92.617000000000004</v>
      </c>
      <c r="YO216" s="727">
        <v>-93.016999999999996</v>
      </c>
      <c r="YP216" s="727">
        <v>-92.45</v>
      </c>
      <c r="YQ216" s="727">
        <v>-95.417000000000002</v>
      </c>
      <c r="YR216" s="727">
        <v>-94.783000000000001</v>
      </c>
      <c r="YS216" s="727">
        <v>-93.367000000000004</v>
      </c>
      <c r="YT216" s="727">
        <v>-90.7</v>
      </c>
      <c r="YU216" s="727">
        <v>-90.332999999999998</v>
      </c>
      <c r="YV216" s="727">
        <v>-94.367000000000004</v>
      </c>
      <c r="YW216" s="727">
        <v>-91.167000000000002</v>
      </c>
      <c r="YX216" s="727">
        <v>-91.733000000000004</v>
      </c>
      <c r="YY216" s="727">
        <v>-95.382999999999996</v>
      </c>
      <c r="YZ216" s="727">
        <v>-93.867000000000004</v>
      </c>
      <c r="ZA216" s="727">
        <v>-95.033000000000001</v>
      </c>
      <c r="ZB216" s="727">
        <v>-92.4</v>
      </c>
      <c r="ZC216" s="727">
        <v>-91.332999999999998</v>
      </c>
      <c r="ZD216" s="727">
        <v>-96.2</v>
      </c>
      <c r="ZE216" s="727">
        <v>-93.332999999999998</v>
      </c>
      <c r="ZF216" s="727">
        <v>-93.85</v>
      </c>
      <c r="ZG216" s="727">
        <v>-91.15</v>
      </c>
      <c r="ZH216" s="727">
        <v>-91.966999999999999</v>
      </c>
      <c r="ZI216" s="727">
        <v>-96.066999999999993</v>
      </c>
      <c r="ZJ216" s="727">
        <v>-94.183000000000007</v>
      </c>
      <c r="ZK216" s="727">
        <v>-93.117000000000004</v>
      </c>
      <c r="ZL216" s="727">
        <v>-95.266999999999996</v>
      </c>
      <c r="ZM216" s="727">
        <v>-95.832999999999998</v>
      </c>
      <c r="ZN216" s="727">
        <v>-95.233000000000004</v>
      </c>
      <c r="ZO216" s="727">
        <v>-95.766999999999996</v>
      </c>
      <c r="ZP216" s="727">
        <v>-95.9</v>
      </c>
      <c r="ZQ216" s="727">
        <v>-96.766999999999996</v>
      </c>
      <c r="ZR216" s="727">
        <v>-96.75</v>
      </c>
      <c r="ZS216" s="727">
        <v>-98.316999999999993</v>
      </c>
      <c r="ZT216" s="727">
        <v>-98.95</v>
      </c>
      <c r="ZU216" s="727">
        <v>-98.433000000000007</v>
      </c>
      <c r="ZV216" s="727">
        <v>-99</v>
      </c>
      <c r="ZW216" s="727">
        <v>-96.167000000000002</v>
      </c>
      <c r="ZX216" s="727">
        <v>-96.016999999999996</v>
      </c>
      <c r="ZY216" s="727">
        <v>-95.6</v>
      </c>
      <c r="ZZ216" s="727">
        <v>-95.917000000000002</v>
      </c>
      <c r="AAA216" s="727">
        <v>-99.65</v>
      </c>
      <c r="AAB216" s="727">
        <v>-100</v>
      </c>
      <c r="AAC216" s="727">
        <v>-97.433000000000007</v>
      </c>
      <c r="AAD216" s="727">
        <v>-96.516999999999996</v>
      </c>
      <c r="AAE216" s="727">
        <v>-97.332999999999998</v>
      </c>
      <c r="AAF216" s="727">
        <v>-98.683000000000007</v>
      </c>
      <c r="AAG216" s="727">
        <v>-96.382999999999996</v>
      </c>
      <c r="AAH216" s="727">
        <v>-102.983</v>
      </c>
      <c r="AAI216" s="727">
        <v>-100.667</v>
      </c>
      <c r="AAJ216" s="727">
        <v>-100.583</v>
      </c>
      <c r="AAK216" s="727">
        <v>-101.617</v>
      </c>
      <c r="AAL216" s="727">
        <v>-99.332999999999998</v>
      </c>
      <c r="AAM216" s="727">
        <v>-102.8</v>
      </c>
      <c r="AAN216" s="727">
        <v>-103.083</v>
      </c>
      <c r="AAO216" s="727">
        <v>-104.8</v>
      </c>
      <c r="AAP216" s="727">
        <v>-105.68300000000001</v>
      </c>
      <c r="AAQ216" s="727">
        <v>-104.65</v>
      </c>
      <c r="AAR216" s="727">
        <v>-103.6</v>
      </c>
      <c r="AAS216" s="727">
        <v>-100.55</v>
      </c>
      <c r="AAT216" s="727">
        <v>-106.467</v>
      </c>
      <c r="AAU216" s="727">
        <v>-107.533</v>
      </c>
      <c r="AAV216" s="727">
        <v>-109.517</v>
      </c>
      <c r="AAW216" s="727">
        <v>-107.217</v>
      </c>
      <c r="AAX216" s="727">
        <v>-107.717</v>
      </c>
      <c r="AAY216" s="727">
        <v>-111.97</v>
      </c>
      <c r="AAZ216" s="727">
        <v>-111.717</v>
      </c>
      <c r="ABA216" s="727">
        <v>-109.44</v>
      </c>
      <c r="ABB216" s="727">
        <v>-107.2</v>
      </c>
      <c r="ABC216" s="727">
        <v>-112.017</v>
      </c>
      <c r="ABD216" s="727">
        <v>-111.967</v>
      </c>
      <c r="ABE216" s="727">
        <v>-108.733</v>
      </c>
      <c r="ABF216" s="727">
        <v>-108.45</v>
      </c>
      <c r="ABG216" s="727">
        <v>-111.033</v>
      </c>
      <c r="ABH216" s="727">
        <v>-110.733</v>
      </c>
      <c r="ABI216" s="727">
        <v>-112.56699999999999</v>
      </c>
      <c r="ABJ216" s="727">
        <v>-112.06699999999999</v>
      </c>
      <c r="ABK216" s="727">
        <v>-112.283</v>
      </c>
      <c r="ABL216" s="727">
        <v>-118.55</v>
      </c>
      <c r="ABM216" s="727">
        <v>-114.033</v>
      </c>
      <c r="ABN216" s="727">
        <v>-115.8</v>
      </c>
      <c r="ABO216" s="727">
        <v>-117.8</v>
      </c>
      <c r="ABP216" s="727">
        <v>-120.717</v>
      </c>
      <c r="ABQ216" s="727">
        <v>-120.133</v>
      </c>
      <c r="ABR216" s="727">
        <v>-120</v>
      </c>
      <c r="ABS216" s="727">
        <v>-114.3</v>
      </c>
      <c r="ABT216" s="727">
        <v>-114.35</v>
      </c>
      <c r="ABU216" s="727">
        <v>-113.767</v>
      </c>
      <c r="ABV216" s="727">
        <v>-111.583</v>
      </c>
      <c r="ABW216" s="727">
        <v>-121.74</v>
      </c>
      <c r="ABX216" s="727">
        <v>-123.2</v>
      </c>
      <c r="ABY216" s="727">
        <v>-122.25</v>
      </c>
      <c r="ABZ216" s="727">
        <v>-122.31699999999999</v>
      </c>
      <c r="ACA216" s="727">
        <v>-124.1</v>
      </c>
      <c r="ACB216" s="727">
        <v>-124.233</v>
      </c>
      <c r="ACC216" s="727">
        <v>-122.467</v>
      </c>
      <c r="ACD216" s="727">
        <v>-120.533</v>
      </c>
      <c r="ACE216" s="727">
        <v>-122.7</v>
      </c>
      <c r="ACF216" s="727">
        <v>-123.367</v>
      </c>
      <c r="ACG216" s="727">
        <v>-120.4</v>
      </c>
      <c r="ACH216" s="727">
        <v>-71.5</v>
      </c>
      <c r="ACI216" s="727">
        <v>-70.816999999999993</v>
      </c>
      <c r="ACJ216" s="727">
        <v>-70.3</v>
      </c>
      <c r="ACK216" s="727">
        <v>-70.716999999999999</v>
      </c>
      <c r="ACL216" s="727">
        <v>-69.683000000000007</v>
      </c>
      <c r="ACM216" s="727">
        <v>-68.367000000000004</v>
      </c>
      <c r="ACN216" s="727">
        <v>-69.099999999999994</v>
      </c>
      <c r="ACO216" s="727">
        <v>-68.316999999999993</v>
      </c>
      <c r="ACP216" s="727">
        <v>-68.816999999999993</v>
      </c>
      <c r="ACQ216" s="727">
        <v>-72.516999999999996</v>
      </c>
      <c r="ACR216" s="727">
        <v>-72.3</v>
      </c>
      <c r="ACS216" s="727">
        <v>-71.3</v>
      </c>
      <c r="ACT216" s="727">
        <v>-72.566999999999993</v>
      </c>
      <c r="ACU216" s="727">
        <v>-71.417000000000002</v>
      </c>
      <c r="ACV216" s="727">
        <v>-71.183000000000007</v>
      </c>
      <c r="ACW216" s="727">
        <v>-72.266999999999996</v>
      </c>
      <c r="ACX216" s="727">
        <v>-73.150000000000006</v>
      </c>
      <c r="ACY216" s="727">
        <v>-70.283000000000001</v>
      </c>
      <c r="ACZ216" s="727">
        <v>-69.8</v>
      </c>
      <c r="ADA216" s="727">
        <v>-68.683000000000007</v>
      </c>
      <c r="ADB216" s="727">
        <v>-74.849999999999994</v>
      </c>
      <c r="ADC216" s="727">
        <v>-76.016999999999996</v>
      </c>
      <c r="ADD216" s="727">
        <v>-74.2</v>
      </c>
      <c r="ADE216" s="727">
        <v>-85.516999999999996</v>
      </c>
      <c r="ADF216" s="727">
        <v>-86.433000000000007</v>
      </c>
      <c r="ADG216" s="727">
        <v>-85.55</v>
      </c>
      <c r="ADH216" s="727">
        <v>-86.233000000000004</v>
      </c>
      <c r="ADI216" s="727">
        <v>-83.75</v>
      </c>
      <c r="ADJ216" s="727">
        <v>-83.417000000000002</v>
      </c>
      <c r="ADK216" s="727">
        <v>-84.082999999999998</v>
      </c>
      <c r="ADL216" s="727">
        <v>-84.683000000000007</v>
      </c>
      <c r="ADM216" s="727">
        <v>-85.417000000000002</v>
      </c>
      <c r="ADN216" s="727">
        <v>-86.25</v>
      </c>
      <c r="ADO216" s="727">
        <v>-85.582999999999998</v>
      </c>
      <c r="ADP216" s="727">
        <v>-83.582999999999998</v>
      </c>
      <c r="ADQ216" s="727">
        <v>-83.4</v>
      </c>
      <c r="ADR216" s="727">
        <v>-87.9</v>
      </c>
      <c r="ADS216" s="727">
        <v>-89.733000000000004</v>
      </c>
      <c r="ADT216" s="727">
        <v>-89.33</v>
      </c>
      <c r="ADU216" s="727">
        <v>-89.033000000000001</v>
      </c>
      <c r="ADV216" s="727">
        <v>-90.183000000000007</v>
      </c>
      <c r="ADW216" s="727">
        <v>-91.25</v>
      </c>
      <c r="ADX216" s="727">
        <v>-91.483000000000004</v>
      </c>
      <c r="ADY216" s="727">
        <v>-92.5</v>
      </c>
      <c r="ADZ216" s="727">
        <v>-88.132999999999996</v>
      </c>
      <c r="AEA216" s="727">
        <v>-87.683000000000007</v>
      </c>
      <c r="AEB216" s="727">
        <v>-88.55</v>
      </c>
      <c r="AEC216" s="727">
        <v>-88.516999999999996</v>
      </c>
      <c r="AED216" s="727">
        <v>-87.417000000000002</v>
      </c>
      <c r="AEE216" s="727">
        <v>-89.632999999999996</v>
      </c>
      <c r="AEF216" s="727">
        <v>-88.716999999999999</v>
      </c>
      <c r="AEG216" s="727">
        <v>-89.667000000000002</v>
      </c>
      <c r="AEH216" s="727">
        <v>-91.716999999999999</v>
      </c>
      <c r="AEI216" s="727">
        <v>-90.4</v>
      </c>
      <c r="AEJ216" s="727">
        <v>-87.033000000000001</v>
      </c>
      <c r="AEK216" s="727">
        <v>-87.632999999999996</v>
      </c>
      <c r="AEL216" s="727">
        <v>-91.983000000000004</v>
      </c>
      <c r="AEM216" s="727">
        <v>-94.75</v>
      </c>
      <c r="AEN216" s="727">
        <v>-95.15</v>
      </c>
      <c r="AEO216" s="727">
        <v>-96.75</v>
      </c>
      <c r="AEP216" s="727">
        <v>-96.816999999999993</v>
      </c>
      <c r="AEQ216" s="727">
        <v>-97.382999999999996</v>
      </c>
      <c r="AER216" s="727">
        <v>-98.216999999999999</v>
      </c>
      <c r="AES216" s="727">
        <v>-92.867000000000004</v>
      </c>
      <c r="AET216" s="727">
        <v>-98.033000000000001</v>
      </c>
      <c r="AEU216" s="727">
        <v>-97.15</v>
      </c>
      <c r="AEV216" s="727">
        <v>-95.316999999999993</v>
      </c>
      <c r="AEW216" s="727">
        <v>-94.05</v>
      </c>
      <c r="AEX216" s="727">
        <v>-94.132999999999996</v>
      </c>
      <c r="AEY216" s="727">
        <v>-95.082999999999998</v>
      </c>
      <c r="AEZ216" s="727">
        <v>-95.4</v>
      </c>
      <c r="AFA216" s="727">
        <v>-92.5</v>
      </c>
      <c r="AFB216" s="727">
        <v>-95.816999999999993</v>
      </c>
      <c r="AFC216" s="727">
        <v>-96.15</v>
      </c>
      <c r="AFD216" s="727">
        <v>-93.316999999999993</v>
      </c>
      <c r="AFE216" s="727">
        <v>-92.483000000000004</v>
      </c>
      <c r="AFF216" s="727">
        <v>-95.966999999999999</v>
      </c>
      <c r="AFG216" s="727">
        <v>-96.316999999999993</v>
      </c>
      <c r="AFH216" s="727">
        <v>-94.5</v>
      </c>
      <c r="AFI216" s="727">
        <v>-93.25</v>
      </c>
      <c r="AFJ216" s="727">
        <v>-94.382999999999996</v>
      </c>
      <c r="AFK216" s="727">
        <v>-90.183000000000007</v>
      </c>
      <c r="AFL216" s="727">
        <v>-93.35</v>
      </c>
      <c r="AFM216" s="727">
        <v>-95.082999999999998</v>
      </c>
      <c r="AFN216" s="727">
        <v>-94.35</v>
      </c>
      <c r="AFO216" s="727">
        <v>-93.45</v>
      </c>
      <c r="AFP216" s="727">
        <v>-93.233000000000004</v>
      </c>
      <c r="AFQ216" s="727">
        <v>-94.5</v>
      </c>
      <c r="AFR216" s="727">
        <v>-93.05</v>
      </c>
      <c r="AFS216" s="727">
        <v>-93.917000000000002</v>
      </c>
      <c r="AFT216" s="727">
        <v>-94.417000000000002</v>
      </c>
      <c r="AFU216" s="727">
        <v>-95.582999999999998</v>
      </c>
      <c r="AFV216" s="727">
        <v>-91.7</v>
      </c>
      <c r="AFW216" s="727">
        <v>-93.367000000000004</v>
      </c>
      <c r="AFX216" s="727">
        <v>-98.417000000000002</v>
      </c>
      <c r="AFY216" s="727">
        <v>-93.15</v>
      </c>
      <c r="AFZ216" s="727">
        <v>-103.05</v>
      </c>
      <c r="AGA216" s="727">
        <v>-103.1</v>
      </c>
      <c r="AGB216" s="727">
        <v>-87.15</v>
      </c>
      <c r="AGC216" s="727">
        <v>-105.533</v>
      </c>
      <c r="AGD216" s="727">
        <v>-106.967</v>
      </c>
      <c r="AGE216" s="727">
        <v>-107.95</v>
      </c>
      <c r="AGF216" s="727">
        <v>-104.8</v>
      </c>
      <c r="AGG216" s="727">
        <v>-100.43300000000001</v>
      </c>
      <c r="AGH216" s="727">
        <v>-100.283</v>
      </c>
      <c r="AGI216" s="727">
        <v>-109.017</v>
      </c>
      <c r="AGJ216" s="727">
        <v>-108.55</v>
      </c>
      <c r="AGK216" s="727">
        <v>-109.45</v>
      </c>
      <c r="AGL216" s="727">
        <v>-112.5</v>
      </c>
      <c r="AGM216" s="727">
        <v>-111.15</v>
      </c>
      <c r="AGN216" s="727">
        <v>-110.45</v>
      </c>
      <c r="AGO216" s="727">
        <v>-116.21</v>
      </c>
      <c r="AGP216" s="727">
        <v>-116.633</v>
      </c>
      <c r="AGQ216" s="727">
        <v>-115.867</v>
      </c>
      <c r="AGR216" s="727">
        <v>-119.02</v>
      </c>
      <c r="AGS216" s="727">
        <v>-121.167</v>
      </c>
      <c r="AGT216" s="727">
        <v>-113.883</v>
      </c>
      <c r="AGU216" s="727">
        <v>-118.833</v>
      </c>
      <c r="AGV216" s="727">
        <v>-118</v>
      </c>
      <c r="AGW216" s="727">
        <v>-117.81699999999999</v>
      </c>
      <c r="AGX216" s="727">
        <v>-123.35</v>
      </c>
      <c r="AGY216" s="727">
        <v>-124.25</v>
      </c>
      <c r="AGZ216" s="727">
        <v>-123.07</v>
      </c>
      <c r="AHA216" s="727">
        <v>-123</v>
      </c>
      <c r="AHB216" s="727">
        <v>-123.283</v>
      </c>
      <c r="AHC216" s="727">
        <v>-122.767</v>
      </c>
      <c r="AHD216" s="727">
        <v>-122.617</v>
      </c>
      <c r="AHE216" s="727">
        <v>-122.4</v>
      </c>
      <c r="AHF216" s="727">
        <v>-122.95</v>
      </c>
      <c r="AHG216" s="727">
        <v>-121.15</v>
      </c>
      <c r="AHH216" s="727">
        <v>-67.8</v>
      </c>
      <c r="AHI216" s="727">
        <v>-68.033000000000001</v>
      </c>
      <c r="AHJ216" s="727">
        <v>-68.05</v>
      </c>
      <c r="AHK216" s="727">
        <v>-69.716999999999999</v>
      </c>
      <c r="AHL216" s="727">
        <v>-84.35</v>
      </c>
      <c r="AHM216" s="727">
        <v>-84.466999999999999</v>
      </c>
      <c r="AHN216" s="727">
        <v>-84.783000000000001</v>
      </c>
      <c r="AHO216" s="727">
        <v>-89.466999999999999</v>
      </c>
      <c r="AHP216" s="727">
        <v>-88.117000000000004</v>
      </c>
      <c r="AHQ216" s="727">
        <v>-88.5</v>
      </c>
      <c r="AHR216" s="727">
        <v>-91.75</v>
      </c>
      <c r="AHS216" s="727">
        <v>-90.132999999999996</v>
      </c>
      <c r="AHT216" s="727">
        <v>-92.216999999999999</v>
      </c>
      <c r="AHU216" s="727">
        <v>-96.617000000000004</v>
      </c>
      <c r="AHV216" s="727">
        <v>-95.066999999999993</v>
      </c>
      <c r="AHW216" s="727">
        <v>-92.85</v>
      </c>
      <c r="AHX216" s="727">
        <v>-95.882999999999996</v>
      </c>
      <c r="AHY216" s="727">
        <v>-93.516999999999996</v>
      </c>
      <c r="AHZ216" s="727">
        <v>-91.832999999999998</v>
      </c>
      <c r="AIA216" s="727">
        <v>-93.4</v>
      </c>
      <c r="AIB216" s="727">
        <v>-92.566999999999993</v>
      </c>
      <c r="AIC216" s="727">
        <v>-92.5</v>
      </c>
      <c r="AID216" s="727">
        <v>-93.266999999999996</v>
      </c>
      <c r="AIE216" s="727">
        <v>-94.6</v>
      </c>
      <c r="AIF216" s="727">
        <v>-95.7</v>
      </c>
      <c r="AIG216" s="727">
        <v>-96.95</v>
      </c>
      <c r="AIH216" s="727">
        <v>-93.266999999999996</v>
      </c>
      <c r="AII216" s="727">
        <v>-93.683000000000007</v>
      </c>
      <c r="AIJ216" s="727">
        <v>-95.766999999999996</v>
      </c>
      <c r="AIK216" s="727">
        <v>-95.65</v>
      </c>
      <c r="AIL216" s="727">
        <v>-96.816999999999993</v>
      </c>
      <c r="AIM216" s="727">
        <v>-96.5</v>
      </c>
      <c r="AIN216" s="727">
        <v>-98.683000000000007</v>
      </c>
      <c r="AIO216" s="727">
        <v>-94.933000000000007</v>
      </c>
      <c r="AIP216" s="727">
        <v>-96.183000000000007</v>
      </c>
      <c r="AIQ216" s="727">
        <v>-91.4</v>
      </c>
      <c r="AIR216" s="727">
        <v>-92.933000000000007</v>
      </c>
      <c r="AIS216" s="727">
        <v>-98.917000000000002</v>
      </c>
      <c r="AIT216" s="727">
        <v>-97.4</v>
      </c>
      <c r="AIU216" s="727">
        <v>-97.183000000000007</v>
      </c>
      <c r="AIV216" s="727">
        <v>-100.77</v>
      </c>
      <c r="AIW216" s="727">
        <v>-102.8</v>
      </c>
      <c r="AIX216" s="727">
        <v>-103.65</v>
      </c>
      <c r="AIY216" s="727">
        <v>-101.35</v>
      </c>
      <c r="AIZ216" s="727">
        <v>-101.283</v>
      </c>
      <c r="AJA216" s="727">
        <v>-106.617</v>
      </c>
      <c r="AJB216" s="727">
        <v>-105.1</v>
      </c>
      <c r="AJC216" s="727">
        <v>-104.2</v>
      </c>
      <c r="AJD216" s="727">
        <v>-111.967</v>
      </c>
      <c r="AJE216" s="727">
        <v>-114.1</v>
      </c>
      <c r="AJF216" s="727">
        <v>-111.383</v>
      </c>
      <c r="AJG216" s="727">
        <v>-109.767</v>
      </c>
      <c r="AJH216" s="727">
        <v>-114.25</v>
      </c>
      <c r="AJI216" s="727">
        <v>-112.367</v>
      </c>
      <c r="AJJ216" s="727">
        <v>-120.55</v>
      </c>
      <c r="AJK216" s="727">
        <v>-121.333</v>
      </c>
      <c r="AJL216" s="727">
        <v>-120.2</v>
      </c>
      <c r="AJM216" s="727">
        <v>-119.517</v>
      </c>
      <c r="AJN216" s="727">
        <v>-119.31699999999999</v>
      </c>
      <c r="AJO216" s="727">
        <v>-117.017</v>
      </c>
      <c r="AJP216" s="727">
        <v>-116.81699999999999</v>
      </c>
      <c r="AJQ216" s="727">
        <v>-119.6</v>
      </c>
      <c r="AJR216" s="727">
        <v>-119.117</v>
      </c>
      <c r="AJS216" s="727">
        <v>-118.283</v>
      </c>
      <c r="AJT216" s="727">
        <v>-117.589</v>
      </c>
      <c r="AJU216" s="727">
        <v>-117.65</v>
      </c>
      <c r="AJV216" s="727">
        <v>-117.31699999999999</v>
      </c>
      <c r="AJW216" s="727">
        <v>-117.117</v>
      </c>
      <c r="AJX216" s="727">
        <v>-123.5</v>
      </c>
      <c r="AJY216" s="727">
        <v>-123.883</v>
      </c>
      <c r="AJZ216" s="727">
        <v>-122.9</v>
      </c>
      <c r="AKA216" s="727">
        <v>-123.93300000000001</v>
      </c>
      <c r="AKB216" s="727">
        <v>-122.9</v>
      </c>
      <c r="AKC216" s="727">
        <v>-122.8</v>
      </c>
      <c r="AKD216" s="727">
        <v>-122.75</v>
      </c>
      <c r="AKE216" s="727">
        <v>-122.31699999999999</v>
      </c>
      <c r="AKF216" s="727">
        <v>-122.217</v>
      </c>
      <c r="AKG216" s="727">
        <v>-122.25</v>
      </c>
      <c r="AKH216" s="727">
        <v>-122.283</v>
      </c>
      <c r="AKI216" s="727">
        <v>-122.583</v>
      </c>
      <c r="AKJ216" s="727">
        <v>-124.56699999999999</v>
      </c>
      <c r="AKK216" s="727">
        <v>-122.533</v>
      </c>
      <c r="AKL216" s="727">
        <v>-122.483</v>
      </c>
      <c r="AKM216" s="727">
        <v>-122.583</v>
      </c>
      <c r="AKN216" s="727">
        <v>-105.883</v>
      </c>
      <c r="AKO216" s="727">
        <v>-75.716999999999999</v>
      </c>
      <c r="AKP216" s="727">
        <v>-69.933000000000007</v>
      </c>
      <c r="AKQ216" s="727">
        <v>-71.433000000000007</v>
      </c>
      <c r="AKR216" s="727">
        <v>-88.466999999999999</v>
      </c>
      <c r="AKS216" s="727">
        <v>-73.8</v>
      </c>
      <c r="AKT216" s="727">
        <v>-73.417000000000002</v>
      </c>
      <c r="AKU216" s="727">
        <v>-72.632999999999996</v>
      </c>
      <c r="AKV216" s="727">
        <v>-71.117000000000004</v>
      </c>
      <c r="AKW216" s="727">
        <v>-72.533000000000001</v>
      </c>
      <c r="AKX216" s="727">
        <v>-72.716999999999999</v>
      </c>
      <c r="AKY216" s="727">
        <v>-122.05</v>
      </c>
      <c r="AKZ216" s="727">
        <v>-121.93300000000001</v>
      </c>
      <c r="ALA216" s="727">
        <v>-84.05</v>
      </c>
      <c r="ALB216" s="727">
        <v>-76.867000000000004</v>
      </c>
      <c r="ALC216" s="727">
        <v>-74.917000000000002</v>
      </c>
      <c r="ALD216" s="727">
        <v>-76.349999999999994</v>
      </c>
      <c r="ALE216" s="727">
        <v>-80.016999999999996</v>
      </c>
      <c r="ALF216" s="727">
        <v>-117.68300000000001</v>
      </c>
      <c r="ALG216" s="727">
        <v>-87.483000000000004</v>
      </c>
      <c r="ALH216" s="727">
        <v>-86.433000000000007</v>
      </c>
      <c r="ALI216" s="727">
        <v>-78.933000000000007</v>
      </c>
      <c r="ALJ216" s="727">
        <v>-76.25</v>
      </c>
      <c r="ALK216" s="727">
        <v>-119.95</v>
      </c>
      <c r="ALL216" s="727">
        <v>-115.583</v>
      </c>
      <c r="ALM216" s="727">
        <v>-116.167</v>
      </c>
      <c r="ALN216" s="727">
        <v>-114.717</v>
      </c>
      <c r="ALO216" s="727">
        <v>-106.1</v>
      </c>
      <c r="ALP216" s="727">
        <v>-92.55</v>
      </c>
      <c r="ALQ216" s="727">
        <v>-89.066999999999993</v>
      </c>
      <c r="ALR216" s="727">
        <v>-88.917000000000002</v>
      </c>
      <c r="ALS216" s="727">
        <v>-85.582999999999998</v>
      </c>
      <c r="ALT216" s="727">
        <v>-86.683000000000007</v>
      </c>
      <c r="ALU216" s="727">
        <v>-81.150000000000006</v>
      </c>
      <c r="ALV216" s="727">
        <v>-83.2</v>
      </c>
      <c r="ALW216" s="727">
        <v>-82.516999999999996</v>
      </c>
      <c r="ALX216" s="727">
        <v>-80.466999999999999</v>
      </c>
      <c r="ALY216" s="727">
        <v>-78.933000000000007</v>
      </c>
      <c r="ALZ216" s="727">
        <v>-78.716999999999999</v>
      </c>
      <c r="AMA216" s="727">
        <v>-80.716999999999999</v>
      </c>
      <c r="AMB216" s="727">
        <v>-159.333</v>
      </c>
      <c r="AMC216" s="727">
        <v>-157.78299999999999</v>
      </c>
      <c r="AMD216" s="727">
        <v>-158.06700000000001</v>
      </c>
      <c r="AME216" s="727">
        <v>-157.93299999999999</v>
      </c>
      <c r="AMF216" s="727">
        <v>-157.1</v>
      </c>
      <c r="AMG216" s="727">
        <v>-156.43299999999999</v>
      </c>
      <c r="AMH216" s="727">
        <v>-156.63300000000001</v>
      </c>
      <c r="AMI216" s="727">
        <v>-156.94999999999999</v>
      </c>
      <c r="AMJ216" s="727">
        <v>-156.05000000000001</v>
      </c>
      <c r="AMK216" s="732">
        <v>-155.05000000000001</v>
      </c>
    </row>
    <row r="217" spans="2:1025" x14ac:dyDescent="0.25">
      <c r="B217" s="737" t="s">
        <v>2883</v>
      </c>
      <c r="C217" s="737" t="s">
        <v>2884</v>
      </c>
      <c r="D217" s="738">
        <v>3463.2372</v>
      </c>
      <c r="E217" s="738">
        <v>2978.4180999999999</v>
      </c>
      <c r="F217" s="738">
        <v>13367.1536</v>
      </c>
      <c r="G217" s="738">
        <v>489.61063262108257</v>
      </c>
      <c r="N217" s="728" t="s">
        <v>2875</v>
      </c>
      <c r="O217" s="695" t="s">
        <v>2878</v>
      </c>
      <c r="P217" s="695" t="s">
        <v>2880</v>
      </c>
      <c r="Q217" s="695" t="s">
        <v>2882</v>
      </c>
      <c r="R217" s="695" t="s">
        <v>2884</v>
      </c>
      <c r="S217" s="695" t="s">
        <v>2886</v>
      </c>
      <c r="T217" s="695" t="s">
        <v>2888</v>
      </c>
      <c r="U217" s="695" t="s">
        <v>2890</v>
      </c>
      <c r="V217" s="695" t="s">
        <v>2892</v>
      </c>
      <c r="W217" s="695" t="s">
        <v>2894</v>
      </c>
      <c r="X217" s="695" t="s">
        <v>2896</v>
      </c>
      <c r="Y217" s="695" t="s">
        <v>2898</v>
      </c>
      <c r="Z217" s="695" t="s">
        <v>2900</v>
      </c>
      <c r="AA217" s="695" t="s">
        <v>2902</v>
      </c>
      <c r="AB217" s="695" t="s">
        <v>2904</v>
      </c>
      <c r="AC217" s="695" t="s">
        <v>2906</v>
      </c>
      <c r="AD217" s="695" t="s">
        <v>2908</v>
      </c>
      <c r="AE217" s="695" t="s">
        <v>2910</v>
      </c>
      <c r="AF217" s="695" t="s">
        <v>2912</v>
      </c>
      <c r="AG217" s="695" t="s">
        <v>2914</v>
      </c>
      <c r="AH217" s="695" t="s">
        <v>2916</v>
      </c>
      <c r="AI217" s="695" t="s">
        <v>2918</v>
      </c>
      <c r="AJ217" s="695" t="s">
        <v>2920</v>
      </c>
      <c r="AK217" s="695" t="s">
        <v>2922</v>
      </c>
      <c r="AL217" s="695" t="s">
        <v>2924</v>
      </c>
      <c r="AM217" s="695" t="s">
        <v>2926</v>
      </c>
      <c r="AN217" s="695" t="s">
        <v>2928</v>
      </c>
      <c r="AO217" s="695" t="s">
        <v>2930</v>
      </c>
      <c r="AP217" s="695" t="s">
        <v>2932</v>
      </c>
      <c r="AQ217" s="695" t="s">
        <v>2934</v>
      </c>
      <c r="AR217" s="695" t="s">
        <v>2936</v>
      </c>
      <c r="AS217" s="695" t="s">
        <v>2938</v>
      </c>
      <c r="AT217" s="695" t="s">
        <v>2940</v>
      </c>
      <c r="AU217" s="695" t="s">
        <v>2942</v>
      </c>
      <c r="AV217" s="695" t="s">
        <v>2944</v>
      </c>
      <c r="AW217" s="695" t="s">
        <v>2946</v>
      </c>
      <c r="AX217" s="695" t="s">
        <v>2948</v>
      </c>
      <c r="AY217" s="695" t="s">
        <v>2950</v>
      </c>
      <c r="AZ217" s="695" t="s">
        <v>2952</v>
      </c>
      <c r="BA217" s="695" t="s">
        <v>2954</v>
      </c>
      <c r="BB217" s="695" t="s">
        <v>2956</v>
      </c>
      <c r="BC217" s="695" t="s">
        <v>2958</v>
      </c>
      <c r="BD217" s="695" t="s">
        <v>2960</v>
      </c>
      <c r="BE217" s="695" t="s">
        <v>2962</v>
      </c>
      <c r="BF217" s="695" t="s">
        <v>2964</v>
      </c>
      <c r="BG217" s="695" t="s">
        <v>2966</v>
      </c>
      <c r="BH217" s="695" t="s">
        <v>2968</v>
      </c>
      <c r="BI217" s="695" t="s">
        <v>2970</v>
      </c>
      <c r="BJ217" s="695" t="s">
        <v>2972</v>
      </c>
      <c r="BK217" s="695" t="s">
        <v>2974</v>
      </c>
      <c r="BL217" s="695" t="s">
        <v>2976</v>
      </c>
      <c r="BM217" s="695" t="s">
        <v>2978</v>
      </c>
      <c r="BN217" s="695" t="s">
        <v>2980</v>
      </c>
      <c r="BO217" s="695" t="s">
        <v>2982</v>
      </c>
      <c r="BP217" s="695" t="s">
        <v>2984</v>
      </c>
      <c r="BQ217" s="695" t="s">
        <v>2986</v>
      </c>
      <c r="BR217" s="695" t="s">
        <v>2988</v>
      </c>
      <c r="BS217" s="695" t="s">
        <v>2990</v>
      </c>
      <c r="BT217" s="695" t="s">
        <v>2992</v>
      </c>
      <c r="BU217" s="695" t="s">
        <v>2994</v>
      </c>
      <c r="BV217" s="695" t="s">
        <v>2996</v>
      </c>
      <c r="BW217" s="695" t="s">
        <v>2998</v>
      </c>
      <c r="BX217" s="695" t="s">
        <v>3000</v>
      </c>
      <c r="BY217" s="695" t="s">
        <v>3002</v>
      </c>
      <c r="BZ217" s="695" t="s">
        <v>3004</v>
      </c>
      <c r="CA217" s="695" t="s">
        <v>3006</v>
      </c>
      <c r="CB217" s="695" t="s">
        <v>3008</v>
      </c>
      <c r="CC217" s="695" t="s">
        <v>3010</v>
      </c>
      <c r="CD217" s="695" t="s">
        <v>3012</v>
      </c>
      <c r="CE217" s="695" t="s">
        <v>3014</v>
      </c>
      <c r="CF217" s="695" t="s">
        <v>3016</v>
      </c>
      <c r="CG217" s="695" t="s">
        <v>3018</v>
      </c>
      <c r="CH217" s="695" t="s">
        <v>3020</v>
      </c>
      <c r="CI217" s="695" t="s">
        <v>3022</v>
      </c>
      <c r="CJ217" s="695" t="s">
        <v>3024</v>
      </c>
      <c r="CK217" s="695" t="s">
        <v>3026</v>
      </c>
      <c r="CL217" s="695" t="s">
        <v>3028</v>
      </c>
      <c r="CM217" s="695" t="s">
        <v>3030</v>
      </c>
      <c r="CN217" s="695" t="s">
        <v>3032</v>
      </c>
      <c r="CO217" s="695" t="s">
        <v>3034</v>
      </c>
      <c r="CP217" s="695" t="s">
        <v>3036</v>
      </c>
      <c r="CQ217" s="695" t="s">
        <v>3038</v>
      </c>
      <c r="CR217" s="695" t="s">
        <v>3040</v>
      </c>
      <c r="CS217" s="695" t="s">
        <v>3042</v>
      </c>
      <c r="CT217" s="695" t="s">
        <v>3044</v>
      </c>
      <c r="CU217" s="695" t="s">
        <v>3046</v>
      </c>
      <c r="CV217" s="695" t="s">
        <v>3048</v>
      </c>
      <c r="CW217" s="695" t="s">
        <v>3050</v>
      </c>
      <c r="CX217" s="695" t="s">
        <v>3052</v>
      </c>
      <c r="CY217" s="695" t="s">
        <v>3054</v>
      </c>
      <c r="CZ217" s="695" t="s">
        <v>3056</v>
      </c>
      <c r="DA217" s="695" t="s">
        <v>3058</v>
      </c>
      <c r="DB217" s="695" t="s">
        <v>3060</v>
      </c>
      <c r="DC217" s="695" t="s">
        <v>3062</v>
      </c>
      <c r="DD217" s="695" t="s">
        <v>3064</v>
      </c>
      <c r="DE217" s="695" t="s">
        <v>3066</v>
      </c>
      <c r="DF217" s="695" t="s">
        <v>3068</v>
      </c>
      <c r="DG217" s="695" t="s">
        <v>3070</v>
      </c>
      <c r="DH217" s="695" t="s">
        <v>3072</v>
      </c>
      <c r="DI217" s="695" t="s">
        <v>3074</v>
      </c>
      <c r="DJ217" s="695" t="s">
        <v>3076</v>
      </c>
      <c r="DK217" s="695" t="s">
        <v>3078</v>
      </c>
      <c r="DL217" s="695" t="s">
        <v>3080</v>
      </c>
      <c r="DM217" s="695" t="s">
        <v>3082</v>
      </c>
      <c r="DN217" s="695" t="s">
        <v>3084</v>
      </c>
      <c r="DO217" s="695" t="s">
        <v>3086</v>
      </c>
      <c r="DP217" s="695" t="s">
        <v>3088</v>
      </c>
      <c r="DQ217" s="695" t="s">
        <v>3090</v>
      </c>
      <c r="DR217" s="695" t="s">
        <v>3092</v>
      </c>
      <c r="DS217" s="695" t="s">
        <v>3094</v>
      </c>
      <c r="DT217" s="695" t="s">
        <v>3096</v>
      </c>
      <c r="DU217" s="695" t="s">
        <v>3098</v>
      </c>
      <c r="DV217" s="695" t="s">
        <v>3100</v>
      </c>
      <c r="DW217" s="695" t="s">
        <v>3102</v>
      </c>
      <c r="DX217" s="695" t="s">
        <v>3104</v>
      </c>
      <c r="DY217" s="695" t="s">
        <v>3106</v>
      </c>
      <c r="DZ217" s="695" t="s">
        <v>3108</v>
      </c>
      <c r="EA217" s="695" t="s">
        <v>3110</v>
      </c>
      <c r="EB217" s="695" t="s">
        <v>3112</v>
      </c>
      <c r="EC217" s="695" t="s">
        <v>3114</v>
      </c>
      <c r="ED217" s="695" t="s">
        <v>3116</v>
      </c>
      <c r="EE217" s="695" t="s">
        <v>3118</v>
      </c>
      <c r="EF217" s="695" t="s">
        <v>3120</v>
      </c>
      <c r="EG217" s="695" t="s">
        <v>3122</v>
      </c>
      <c r="EH217" s="695" t="s">
        <v>3124</v>
      </c>
      <c r="EI217" s="695" t="s">
        <v>3126</v>
      </c>
      <c r="EJ217" s="695" t="s">
        <v>3128</v>
      </c>
      <c r="EK217" s="695" t="s">
        <v>3130</v>
      </c>
      <c r="EL217" s="695" t="s">
        <v>3132</v>
      </c>
      <c r="EM217" s="695" t="s">
        <v>3134</v>
      </c>
      <c r="EN217" s="695" t="s">
        <v>3136</v>
      </c>
      <c r="EO217" s="695" t="s">
        <v>3138</v>
      </c>
      <c r="EP217" s="695" t="s">
        <v>3140</v>
      </c>
      <c r="EQ217" s="695" t="s">
        <v>3142</v>
      </c>
      <c r="ER217" s="695" t="s">
        <v>3144</v>
      </c>
      <c r="ES217" s="695" t="s">
        <v>3146</v>
      </c>
      <c r="ET217" s="695" t="s">
        <v>3148</v>
      </c>
      <c r="EU217" s="695" t="s">
        <v>3150</v>
      </c>
      <c r="EV217" s="695" t="s">
        <v>3152</v>
      </c>
      <c r="EW217" s="695" t="s">
        <v>3154</v>
      </c>
      <c r="EX217" s="695" t="s">
        <v>3156</v>
      </c>
      <c r="EY217" s="695" t="s">
        <v>3158</v>
      </c>
      <c r="EZ217" s="695" t="s">
        <v>3160</v>
      </c>
      <c r="FA217" s="695" t="s">
        <v>3162</v>
      </c>
      <c r="FB217" s="695" t="s">
        <v>3164</v>
      </c>
      <c r="FC217" s="695" t="s">
        <v>3166</v>
      </c>
      <c r="FD217" s="695" t="s">
        <v>3168</v>
      </c>
      <c r="FE217" s="695" t="s">
        <v>3170</v>
      </c>
      <c r="FF217" s="695" t="s">
        <v>3172</v>
      </c>
      <c r="FG217" s="695" t="s">
        <v>3174</v>
      </c>
      <c r="FH217" s="695" t="s">
        <v>3176</v>
      </c>
      <c r="FI217" s="695" t="s">
        <v>3178</v>
      </c>
      <c r="FJ217" s="695" t="s">
        <v>3180</v>
      </c>
      <c r="FK217" s="695" t="s">
        <v>3182</v>
      </c>
      <c r="FL217" s="695" t="s">
        <v>3184</v>
      </c>
      <c r="FM217" s="695" t="s">
        <v>3186</v>
      </c>
      <c r="FN217" s="695" t="s">
        <v>3188</v>
      </c>
      <c r="FO217" s="695" t="s">
        <v>3190</v>
      </c>
      <c r="FP217" s="695" t="s">
        <v>3192</v>
      </c>
      <c r="FQ217" s="695" t="s">
        <v>3194</v>
      </c>
      <c r="FR217" s="695" t="s">
        <v>3196</v>
      </c>
      <c r="FS217" s="695" t="s">
        <v>3198</v>
      </c>
      <c r="FT217" s="695" t="s">
        <v>3200</v>
      </c>
      <c r="FU217" s="695" t="s">
        <v>3202</v>
      </c>
      <c r="FV217" s="695" t="s">
        <v>3204</v>
      </c>
      <c r="FW217" s="695" t="s">
        <v>3206</v>
      </c>
      <c r="FX217" s="695" t="s">
        <v>3208</v>
      </c>
      <c r="FY217" s="695" t="s">
        <v>3210</v>
      </c>
      <c r="FZ217" s="695" t="s">
        <v>3212</v>
      </c>
      <c r="GA217" s="695" t="s">
        <v>3214</v>
      </c>
      <c r="GB217" s="695" t="s">
        <v>3216</v>
      </c>
      <c r="GC217" s="695" t="s">
        <v>3218</v>
      </c>
      <c r="GD217" s="695" t="s">
        <v>3220</v>
      </c>
      <c r="GE217" s="695" t="s">
        <v>3222</v>
      </c>
      <c r="GF217" s="695" t="s">
        <v>3224</v>
      </c>
      <c r="GG217" s="695" t="s">
        <v>3226</v>
      </c>
      <c r="GH217" s="695" t="s">
        <v>3228</v>
      </c>
      <c r="GI217" s="695" t="s">
        <v>3230</v>
      </c>
      <c r="GJ217" s="695" t="s">
        <v>3232</v>
      </c>
      <c r="GK217" s="695" t="s">
        <v>3234</v>
      </c>
      <c r="GL217" s="695" t="s">
        <v>3236</v>
      </c>
      <c r="GM217" s="695" t="s">
        <v>3238</v>
      </c>
      <c r="GN217" s="695" t="s">
        <v>3240</v>
      </c>
      <c r="GO217" s="695" t="s">
        <v>3242</v>
      </c>
      <c r="GP217" s="695" t="s">
        <v>3244</v>
      </c>
      <c r="GQ217" s="695" t="s">
        <v>3246</v>
      </c>
      <c r="GR217" s="695" t="s">
        <v>3248</v>
      </c>
      <c r="GS217" s="695" t="s">
        <v>3250</v>
      </c>
      <c r="GT217" s="695" t="s">
        <v>3252</v>
      </c>
      <c r="GU217" s="695" t="s">
        <v>3254</v>
      </c>
      <c r="GV217" s="695" t="s">
        <v>3256</v>
      </c>
      <c r="GW217" s="695" t="s">
        <v>3258</v>
      </c>
      <c r="GX217" s="695" t="s">
        <v>3260</v>
      </c>
      <c r="GY217" s="695" t="s">
        <v>3262</v>
      </c>
      <c r="GZ217" s="695" t="s">
        <v>3264</v>
      </c>
      <c r="HA217" s="695" t="s">
        <v>3266</v>
      </c>
      <c r="HB217" s="695" t="s">
        <v>3268</v>
      </c>
      <c r="HC217" s="695" t="s">
        <v>3270</v>
      </c>
      <c r="HD217" s="695" t="s">
        <v>3272</v>
      </c>
      <c r="HE217" s="695" t="s">
        <v>3274</v>
      </c>
      <c r="HF217" s="695" t="s">
        <v>3276</v>
      </c>
      <c r="HG217" s="695" t="s">
        <v>3278</v>
      </c>
      <c r="HH217" s="695" t="s">
        <v>3280</v>
      </c>
      <c r="HI217" s="695" t="s">
        <v>3282</v>
      </c>
      <c r="HJ217" s="695" t="s">
        <v>3284</v>
      </c>
      <c r="HK217" s="695" t="s">
        <v>3286</v>
      </c>
      <c r="HL217" s="695" t="s">
        <v>3288</v>
      </c>
      <c r="HM217" s="695" t="s">
        <v>3290</v>
      </c>
      <c r="HN217" s="695" t="s">
        <v>3292</v>
      </c>
      <c r="HO217" s="695" t="s">
        <v>3294</v>
      </c>
      <c r="HP217" s="695" t="s">
        <v>3296</v>
      </c>
      <c r="HQ217" s="695" t="s">
        <v>3298</v>
      </c>
      <c r="HR217" s="695" t="s">
        <v>3300</v>
      </c>
      <c r="HS217" s="695" t="s">
        <v>3302</v>
      </c>
      <c r="HT217" s="695" t="s">
        <v>3304</v>
      </c>
      <c r="HU217" s="695" t="s">
        <v>3306</v>
      </c>
      <c r="HV217" s="695" t="s">
        <v>3308</v>
      </c>
      <c r="HW217" s="695" t="s">
        <v>3310</v>
      </c>
      <c r="HX217" s="695" t="s">
        <v>3312</v>
      </c>
      <c r="HY217" s="695" t="s">
        <v>3314</v>
      </c>
      <c r="HZ217" s="695" t="s">
        <v>3316</v>
      </c>
      <c r="IA217" s="695" t="s">
        <v>3318</v>
      </c>
      <c r="IB217" s="695" t="s">
        <v>3320</v>
      </c>
      <c r="IC217" s="695" t="s">
        <v>3322</v>
      </c>
      <c r="ID217" s="695" t="s">
        <v>3324</v>
      </c>
      <c r="IE217" s="695" t="s">
        <v>3326</v>
      </c>
      <c r="IF217" s="695" t="s">
        <v>3328</v>
      </c>
      <c r="IG217" s="695" t="s">
        <v>3330</v>
      </c>
      <c r="IH217" s="695" t="s">
        <v>3332</v>
      </c>
      <c r="II217" s="695" t="s">
        <v>3334</v>
      </c>
      <c r="IJ217" s="695" t="s">
        <v>3336</v>
      </c>
      <c r="IK217" s="695" t="s">
        <v>3338</v>
      </c>
      <c r="IL217" s="695" t="s">
        <v>3340</v>
      </c>
      <c r="IM217" s="695" t="s">
        <v>3342</v>
      </c>
      <c r="IN217" s="695" t="s">
        <v>3344</v>
      </c>
      <c r="IO217" s="695" t="s">
        <v>3346</v>
      </c>
      <c r="IP217" s="695" t="s">
        <v>3348</v>
      </c>
      <c r="IQ217" s="695" t="s">
        <v>3350</v>
      </c>
      <c r="IR217" s="695" t="s">
        <v>3352</v>
      </c>
      <c r="IS217" s="695" t="s">
        <v>3354</v>
      </c>
      <c r="IT217" s="695" t="s">
        <v>3356</v>
      </c>
      <c r="IU217" s="695" t="s">
        <v>3358</v>
      </c>
      <c r="IV217" s="695" t="s">
        <v>3360</v>
      </c>
      <c r="IW217" s="695" t="s">
        <v>3362</v>
      </c>
      <c r="IX217" s="695" t="s">
        <v>3364</v>
      </c>
      <c r="IY217" s="695" t="s">
        <v>3366</v>
      </c>
      <c r="IZ217" s="695" t="s">
        <v>3368</v>
      </c>
      <c r="JA217" s="695" t="s">
        <v>3370</v>
      </c>
      <c r="JB217" s="695" t="s">
        <v>3372</v>
      </c>
      <c r="JC217" s="695" t="s">
        <v>3374</v>
      </c>
      <c r="JD217" s="695" t="s">
        <v>3376</v>
      </c>
      <c r="JE217" s="695" t="s">
        <v>3378</v>
      </c>
      <c r="JF217" s="695" t="s">
        <v>3380</v>
      </c>
      <c r="JG217" s="695" t="s">
        <v>3382</v>
      </c>
      <c r="JH217" s="695" t="s">
        <v>3384</v>
      </c>
      <c r="JI217" s="695" t="s">
        <v>3386</v>
      </c>
      <c r="JJ217" s="695" t="s">
        <v>3388</v>
      </c>
      <c r="JK217" s="695" t="s">
        <v>3390</v>
      </c>
      <c r="JL217" s="695" t="s">
        <v>3392</v>
      </c>
      <c r="JM217" s="695" t="s">
        <v>3394</v>
      </c>
      <c r="JN217" s="695" t="s">
        <v>3396</v>
      </c>
      <c r="JO217" s="695" t="s">
        <v>3398</v>
      </c>
      <c r="JP217" s="695" t="s">
        <v>3400</v>
      </c>
      <c r="JQ217" s="695" t="s">
        <v>3402</v>
      </c>
      <c r="JR217" s="695" t="s">
        <v>3404</v>
      </c>
      <c r="JS217" s="695" t="s">
        <v>3406</v>
      </c>
      <c r="JT217" s="695" t="s">
        <v>3408</v>
      </c>
      <c r="JU217" s="695" t="s">
        <v>3410</v>
      </c>
      <c r="JV217" s="695" t="s">
        <v>3412</v>
      </c>
      <c r="JW217" s="695" t="s">
        <v>3414</v>
      </c>
      <c r="JX217" s="695" t="s">
        <v>3416</v>
      </c>
      <c r="JY217" s="695" t="s">
        <v>3418</v>
      </c>
      <c r="JZ217" s="695" t="s">
        <v>3420</v>
      </c>
      <c r="KA217" s="695" t="s">
        <v>3422</v>
      </c>
      <c r="KB217" s="695" t="s">
        <v>3424</v>
      </c>
      <c r="KC217" s="695" t="s">
        <v>3426</v>
      </c>
      <c r="KD217" s="695" t="s">
        <v>3428</v>
      </c>
      <c r="KE217" s="695" t="s">
        <v>3430</v>
      </c>
      <c r="KF217" s="695" t="s">
        <v>3432</v>
      </c>
      <c r="KG217" s="695" t="s">
        <v>3434</v>
      </c>
      <c r="KH217" s="695" t="s">
        <v>3436</v>
      </c>
      <c r="KI217" s="695" t="s">
        <v>3438</v>
      </c>
      <c r="KJ217" s="695" t="s">
        <v>3440</v>
      </c>
      <c r="KK217" s="695" t="s">
        <v>3442</v>
      </c>
      <c r="KL217" s="695" t="s">
        <v>3444</v>
      </c>
      <c r="KM217" s="695" t="s">
        <v>3446</v>
      </c>
      <c r="KN217" s="695" t="s">
        <v>3448</v>
      </c>
      <c r="KO217" s="695" t="s">
        <v>3450</v>
      </c>
      <c r="KP217" s="695" t="s">
        <v>3452</v>
      </c>
      <c r="KQ217" s="695" t="s">
        <v>3454</v>
      </c>
      <c r="KR217" s="695" t="s">
        <v>3456</v>
      </c>
      <c r="KS217" s="695" t="s">
        <v>3458</v>
      </c>
      <c r="KT217" s="695" t="s">
        <v>3460</v>
      </c>
      <c r="KU217" s="695" t="s">
        <v>3462</v>
      </c>
      <c r="KV217" s="695" t="s">
        <v>3464</v>
      </c>
      <c r="KW217" s="695" t="s">
        <v>3466</v>
      </c>
      <c r="KX217" s="695" t="s">
        <v>3468</v>
      </c>
      <c r="KY217" s="695" t="s">
        <v>3470</v>
      </c>
      <c r="KZ217" s="695" t="s">
        <v>3472</v>
      </c>
      <c r="LA217" s="695" t="s">
        <v>3474</v>
      </c>
      <c r="LB217" s="695" t="s">
        <v>3476</v>
      </c>
      <c r="LC217" s="695" t="s">
        <v>3478</v>
      </c>
      <c r="LD217" s="695" t="s">
        <v>3480</v>
      </c>
      <c r="LE217" s="695" t="s">
        <v>3482</v>
      </c>
      <c r="LF217" s="695" t="s">
        <v>3484</v>
      </c>
      <c r="LG217" s="695" t="s">
        <v>3486</v>
      </c>
      <c r="LH217" s="695" t="s">
        <v>3488</v>
      </c>
      <c r="LI217" s="695" t="s">
        <v>3490</v>
      </c>
      <c r="LJ217" s="695" t="s">
        <v>3492</v>
      </c>
      <c r="LK217" s="695" t="s">
        <v>3494</v>
      </c>
      <c r="LL217" s="695" t="s">
        <v>3496</v>
      </c>
      <c r="LM217" s="695" t="s">
        <v>3498</v>
      </c>
      <c r="LN217" s="695" t="s">
        <v>3500</v>
      </c>
      <c r="LO217" s="695" t="s">
        <v>3502</v>
      </c>
      <c r="LP217" s="695" t="s">
        <v>3504</v>
      </c>
      <c r="LQ217" s="695" t="s">
        <v>3506</v>
      </c>
      <c r="LR217" s="695" t="s">
        <v>3508</v>
      </c>
      <c r="LS217" s="695" t="s">
        <v>3510</v>
      </c>
      <c r="LT217" s="695" t="s">
        <v>3512</v>
      </c>
      <c r="LU217" s="695" t="s">
        <v>3514</v>
      </c>
      <c r="LV217" s="695" t="s">
        <v>3516</v>
      </c>
      <c r="LW217" s="695" t="s">
        <v>3518</v>
      </c>
      <c r="LX217" s="695" t="s">
        <v>3520</v>
      </c>
      <c r="LY217" s="695" t="s">
        <v>3522</v>
      </c>
      <c r="LZ217" s="695" t="s">
        <v>3524</v>
      </c>
      <c r="MA217" s="695" t="s">
        <v>3526</v>
      </c>
      <c r="MB217" s="695" t="s">
        <v>3528</v>
      </c>
      <c r="MC217" s="695" t="s">
        <v>3530</v>
      </c>
      <c r="MD217" s="695" t="s">
        <v>3532</v>
      </c>
      <c r="ME217" s="695" t="s">
        <v>3534</v>
      </c>
      <c r="MF217" s="695" t="s">
        <v>3536</v>
      </c>
      <c r="MG217" s="695" t="s">
        <v>3538</v>
      </c>
      <c r="MH217" s="695" t="s">
        <v>3540</v>
      </c>
      <c r="MI217" s="695" t="s">
        <v>3542</v>
      </c>
      <c r="MJ217" s="695" t="s">
        <v>3544</v>
      </c>
      <c r="MK217" s="695" t="s">
        <v>3546</v>
      </c>
      <c r="ML217" s="695" t="s">
        <v>3548</v>
      </c>
      <c r="MM217" s="695" t="s">
        <v>3550</v>
      </c>
      <c r="MN217" s="695" t="s">
        <v>3552</v>
      </c>
      <c r="MO217" s="695" t="s">
        <v>3554</v>
      </c>
      <c r="MP217" s="695" t="s">
        <v>3556</v>
      </c>
      <c r="MQ217" s="695" t="s">
        <v>3558</v>
      </c>
      <c r="MR217" s="695" t="s">
        <v>3560</v>
      </c>
      <c r="MS217" s="695" t="s">
        <v>3562</v>
      </c>
      <c r="MT217" s="695" t="s">
        <v>3564</v>
      </c>
      <c r="MU217" s="695" t="s">
        <v>3566</v>
      </c>
      <c r="MV217" s="695" t="s">
        <v>3568</v>
      </c>
      <c r="MW217" s="695" t="s">
        <v>3570</v>
      </c>
      <c r="MX217" s="695" t="s">
        <v>3572</v>
      </c>
      <c r="MY217" s="695" t="s">
        <v>3574</v>
      </c>
      <c r="MZ217" s="695" t="s">
        <v>3576</v>
      </c>
      <c r="NA217" s="695" t="s">
        <v>3578</v>
      </c>
      <c r="NB217" s="695" t="s">
        <v>3580</v>
      </c>
      <c r="NC217" s="695" t="s">
        <v>3582</v>
      </c>
      <c r="ND217" s="695" t="s">
        <v>3584</v>
      </c>
      <c r="NE217" s="695" t="s">
        <v>3586</v>
      </c>
      <c r="NF217" s="695" t="s">
        <v>3588</v>
      </c>
      <c r="NG217" s="695" t="s">
        <v>3590</v>
      </c>
      <c r="NH217" s="695" t="s">
        <v>3592</v>
      </c>
      <c r="NI217" s="695" t="s">
        <v>3594</v>
      </c>
      <c r="NJ217" s="695" t="s">
        <v>3596</v>
      </c>
      <c r="NK217" s="695" t="s">
        <v>3598</v>
      </c>
      <c r="NL217" s="695" t="s">
        <v>3600</v>
      </c>
      <c r="NM217" s="695" t="s">
        <v>3602</v>
      </c>
      <c r="NN217" s="695" t="s">
        <v>3604</v>
      </c>
      <c r="NO217" s="695" t="s">
        <v>3606</v>
      </c>
      <c r="NP217" s="695" t="s">
        <v>3608</v>
      </c>
      <c r="NQ217" s="695" t="s">
        <v>3610</v>
      </c>
      <c r="NR217" s="695" t="s">
        <v>3612</v>
      </c>
      <c r="NS217" s="695" t="s">
        <v>3614</v>
      </c>
      <c r="NT217" s="695" t="s">
        <v>3616</v>
      </c>
      <c r="NU217" s="695" t="s">
        <v>3618</v>
      </c>
      <c r="NV217" s="695" t="s">
        <v>3620</v>
      </c>
      <c r="NW217" s="695" t="s">
        <v>3622</v>
      </c>
      <c r="NX217" s="695" t="s">
        <v>3624</v>
      </c>
      <c r="NY217" s="695" t="s">
        <v>3626</v>
      </c>
      <c r="NZ217" s="695" t="s">
        <v>3628</v>
      </c>
      <c r="OA217" s="695" t="s">
        <v>3630</v>
      </c>
      <c r="OB217" s="695" t="s">
        <v>3632</v>
      </c>
      <c r="OC217" s="695" t="s">
        <v>3634</v>
      </c>
      <c r="OD217" s="695" t="s">
        <v>3636</v>
      </c>
      <c r="OE217" s="695" t="s">
        <v>3638</v>
      </c>
      <c r="OF217" s="695" t="s">
        <v>3640</v>
      </c>
      <c r="OG217" s="695" t="s">
        <v>3642</v>
      </c>
      <c r="OH217" s="695" t="s">
        <v>3644</v>
      </c>
      <c r="OI217" s="695" t="s">
        <v>3646</v>
      </c>
      <c r="OJ217" s="695" t="s">
        <v>3648</v>
      </c>
      <c r="OK217" s="695" t="s">
        <v>3650</v>
      </c>
      <c r="OL217" s="695" t="s">
        <v>3652</v>
      </c>
      <c r="OM217" s="695" t="s">
        <v>3654</v>
      </c>
      <c r="ON217" s="695" t="s">
        <v>3656</v>
      </c>
      <c r="OO217" s="695" t="s">
        <v>3658</v>
      </c>
      <c r="OP217" s="695" t="s">
        <v>3660</v>
      </c>
      <c r="OQ217" s="695" t="s">
        <v>3662</v>
      </c>
      <c r="OR217" s="695" t="s">
        <v>3664</v>
      </c>
      <c r="OS217" s="695" t="s">
        <v>3666</v>
      </c>
      <c r="OT217" s="695" t="s">
        <v>3668</v>
      </c>
      <c r="OU217" s="695" t="s">
        <v>3670</v>
      </c>
      <c r="OV217" s="695" t="s">
        <v>3672</v>
      </c>
      <c r="OW217" s="695" t="s">
        <v>3674</v>
      </c>
      <c r="OX217" s="695" t="s">
        <v>3676</v>
      </c>
      <c r="OY217" s="695" t="s">
        <v>3678</v>
      </c>
      <c r="OZ217" s="695" t="s">
        <v>3680</v>
      </c>
      <c r="PA217" s="695" t="s">
        <v>3682</v>
      </c>
      <c r="PB217" s="695" t="s">
        <v>3684</v>
      </c>
      <c r="PC217" s="695" t="s">
        <v>3686</v>
      </c>
      <c r="PD217" s="695" t="s">
        <v>3688</v>
      </c>
      <c r="PE217" s="695" t="s">
        <v>3690</v>
      </c>
      <c r="PF217" s="695" t="s">
        <v>3692</v>
      </c>
      <c r="PG217" s="695" t="s">
        <v>3694</v>
      </c>
      <c r="PH217" s="695" t="s">
        <v>3696</v>
      </c>
      <c r="PI217" s="695" t="s">
        <v>3698</v>
      </c>
      <c r="PJ217" s="695" t="s">
        <v>3700</v>
      </c>
      <c r="PK217" s="695" t="s">
        <v>3702</v>
      </c>
      <c r="PL217" s="695" t="s">
        <v>3704</v>
      </c>
      <c r="PM217" s="695" t="s">
        <v>3706</v>
      </c>
      <c r="PN217" s="695" t="s">
        <v>3708</v>
      </c>
      <c r="PO217" s="695" t="s">
        <v>3710</v>
      </c>
      <c r="PP217" s="695" t="s">
        <v>3712</v>
      </c>
      <c r="PQ217" s="695" t="s">
        <v>3714</v>
      </c>
      <c r="PR217" s="695" t="s">
        <v>3716</v>
      </c>
      <c r="PS217" s="695" t="s">
        <v>3718</v>
      </c>
      <c r="PT217" s="695" t="s">
        <v>3720</v>
      </c>
      <c r="PU217" s="695" t="s">
        <v>3722</v>
      </c>
      <c r="PV217" s="695" t="s">
        <v>3724</v>
      </c>
      <c r="PW217" s="695" t="s">
        <v>3726</v>
      </c>
      <c r="PX217" s="695" t="s">
        <v>3728</v>
      </c>
      <c r="PY217" s="695" t="s">
        <v>3730</v>
      </c>
      <c r="PZ217" s="695" t="s">
        <v>3732</v>
      </c>
      <c r="QA217" s="695" t="s">
        <v>3734</v>
      </c>
      <c r="QB217" s="695" t="s">
        <v>3736</v>
      </c>
      <c r="QC217" s="695" t="s">
        <v>3738</v>
      </c>
      <c r="QD217" s="695" t="s">
        <v>3740</v>
      </c>
      <c r="QE217" s="695" t="s">
        <v>3742</v>
      </c>
      <c r="QF217" s="695" t="s">
        <v>3744</v>
      </c>
      <c r="QG217" s="695" t="s">
        <v>3746</v>
      </c>
      <c r="QH217" s="695" t="s">
        <v>3748</v>
      </c>
      <c r="QI217" s="695" t="s">
        <v>3750</v>
      </c>
      <c r="QJ217" s="695" t="s">
        <v>3752</v>
      </c>
      <c r="QK217" s="695" t="s">
        <v>3754</v>
      </c>
      <c r="QL217" s="695" t="s">
        <v>3756</v>
      </c>
      <c r="QM217" s="695" t="s">
        <v>3758</v>
      </c>
      <c r="QN217" s="695" t="s">
        <v>3760</v>
      </c>
      <c r="QO217" s="695" t="s">
        <v>3762</v>
      </c>
      <c r="QP217" s="695" t="s">
        <v>3764</v>
      </c>
      <c r="QQ217" s="695" t="s">
        <v>3766</v>
      </c>
      <c r="QR217" s="695" t="s">
        <v>3768</v>
      </c>
      <c r="QS217" s="695" t="s">
        <v>3770</v>
      </c>
      <c r="QT217" s="695" t="s">
        <v>3772</v>
      </c>
      <c r="QU217" s="695" t="s">
        <v>3774</v>
      </c>
      <c r="QV217" s="695" t="s">
        <v>3776</v>
      </c>
      <c r="QW217" s="695" t="s">
        <v>3778</v>
      </c>
      <c r="QX217" s="695" t="s">
        <v>3780</v>
      </c>
      <c r="QY217" s="695" t="s">
        <v>3782</v>
      </c>
      <c r="QZ217" s="695" t="s">
        <v>3784</v>
      </c>
      <c r="RA217" s="695" t="s">
        <v>3786</v>
      </c>
      <c r="RB217" s="695" t="s">
        <v>3788</v>
      </c>
      <c r="RC217" s="695" t="s">
        <v>3790</v>
      </c>
      <c r="RD217" s="695" t="s">
        <v>3792</v>
      </c>
      <c r="RE217" s="695" t="s">
        <v>3794</v>
      </c>
      <c r="RF217" s="695" t="s">
        <v>3796</v>
      </c>
      <c r="RG217" s="695" t="s">
        <v>3798</v>
      </c>
      <c r="RH217" s="695" t="s">
        <v>3800</v>
      </c>
      <c r="RI217" s="695" t="s">
        <v>3802</v>
      </c>
      <c r="RJ217" s="695" t="s">
        <v>3804</v>
      </c>
      <c r="RK217" s="695" t="s">
        <v>3806</v>
      </c>
      <c r="RL217" s="695" t="s">
        <v>3808</v>
      </c>
      <c r="RM217" s="695" t="s">
        <v>3810</v>
      </c>
      <c r="RN217" s="695" t="s">
        <v>3812</v>
      </c>
      <c r="RO217" s="695" t="s">
        <v>3814</v>
      </c>
      <c r="RP217" s="695" t="s">
        <v>3816</v>
      </c>
      <c r="RQ217" s="695" t="s">
        <v>3818</v>
      </c>
      <c r="RR217" s="695" t="s">
        <v>3820</v>
      </c>
      <c r="RS217" s="695" t="s">
        <v>3822</v>
      </c>
      <c r="RT217" s="695" t="s">
        <v>3824</v>
      </c>
      <c r="RU217" s="695" t="s">
        <v>3826</v>
      </c>
      <c r="RV217" s="695" t="s">
        <v>3828</v>
      </c>
      <c r="RW217" s="695" t="s">
        <v>3830</v>
      </c>
      <c r="RX217" s="695" t="s">
        <v>3832</v>
      </c>
      <c r="RY217" s="695" t="s">
        <v>3834</v>
      </c>
      <c r="RZ217" s="695" t="s">
        <v>3836</v>
      </c>
      <c r="SA217" s="695" t="s">
        <v>3838</v>
      </c>
      <c r="SB217" s="695" t="s">
        <v>3840</v>
      </c>
      <c r="SC217" s="695" t="s">
        <v>3842</v>
      </c>
      <c r="SD217" s="695" t="s">
        <v>3844</v>
      </c>
      <c r="SE217" s="695" t="s">
        <v>3846</v>
      </c>
      <c r="SF217" s="695" t="s">
        <v>3848</v>
      </c>
      <c r="SG217" s="695" t="s">
        <v>3850</v>
      </c>
      <c r="SH217" s="695" t="s">
        <v>3852</v>
      </c>
      <c r="SI217" s="695" t="s">
        <v>3854</v>
      </c>
      <c r="SJ217" s="695" t="s">
        <v>3856</v>
      </c>
      <c r="SK217" s="695" t="s">
        <v>3858</v>
      </c>
      <c r="SL217" s="695" t="s">
        <v>3860</v>
      </c>
      <c r="SM217" s="695" t="s">
        <v>3862</v>
      </c>
      <c r="SN217" s="695" t="s">
        <v>3864</v>
      </c>
      <c r="SO217" s="695" t="s">
        <v>3866</v>
      </c>
      <c r="SP217" s="695" t="s">
        <v>3868</v>
      </c>
      <c r="SQ217" s="695" t="s">
        <v>3870</v>
      </c>
      <c r="SR217" s="695" t="s">
        <v>3872</v>
      </c>
      <c r="SS217" s="695" t="s">
        <v>3874</v>
      </c>
      <c r="ST217" s="695" t="s">
        <v>3876</v>
      </c>
      <c r="SU217" s="695" t="s">
        <v>3878</v>
      </c>
      <c r="SV217" s="695" t="s">
        <v>3880</v>
      </c>
      <c r="SW217" s="695" t="s">
        <v>3882</v>
      </c>
      <c r="SX217" s="695" t="s">
        <v>3884</v>
      </c>
      <c r="SY217" s="695" t="s">
        <v>3886</v>
      </c>
      <c r="SZ217" s="695" t="s">
        <v>3888</v>
      </c>
      <c r="TA217" s="695" t="s">
        <v>3890</v>
      </c>
      <c r="TB217" s="695" t="s">
        <v>3892</v>
      </c>
      <c r="TC217" s="695" t="s">
        <v>3894</v>
      </c>
      <c r="TD217" s="695" t="s">
        <v>3896</v>
      </c>
      <c r="TE217" s="695" t="s">
        <v>3898</v>
      </c>
      <c r="TF217" s="695" t="s">
        <v>3900</v>
      </c>
      <c r="TG217" s="695" t="s">
        <v>3902</v>
      </c>
      <c r="TH217" s="695" t="s">
        <v>3904</v>
      </c>
      <c r="TI217" s="695" t="s">
        <v>3906</v>
      </c>
      <c r="TJ217" s="695" t="s">
        <v>3908</v>
      </c>
      <c r="TK217" s="695" t="s">
        <v>3910</v>
      </c>
      <c r="TL217" s="695" t="s">
        <v>3912</v>
      </c>
      <c r="TM217" s="695" t="s">
        <v>3914</v>
      </c>
      <c r="TN217" s="695" t="s">
        <v>3916</v>
      </c>
      <c r="TO217" s="695" t="s">
        <v>3918</v>
      </c>
      <c r="TP217" s="695" t="s">
        <v>3920</v>
      </c>
      <c r="TQ217" s="695" t="s">
        <v>3922</v>
      </c>
      <c r="TR217" s="695" t="s">
        <v>3924</v>
      </c>
      <c r="TS217" s="695" t="s">
        <v>3926</v>
      </c>
      <c r="TT217" s="695" t="s">
        <v>3928</v>
      </c>
      <c r="TU217" s="695" t="s">
        <v>3930</v>
      </c>
      <c r="TV217" s="695" t="s">
        <v>3932</v>
      </c>
      <c r="TW217" s="695" t="s">
        <v>3934</v>
      </c>
      <c r="TX217" s="695" t="s">
        <v>3936</v>
      </c>
      <c r="TY217" s="695" t="s">
        <v>3938</v>
      </c>
      <c r="TZ217" s="695" t="s">
        <v>3940</v>
      </c>
      <c r="UA217" s="695" t="s">
        <v>3942</v>
      </c>
      <c r="UB217" s="695" t="s">
        <v>3944</v>
      </c>
      <c r="UC217" s="695" t="s">
        <v>3946</v>
      </c>
      <c r="UD217" s="695" t="s">
        <v>3948</v>
      </c>
      <c r="UE217" s="695" t="s">
        <v>3950</v>
      </c>
      <c r="UF217" s="695" t="s">
        <v>3952</v>
      </c>
      <c r="UG217" s="695" t="s">
        <v>3954</v>
      </c>
      <c r="UH217" s="695" t="s">
        <v>3956</v>
      </c>
      <c r="UI217" s="695" t="s">
        <v>3958</v>
      </c>
      <c r="UJ217" s="695" t="s">
        <v>3960</v>
      </c>
      <c r="UK217" s="695" t="s">
        <v>3962</v>
      </c>
      <c r="UL217" s="695" t="s">
        <v>3964</v>
      </c>
      <c r="UM217" s="695" t="s">
        <v>3966</v>
      </c>
      <c r="UN217" s="695" t="s">
        <v>3968</v>
      </c>
      <c r="UO217" s="695" t="s">
        <v>3970</v>
      </c>
      <c r="UP217" s="695" t="s">
        <v>3972</v>
      </c>
      <c r="UQ217" s="695" t="s">
        <v>3974</v>
      </c>
      <c r="UR217" s="695" t="s">
        <v>3976</v>
      </c>
      <c r="US217" s="695" t="s">
        <v>3978</v>
      </c>
      <c r="UT217" s="695" t="s">
        <v>3980</v>
      </c>
      <c r="UU217" s="695" t="s">
        <v>3982</v>
      </c>
      <c r="UV217" s="695" t="s">
        <v>3984</v>
      </c>
      <c r="UW217" s="695" t="s">
        <v>3986</v>
      </c>
      <c r="UX217" s="695" t="s">
        <v>3988</v>
      </c>
      <c r="UY217" s="695" t="s">
        <v>3990</v>
      </c>
      <c r="UZ217" s="695" t="s">
        <v>3992</v>
      </c>
      <c r="VA217" s="695" t="s">
        <v>3994</v>
      </c>
      <c r="VB217" s="695" t="s">
        <v>3996</v>
      </c>
      <c r="VC217" s="695" t="s">
        <v>3998</v>
      </c>
      <c r="VD217" s="695" t="s">
        <v>4000</v>
      </c>
      <c r="VE217" s="695" t="s">
        <v>4002</v>
      </c>
      <c r="VF217" s="695" t="s">
        <v>4004</v>
      </c>
      <c r="VG217" s="695" t="s">
        <v>4006</v>
      </c>
      <c r="VH217" s="695" t="s">
        <v>4008</v>
      </c>
      <c r="VI217" s="695" t="s">
        <v>4010</v>
      </c>
      <c r="VJ217" s="695" t="s">
        <v>4012</v>
      </c>
      <c r="VK217" s="695" t="s">
        <v>4014</v>
      </c>
      <c r="VL217" s="695" t="s">
        <v>4016</v>
      </c>
      <c r="VM217" s="695" t="s">
        <v>4018</v>
      </c>
      <c r="VN217" s="695" t="s">
        <v>4020</v>
      </c>
      <c r="VO217" s="695" t="s">
        <v>4022</v>
      </c>
      <c r="VP217" s="695" t="s">
        <v>4024</v>
      </c>
      <c r="VQ217" s="695" t="s">
        <v>4026</v>
      </c>
      <c r="VR217" s="695" t="s">
        <v>4028</v>
      </c>
      <c r="VS217" s="695" t="s">
        <v>4030</v>
      </c>
      <c r="VT217" s="695" t="s">
        <v>4032</v>
      </c>
      <c r="VU217" s="695" t="s">
        <v>4034</v>
      </c>
      <c r="VV217" s="695" t="s">
        <v>4036</v>
      </c>
      <c r="VW217" s="695" t="s">
        <v>4038</v>
      </c>
      <c r="VX217" s="695" t="s">
        <v>4040</v>
      </c>
      <c r="VY217" s="695" t="s">
        <v>4042</v>
      </c>
      <c r="VZ217" s="695" t="s">
        <v>4044</v>
      </c>
      <c r="WA217" s="695" t="s">
        <v>4046</v>
      </c>
      <c r="WB217" s="695" t="s">
        <v>4048</v>
      </c>
      <c r="WC217" s="695" t="s">
        <v>4050</v>
      </c>
      <c r="WD217" s="695" t="s">
        <v>4052</v>
      </c>
      <c r="WE217" s="695" t="s">
        <v>4054</v>
      </c>
      <c r="WF217" s="695" t="s">
        <v>4056</v>
      </c>
      <c r="WG217" s="695" t="s">
        <v>4058</v>
      </c>
      <c r="WH217" s="695" t="s">
        <v>4060</v>
      </c>
      <c r="WI217" s="695" t="s">
        <v>4062</v>
      </c>
      <c r="WJ217" s="695" t="s">
        <v>4064</v>
      </c>
      <c r="WK217" s="695" t="s">
        <v>4066</v>
      </c>
      <c r="WL217" s="695" t="s">
        <v>4068</v>
      </c>
      <c r="WM217" s="695" t="s">
        <v>4070</v>
      </c>
      <c r="WN217" s="695" t="s">
        <v>4072</v>
      </c>
      <c r="WO217" s="695" t="s">
        <v>4074</v>
      </c>
      <c r="WP217" s="695" t="s">
        <v>4076</v>
      </c>
      <c r="WQ217" s="695" t="s">
        <v>4078</v>
      </c>
      <c r="WR217" s="695" t="s">
        <v>4080</v>
      </c>
      <c r="WS217" s="695" t="s">
        <v>4082</v>
      </c>
      <c r="WT217" s="695" t="s">
        <v>4084</v>
      </c>
      <c r="WU217" s="695" t="s">
        <v>4086</v>
      </c>
      <c r="WV217" s="695" t="s">
        <v>4088</v>
      </c>
      <c r="WW217" s="695" t="s">
        <v>4090</v>
      </c>
      <c r="WX217" s="695" t="s">
        <v>4092</v>
      </c>
      <c r="WY217" s="695" t="s">
        <v>4094</v>
      </c>
      <c r="WZ217" s="695" t="s">
        <v>4096</v>
      </c>
      <c r="XA217" s="695" t="s">
        <v>4098</v>
      </c>
      <c r="XB217" s="695" t="s">
        <v>4100</v>
      </c>
      <c r="XC217" s="695" t="s">
        <v>4102</v>
      </c>
      <c r="XD217" s="695" t="s">
        <v>4104</v>
      </c>
      <c r="XE217" s="695" t="s">
        <v>4106</v>
      </c>
      <c r="XF217" s="695" t="s">
        <v>4108</v>
      </c>
      <c r="XG217" s="695" t="s">
        <v>4110</v>
      </c>
      <c r="XH217" s="695" t="s">
        <v>4112</v>
      </c>
      <c r="XI217" s="695" t="s">
        <v>4114</v>
      </c>
      <c r="XJ217" s="695" t="s">
        <v>4116</v>
      </c>
      <c r="XK217" s="695" t="s">
        <v>4118</v>
      </c>
      <c r="XL217" s="695" t="s">
        <v>4120</v>
      </c>
      <c r="XM217" s="695" t="s">
        <v>4122</v>
      </c>
      <c r="XN217" s="695" t="s">
        <v>4124</v>
      </c>
      <c r="XO217" s="695" t="s">
        <v>4126</v>
      </c>
      <c r="XP217" s="695" t="s">
        <v>4128</v>
      </c>
      <c r="XQ217" s="695" t="s">
        <v>4130</v>
      </c>
      <c r="XR217" s="695" t="s">
        <v>4132</v>
      </c>
      <c r="XS217" s="695" t="s">
        <v>4134</v>
      </c>
      <c r="XT217" s="695" t="s">
        <v>4136</v>
      </c>
      <c r="XU217" s="695" t="s">
        <v>4138</v>
      </c>
      <c r="XV217" s="695" t="s">
        <v>4140</v>
      </c>
      <c r="XW217" s="695" t="s">
        <v>4142</v>
      </c>
      <c r="XX217" s="695" t="s">
        <v>4144</v>
      </c>
      <c r="XY217" s="695" t="s">
        <v>4146</v>
      </c>
      <c r="XZ217" s="695" t="s">
        <v>4148</v>
      </c>
      <c r="YA217" s="695" t="s">
        <v>4150</v>
      </c>
      <c r="YB217" s="695" t="s">
        <v>4152</v>
      </c>
      <c r="YC217" s="695" t="s">
        <v>4154</v>
      </c>
      <c r="YD217" s="695" t="s">
        <v>4156</v>
      </c>
      <c r="YE217" s="695" t="s">
        <v>4158</v>
      </c>
      <c r="YF217" s="695" t="s">
        <v>4160</v>
      </c>
      <c r="YG217" s="695" t="s">
        <v>4162</v>
      </c>
      <c r="YH217" s="695" t="s">
        <v>4164</v>
      </c>
      <c r="YI217" s="695" t="s">
        <v>4166</v>
      </c>
      <c r="YJ217" s="695" t="s">
        <v>4168</v>
      </c>
      <c r="YK217" s="695" t="s">
        <v>4170</v>
      </c>
      <c r="YL217" s="695" t="s">
        <v>4172</v>
      </c>
      <c r="YM217" s="695" t="s">
        <v>4174</v>
      </c>
      <c r="YN217" s="695" t="s">
        <v>4176</v>
      </c>
      <c r="YO217" s="695" t="s">
        <v>4178</v>
      </c>
      <c r="YP217" s="695" t="s">
        <v>4180</v>
      </c>
      <c r="YQ217" s="695" t="s">
        <v>4182</v>
      </c>
      <c r="YR217" s="695" t="s">
        <v>4184</v>
      </c>
      <c r="YS217" s="695" t="s">
        <v>4186</v>
      </c>
      <c r="YT217" s="695" t="s">
        <v>4188</v>
      </c>
      <c r="YU217" s="695" t="s">
        <v>4190</v>
      </c>
      <c r="YV217" s="695" t="s">
        <v>4192</v>
      </c>
      <c r="YW217" s="695" t="s">
        <v>4194</v>
      </c>
      <c r="YX217" s="695" t="s">
        <v>4196</v>
      </c>
      <c r="YY217" s="695" t="s">
        <v>4198</v>
      </c>
      <c r="YZ217" s="695" t="s">
        <v>4200</v>
      </c>
      <c r="ZA217" s="695" t="s">
        <v>4202</v>
      </c>
      <c r="ZB217" s="695" t="s">
        <v>4204</v>
      </c>
      <c r="ZC217" s="695" t="s">
        <v>4206</v>
      </c>
      <c r="ZD217" s="695" t="s">
        <v>4208</v>
      </c>
      <c r="ZE217" s="695" t="s">
        <v>4210</v>
      </c>
      <c r="ZF217" s="695" t="s">
        <v>4212</v>
      </c>
      <c r="ZG217" s="695" t="s">
        <v>4214</v>
      </c>
      <c r="ZH217" s="695" t="s">
        <v>4216</v>
      </c>
      <c r="ZI217" s="695" t="s">
        <v>4218</v>
      </c>
      <c r="ZJ217" s="695" t="s">
        <v>4220</v>
      </c>
      <c r="ZK217" s="695" t="s">
        <v>4222</v>
      </c>
      <c r="ZL217" s="695" t="s">
        <v>4224</v>
      </c>
      <c r="ZM217" s="695" t="s">
        <v>4226</v>
      </c>
      <c r="ZN217" s="695" t="s">
        <v>4228</v>
      </c>
      <c r="ZO217" s="695" t="s">
        <v>4230</v>
      </c>
      <c r="ZP217" s="695" t="s">
        <v>4232</v>
      </c>
      <c r="ZQ217" s="695" t="s">
        <v>4234</v>
      </c>
      <c r="ZR217" s="695" t="s">
        <v>4236</v>
      </c>
      <c r="ZS217" s="695" t="s">
        <v>4238</v>
      </c>
      <c r="ZT217" s="695" t="s">
        <v>4240</v>
      </c>
      <c r="ZU217" s="695" t="s">
        <v>4242</v>
      </c>
      <c r="ZV217" s="695" t="s">
        <v>4244</v>
      </c>
      <c r="ZW217" s="695" t="s">
        <v>4246</v>
      </c>
      <c r="ZX217" s="695" t="s">
        <v>4248</v>
      </c>
      <c r="ZY217" s="695" t="s">
        <v>4250</v>
      </c>
      <c r="ZZ217" s="695" t="s">
        <v>4252</v>
      </c>
      <c r="AAA217" s="695" t="s">
        <v>4254</v>
      </c>
      <c r="AAB217" s="695" t="s">
        <v>4256</v>
      </c>
      <c r="AAC217" s="695" t="s">
        <v>4258</v>
      </c>
      <c r="AAD217" s="695" t="s">
        <v>4260</v>
      </c>
      <c r="AAE217" s="695" t="s">
        <v>4262</v>
      </c>
      <c r="AAF217" s="695" t="s">
        <v>4264</v>
      </c>
      <c r="AAG217" s="695" t="s">
        <v>4266</v>
      </c>
      <c r="AAH217" s="695" t="s">
        <v>4268</v>
      </c>
      <c r="AAI217" s="695" t="s">
        <v>4270</v>
      </c>
      <c r="AAJ217" s="695" t="s">
        <v>4272</v>
      </c>
      <c r="AAK217" s="695" t="s">
        <v>4274</v>
      </c>
      <c r="AAL217" s="695" t="s">
        <v>4276</v>
      </c>
      <c r="AAM217" s="695" t="s">
        <v>4278</v>
      </c>
      <c r="AAN217" s="695" t="s">
        <v>4280</v>
      </c>
      <c r="AAO217" s="695" t="s">
        <v>4282</v>
      </c>
      <c r="AAP217" s="695" t="s">
        <v>4284</v>
      </c>
      <c r="AAQ217" s="695" t="s">
        <v>4286</v>
      </c>
      <c r="AAR217" s="695" t="s">
        <v>4288</v>
      </c>
      <c r="AAS217" s="695" t="s">
        <v>4290</v>
      </c>
      <c r="AAT217" s="695" t="s">
        <v>4292</v>
      </c>
      <c r="AAU217" s="695" t="s">
        <v>4294</v>
      </c>
      <c r="AAV217" s="695" t="s">
        <v>4296</v>
      </c>
      <c r="AAW217" s="695" t="s">
        <v>4298</v>
      </c>
      <c r="AAX217" s="695" t="s">
        <v>4300</v>
      </c>
      <c r="AAY217" s="695" t="s">
        <v>4302</v>
      </c>
      <c r="AAZ217" s="695" t="s">
        <v>4304</v>
      </c>
      <c r="ABA217" s="695" t="s">
        <v>4306</v>
      </c>
      <c r="ABB217" s="695" t="s">
        <v>4308</v>
      </c>
      <c r="ABC217" s="695" t="s">
        <v>4310</v>
      </c>
      <c r="ABD217" s="695" t="s">
        <v>4312</v>
      </c>
      <c r="ABE217" s="695" t="s">
        <v>4314</v>
      </c>
      <c r="ABF217" s="695" t="s">
        <v>4316</v>
      </c>
      <c r="ABG217" s="695" t="s">
        <v>4318</v>
      </c>
      <c r="ABH217" s="695" t="s">
        <v>4320</v>
      </c>
      <c r="ABI217" s="695" t="s">
        <v>4322</v>
      </c>
      <c r="ABJ217" s="695" t="s">
        <v>4324</v>
      </c>
      <c r="ABK217" s="695" t="s">
        <v>4326</v>
      </c>
      <c r="ABL217" s="695" t="s">
        <v>4328</v>
      </c>
      <c r="ABM217" s="695" t="s">
        <v>4330</v>
      </c>
      <c r="ABN217" s="695" t="s">
        <v>4332</v>
      </c>
      <c r="ABO217" s="695" t="s">
        <v>4334</v>
      </c>
      <c r="ABP217" s="695" t="s">
        <v>4336</v>
      </c>
      <c r="ABQ217" s="695" t="s">
        <v>4338</v>
      </c>
      <c r="ABR217" s="695" t="s">
        <v>4340</v>
      </c>
      <c r="ABS217" s="695" t="s">
        <v>4342</v>
      </c>
      <c r="ABT217" s="695" t="s">
        <v>4344</v>
      </c>
      <c r="ABU217" s="695" t="s">
        <v>4346</v>
      </c>
      <c r="ABV217" s="695" t="s">
        <v>4348</v>
      </c>
      <c r="ABW217" s="695" t="s">
        <v>4350</v>
      </c>
      <c r="ABX217" s="695" t="s">
        <v>4352</v>
      </c>
      <c r="ABY217" s="695" t="s">
        <v>4354</v>
      </c>
      <c r="ABZ217" s="695" t="s">
        <v>4356</v>
      </c>
      <c r="ACA217" s="695" t="s">
        <v>4358</v>
      </c>
      <c r="ACB217" s="695" t="s">
        <v>4360</v>
      </c>
      <c r="ACC217" s="695" t="s">
        <v>4362</v>
      </c>
      <c r="ACD217" s="695" t="s">
        <v>4364</v>
      </c>
      <c r="ACE217" s="695" t="s">
        <v>4366</v>
      </c>
      <c r="ACF217" s="695" t="s">
        <v>4368</v>
      </c>
      <c r="ACG217" s="695" t="s">
        <v>4370</v>
      </c>
      <c r="ACH217" s="695" t="s">
        <v>4372</v>
      </c>
      <c r="ACI217" s="695" t="s">
        <v>4374</v>
      </c>
      <c r="ACJ217" s="695" t="s">
        <v>4376</v>
      </c>
      <c r="ACK217" s="695" t="s">
        <v>4378</v>
      </c>
      <c r="ACL217" s="695" t="s">
        <v>4380</v>
      </c>
      <c r="ACM217" s="695" t="s">
        <v>4382</v>
      </c>
      <c r="ACN217" s="695" t="s">
        <v>4384</v>
      </c>
      <c r="ACO217" s="695" t="s">
        <v>4386</v>
      </c>
      <c r="ACP217" s="695" t="s">
        <v>4388</v>
      </c>
      <c r="ACQ217" s="695" t="s">
        <v>4390</v>
      </c>
      <c r="ACR217" s="695" t="s">
        <v>4392</v>
      </c>
      <c r="ACS217" s="695" t="s">
        <v>4394</v>
      </c>
      <c r="ACT217" s="695" t="s">
        <v>4396</v>
      </c>
      <c r="ACU217" s="695" t="s">
        <v>4398</v>
      </c>
      <c r="ACV217" s="695" t="s">
        <v>4400</v>
      </c>
      <c r="ACW217" s="695" t="s">
        <v>4402</v>
      </c>
      <c r="ACX217" s="695" t="s">
        <v>4404</v>
      </c>
      <c r="ACY217" s="695" t="s">
        <v>4406</v>
      </c>
      <c r="ACZ217" s="695" t="s">
        <v>4408</v>
      </c>
      <c r="ADA217" s="695" t="s">
        <v>4410</v>
      </c>
      <c r="ADB217" s="695" t="s">
        <v>4412</v>
      </c>
      <c r="ADC217" s="695" t="s">
        <v>4414</v>
      </c>
      <c r="ADD217" s="695" t="s">
        <v>4416</v>
      </c>
      <c r="ADE217" s="695" t="s">
        <v>4418</v>
      </c>
      <c r="ADF217" s="695" t="s">
        <v>4420</v>
      </c>
      <c r="ADG217" s="695" t="s">
        <v>4422</v>
      </c>
      <c r="ADH217" s="695" t="s">
        <v>4424</v>
      </c>
      <c r="ADI217" s="695" t="s">
        <v>4426</v>
      </c>
      <c r="ADJ217" s="695" t="s">
        <v>4428</v>
      </c>
      <c r="ADK217" s="695" t="s">
        <v>4430</v>
      </c>
      <c r="ADL217" s="695" t="s">
        <v>4432</v>
      </c>
      <c r="ADM217" s="695" t="s">
        <v>4434</v>
      </c>
      <c r="ADN217" s="695" t="s">
        <v>4436</v>
      </c>
      <c r="ADO217" s="695" t="s">
        <v>4438</v>
      </c>
      <c r="ADP217" s="695" t="s">
        <v>4440</v>
      </c>
      <c r="ADQ217" s="695" t="s">
        <v>4442</v>
      </c>
      <c r="ADR217" s="695" t="s">
        <v>4444</v>
      </c>
      <c r="ADS217" s="695" t="s">
        <v>4446</v>
      </c>
      <c r="ADT217" s="695" t="s">
        <v>4448</v>
      </c>
      <c r="ADU217" s="695" t="s">
        <v>4450</v>
      </c>
      <c r="ADV217" s="695" t="s">
        <v>4452</v>
      </c>
      <c r="ADW217" s="695" t="s">
        <v>4454</v>
      </c>
      <c r="ADX217" s="695" t="s">
        <v>4456</v>
      </c>
      <c r="ADY217" s="695" t="s">
        <v>4458</v>
      </c>
      <c r="ADZ217" s="695" t="s">
        <v>4460</v>
      </c>
      <c r="AEA217" s="695" t="s">
        <v>4462</v>
      </c>
      <c r="AEB217" s="695" t="s">
        <v>4464</v>
      </c>
      <c r="AEC217" s="695" t="s">
        <v>4466</v>
      </c>
      <c r="AED217" s="695" t="s">
        <v>4468</v>
      </c>
      <c r="AEE217" s="695" t="s">
        <v>4470</v>
      </c>
      <c r="AEF217" s="695" t="s">
        <v>4472</v>
      </c>
      <c r="AEG217" s="695" t="s">
        <v>4474</v>
      </c>
      <c r="AEH217" s="695" t="s">
        <v>4476</v>
      </c>
      <c r="AEI217" s="695" t="s">
        <v>4478</v>
      </c>
      <c r="AEJ217" s="695" t="s">
        <v>4480</v>
      </c>
      <c r="AEK217" s="695" t="s">
        <v>4482</v>
      </c>
      <c r="AEL217" s="695" t="s">
        <v>4484</v>
      </c>
      <c r="AEM217" s="695" t="s">
        <v>4486</v>
      </c>
      <c r="AEN217" s="695" t="s">
        <v>4488</v>
      </c>
      <c r="AEO217" s="695" t="s">
        <v>4490</v>
      </c>
      <c r="AEP217" s="695" t="s">
        <v>4492</v>
      </c>
      <c r="AEQ217" s="695" t="s">
        <v>4494</v>
      </c>
      <c r="AER217" s="695" t="s">
        <v>4496</v>
      </c>
      <c r="AES217" s="695" t="s">
        <v>4498</v>
      </c>
      <c r="AET217" s="695" t="s">
        <v>4500</v>
      </c>
      <c r="AEU217" s="695" t="s">
        <v>4502</v>
      </c>
      <c r="AEV217" s="695" t="s">
        <v>4504</v>
      </c>
      <c r="AEW217" s="695" t="s">
        <v>4506</v>
      </c>
      <c r="AEX217" s="695" t="s">
        <v>4508</v>
      </c>
      <c r="AEY217" s="695" t="s">
        <v>4510</v>
      </c>
      <c r="AEZ217" s="695" t="s">
        <v>4512</v>
      </c>
      <c r="AFA217" s="695" t="s">
        <v>4514</v>
      </c>
      <c r="AFB217" s="695" t="s">
        <v>4516</v>
      </c>
      <c r="AFC217" s="695" t="s">
        <v>4518</v>
      </c>
      <c r="AFD217" s="695" t="s">
        <v>4520</v>
      </c>
      <c r="AFE217" s="695" t="s">
        <v>4522</v>
      </c>
      <c r="AFF217" s="695" t="s">
        <v>4524</v>
      </c>
      <c r="AFG217" s="695" t="s">
        <v>4526</v>
      </c>
      <c r="AFH217" s="695" t="s">
        <v>4528</v>
      </c>
      <c r="AFI217" s="695" t="s">
        <v>4530</v>
      </c>
      <c r="AFJ217" s="695" t="s">
        <v>4532</v>
      </c>
      <c r="AFK217" s="695" t="s">
        <v>4534</v>
      </c>
      <c r="AFL217" s="695" t="s">
        <v>4536</v>
      </c>
      <c r="AFM217" s="695" t="s">
        <v>4538</v>
      </c>
      <c r="AFN217" s="695" t="s">
        <v>4540</v>
      </c>
      <c r="AFO217" s="695" t="s">
        <v>4542</v>
      </c>
      <c r="AFP217" s="695" t="s">
        <v>4544</v>
      </c>
      <c r="AFQ217" s="695" t="s">
        <v>4546</v>
      </c>
      <c r="AFR217" s="695" t="s">
        <v>4548</v>
      </c>
      <c r="AFS217" s="695" t="s">
        <v>4550</v>
      </c>
      <c r="AFT217" s="695" t="s">
        <v>4552</v>
      </c>
      <c r="AFU217" s="695" t="s">
        <v>4554</v>
      </c>
      <c r="AFV217" s="695" t="s">
        <v>4556</v>
      </c>
      <c r="AFW217" s="695" t="s">
        <v>4558</v>
      </c>
      <c r="AFX217" s="695" t="s">
        <v>4560</v>
      </c>
      <c r="AFY217" s="695" t="s">
        <v>4562</v>
      </c>
      <c r="AFZ217" s="695" t="s">
        <v>4564</v>
      </c>
      <c r="AGA217" s="695" t="s">
        <v>4566</v>
      </c>
      <c r="AGB217" s="695" t="s">
        <v>4568</v>
      </c>
      <c r="AGC217" s="695" t="s">
        <v>4570</v>
      </c>
      <c r="AGD217" s="695" t="s">
        <v>4572</v>
      </c>
      <c r="AGE217" s="695" t="s">
        <v>4574</v>
      </c>
      <c r="AGF217" s="695" t="s">
        <v>4576</v>
      </c>
      <c r="AGG217" s="695" t="s">
        <v>4578</v>
      </c>
      <c r="AGH217" s="695" t="s">
        <v>4580</v>
      </c>
      <c r="AGI217" s="695" t="s">
        <v>4582</v>
      </c>
      <c r="AGJ217" s="695" t="s">
        <v>4584</v>
      </c>
      <c r="AGK217" s="695" t="s">
        <v>4586</v>
      </c>
      <c r="AGL217" s="695" t="s">
        <v>4588</v>
      </c>
      <c r="AGM217" s="695" t="s">
        <v>4590</v>
      </c>
      <c r="AGN217" s="695" t="s">
        <v>4592</v>
      </c>
      <c r="AGO217" s="695" t="s">
        <v>4594</v>
      </c>
      <c r="AGP217" s="695" t="s">
        <v>4596</v>
      </c>
      <c r="AGQ217" s="695" t="s">
        <v>4598</v>
      </c>
      <c r="AGR217" s="695" t="s">
        <v>4600</v>
      </c>
      <c r="AGS217" s="695" t="s">
        <v>4602</v>
      </c>
      <c r="AGT217" s="695" t="s">
        <v>4604</v>
      </c>
      <c r="AGU217" s="695" t="s">
        <v>4606</v>
      </c>
      <c r="AGV217" s="695" t="s">
        <v>4608</v>
      </c>
      <c r="AGW217" s="695" t="s">
        <v>4610</v>
      </c>
      <c r="AGX217" s="695" t="s">
        <v>4612</v>
      </c>
      <c r="AGY217" s="695" t="s">
        <v>4614</v>
      </c>
      <c r="AGZ217" s="695" t="s">
        <v>4616</v>
      </c>
      <c r="AHA217" s="695" t="s">
        <v>4618</v>
      </c>
      <c r="AHB217" s="695" t="s">
        <v>4620</v>
      </c>
      <c r="AHC217" s="695" t="s">
        <v>4622</v>
      </c>
      <c r="AHD217" s="695" t="s">
        <v>4624</v>
      </c>
      <c r="AHE217" s="695" t="s">
        <v>4626</v>
      </c>
      <c r="AHF217" s="695" t="s">
        <v>4628</v>
      </c>
      <c r="AHG217" s="695" t="s">
        <v>4630</v>
      </c>
      <c r="AHH217" s="695" t="s">
        <v>4632</v>
      </c>
      <c r="AHI217" s="695" t="s">
        <v>4634</v>
      </c>
      <c r="AHJ217" s="695" t="s">
        <v>4636</v>
      </c>
      <c r="AHK217" s="695" t="s">
        <v>4638</v>
      </c>
      <c r="AHL217" s="695" t="s">
        <v>4640</v>
      </c>
      <c r="AHM217" s="695" t="s">
        <v>4642</v>
      </c>
      <c r="AHN217" s="695" t="s">
        <v>4644</v>
      </c>
      <c r="AHO217" s="695" t="s">
        <v>4646</v>
      </c>
      <c r="AHP217" s="695" t="s">
        <v>4648</v>
      </c>
      <c r="AHQ217" s="695" t="s">
        <v>4650</v>
      </c>
      <c r="AHR217" s="695" t="s">
        <v>4652</v>
      </c>
      <c r="AHS217" s="695" t="s">
        <v>4654</v>
      </c>
      <c r="AHT217" s="695" t="s">
        <v>4656</v>
      </c>
      <c r="AHU217" s="695" t="s">
        <v>4658</v>
      </c>
      <c r="AHV217" s="695" t="s">
        <v>4660</v>
      </c>
      <c r="AHW217" s="695" t="s">
        <v>4662</v>
      </c>
      <c r="AHX217" s="695" t="s">
        <v>4664</v>
      </c>
      <c r="AHY217" s="695" t="s">
        <v>4666</v>
      </c>
      <c r="AHZ217" s="695" t="s">
        <v>4668</v>
      </c>
      <c r="AIA217" s="695" t="s">
        <v>4670</v>
      </c>
      <c r="AIB217" s="695" t="s">
        <v>4672</v>
      </c>
      <c r="AIC217" s="695" t="s">
        <v>4674</v>
      </c>
      <c r="AID217" s="695" t="s">
        <v>4676</v>
      </c>
      <c r="AIE217" s="695" t="s">
        <v>4678</v>
      </c>
      <c r="AIF217" s="695" t="s">
        <v>4680</v>
      </c>
      <c r="AIG217" s="695" t="s">
        <v>4682</v>
      </c>
      <c r="AIH217" s="695" t="s">
        <v>4684</v>
      </c>
      <c r="AII217" s="695" t="s">
        <v>4686</v>
      </c>
      <c r="AIJ217" s="695" t="s">
        <v>4688</v>
      </c>
      <c r="AIK217" s="695" t="s">
        <v>4690</v>
      </c>
      <c r="AIL217" s="695" t="s">
        <v>4692</v>
      </c>
      <c r="AIM217" s="695" t="s">
        <v>4694</v>
      </c>
      <c r="AIN217" s="695" t="s">
        <v>4696</v>
      </c>
      <c r="AIO217" s="695" t="s">
        <v>4698</v>
      </c>
      <c r="AIP217" s="695" t="s">
        <v>4700</v>
      </c>
      <c r="AIQ217" s="695" t="s">
        <v>4702</v>
      </c>
      <c r="AIR217" s="695" t="s">
        <v>4704</v>
      </c>
      <c r="AIS217" s="695" t="s">
        <v>4706</v>
      </c>
      <c r="AIT217" s="695" t="s">
        <v>4708</v>
      </c>
      <c r="AIU217" s="695" t="s">
        <v>4710</v>
      </c>
      <c r="AIV217" s="695" t="s">
        <v>4712</v>
      </c>
      <c r="AIW217" s="695" t="s">
        <v>4714</v>
      </c>
      <c r="AIX217" s="695" t="s">
        <v>4716</v>
      </c>
      <c r="AIY217" s="695" t="s">
        <v>4718</v>
      </c>
      <c r="AIZ217" s="695" t="s">
        <v>4720</v>
      </c>
      <c r="AJA217" s="695" t="s">
        <v>4722</v>
      </c>
      <c r="AJB217" s="695" t="s">
        <v>4724</v>
      </c>
      <c r="AJC217" s="695" t="s">
        <v>4726</v>
      </c>
      <c r="AJD217" s="695" t="s">
        <v>4728</v>
      </c>
      <c r="AJE217" s="695" t="s">
        <v>4730</v>
      </c>
      <c r="AJF217" s="695" t="s">
        <v>4732</v>
      </c>
      <c r="AJG217" s="695" t="s">
        <v>4734</v>
      </c>
      <c r="AJH217" s="695" t="s">
        <v>4736</v>
      </c>
      <c r="AJI217" s="695" t="s">
        <v>4738</v>
      </c>
      <c r="AJJ217" s="695" t="s">
        <v>4740</v>
      </c>
      <c r="AJK217" s="695" t="s">
        <v>4742</v>
      </c>
      <c r="AJL217" s="695" t="s">
        <v>4744</v>
      </c>
      <c r="AJM217" s="695" t="s">
        <v>4746</v>
      </c>
      <c r="AJN217" s="695" t="s">
        <v>4748</v>
      </c>
      <c r="AJO217" s="695" t="s">
        <v>4750</v>
      </c>
      <c r="AJP217" s="695" t="s">
        <v>4752</v>
      </c>
      <c r="AJQ217" s="695" t="s">
        <v>4754</v>
      </c>
      <c r="AJR217" s="695" t="s">
        <v>4756</v>
      </c>
      <c r="AJS217" s="695" t="s">
        <v>4758</v>
      </c>
      <c r="AJT217" s="695" t="s">
        <v>4760</v>
      </c>
      <c r="AJU217" s="695" t="s">
        <v>4762</v>
      </c>
      <c r="AJV217" s="695" t="s">
        <v>4764</v>
      </c>
      <c r="AJW217" s="695" t="s">
        <v>4766</v>
      </c>
      <c r="AJX217" s="695" t="s">
        <v>4768</v>
      </c>
      <c r="AJY217" s="695" t="s">
        <v>4770</v>
      </c>
      <c r="AJZ217" s="695" t="s">
        <v>4772</v>
      </c>
      <c r="AKA217" s="695" t="s">
        <v>4774</v>
      </c>
      <c r="AKB217" s="695" t="s">
        <v>4776</v>
      </c>
      <c r="AKC217" s="695" t="s">
        <v>4778</v>
      </c>
      <c r="AKD217" s="695" t="s">
        <v>4780</v>
      </c>
      <c r="AKE217" s="695" t="s">
        <v>4782</v>
      </c>
      <c r="AKF217" s="695" t="s">
        <v>4784</v>
      </c>
      <c r="AKG217" s="695" t="s">
        <v>4786</v>
      </c>
      <c r="AKH217" s="695" t="s">
        <v>4788</v>
      </c>
      <c r="AKI217" s="695" t="s">
        <v>4790</v>
      </c>
      <c r="AKJ217" s="695" t="s">
        <v>4792</v>
      </c>
      <c r="AKK217" s="695" t="s">
        <v>4794</v>
      </c>
      <c r="AKL217" s="695" t="s">
        <v>4796</v>
      </c>
      <c r="AKM217" s="695" t="s">
        <v>4798</v>
      </c>
      <c r="AKN217" s="695" t="s">
        <v>4800</v>
      </c>
      <c r="AKO217" s="695" t="s">
        <v>4802</v>
      </c>
      <c r="AKP217" s="695" t="s">
        <v>4804</v>
      </c>
      <c r="AKQ217" s="695" t="s">
        <v>4806</v>
      </c>
      <c r="AKR217" s="695" t="s">
        <v>4808</v>
      </c>
      <c r="AKS217" s="695" t="s">
        <v>4810</v>
      </c>
      <c r="AKT217" s="695" t="s">
        <v>4812</v>
      </c>
      <c r="AKU217" s="695" t="s">
        <v>4814</v>
      </c>
      <c r="AKV217" s="695" t="s">
        <v>4816</v>
      </c>
      <c r="AKW217" s="695" t="s">
        <v>4818</v>
      </c>
      <c r="AKX217" s="695" t="s">
        <v>4820</v>
      </c>
      <c r="AKY217" s="695" t="s">
        <v>4822</v>
      </c>
      <c r="AKZ217" s="695" t="s">
        <v>4824</v>
      </c>
      <c r="ALA217" s="695" t="s">
        <v>4826</v>
      </c>
      <c r="ALB217" s="695" t="s">
        <v>4828</v>
      </c>
      <c r="ALC217" s="695" t="s">
        <v>4830</v>
      </c>
      <c r="ALD217" s="695" t="s">
        <v>4832</v>
      </c>
      <c r="ALE217" s="695" t="s">
        <v>4834</v>
      </c>
      <c r="ALF217" s="695" t="s">
        <v>4836</v>
      </c>
      <c r="ALG217" s="695" t="s">
        <v>4838</v>
      </c>
      <c r="ALH217" s="695" t="s">
        <v>4840</v>
      </c>
      <c r="ALI217" s="695" t="s">
        <v>4842</v>
      </c>
      <c r="ALJ217" s="695" t="s">
        <v>4844</v>
      </c>
      <c r="ALK217" s="695" t="s">
        <v>4846</v>
      </c>
      <c r="ALL217" s="695" t="s">
        <v>4848</v>
      </c>
      <c r="ALM217" s="695" t="s">
        <v>4850</v>
      </c>
      <c r="ALN217" s="695" t="s">
        <v>4852</v>
      </c>
      <c r="ALO217" s="695" t="s">
        <v>4854</v>
      </c>
      <c r="ALP217" s="695" t="s">
        <v>4856</v>
      </c>
      <c r="ALQ217" s="695" t="s">
        <v>4858</v>
      </c>
      <c r="ALR217" s="695" t="s">
        <v>4860</v>
      </c>
      <c r="ALS217" s="695" t="s">
        <v>4862</v>
      </c>
      <c r="ALT217" s="695" t="s">
        <v>4864</v>
      </c>
      <c r="ALU217" s="695" t="s">
        <v>4866</v>
      </c>
      <c r="ALV217" s="695" t="s">
        <v>4868</v>
      </c>
      <c r="ALW217" s="695" t="s">
        <v>4870</v>
      </c>
      <c r="ALX217" s="695" t="s">
        <v>4872</v>
      </c>
      <c r="ALY217" s="695" t="s">
        <v>4874</v>
      </c>
      <c r="ALZ217" s="695" t="s">
        <v>4876</v>
      </c>
      <c r="AMA217" s="695" t="s">
        <v>4878</v>
      </c>
      <c r="AMB217" s="695" t="s">
        <v>4880</v>
      </c>
      <c r="AMC217" s="695" t="s">
        <v>4882</v>
      </c>
      <c r="AMD217" s="695" t="s">
        <v>4884</v>
      </c>
      <c r="AME217" s="695" t="s">
        <v>4886</v>
      </c>
      <c r="AMF217" s="695" t="s">
        <v>4888</v>
      </c>
      <c r="AMG217" s="695" t="s">
        <v>4890</v>
      </c>
      <c r="AMH217" s="695" t="s">
        <v>4892</v>
      </c>
      <c r="AMI217" s="695" t="s">
        <v>4894</v>
      </c>
      <c r="AMJ217" s="695" t="s">
        <v>4896</v>
      </c>
      <c r="AMK217" s="731" t="s">
        <v>4898</v>
      </c>
    </row>
    <row r="218" spans="2:1025" x14ac:dyDescent="0.25">
      <c r="B218" s="737" t="s">
        <v>2885</v>
      </c>
      <c r="C218" s="737" t="s">
        <v>2886</v>
      </c>
      <c r="D218" s="738">
        <v>4601.9107999999997</v>
      </c>
      <c r="E218" s="738">
        <v>1784.3297</v>
      </c>
      <c r="F218" s="738">
        <v>52341.836000000003</v>
      </c>
      <c r="G218" s="738">
        <v>251.93393432003509</v>
      </c>
      <c r="N218" s="728" t="s">
        <v>2876</v>
      </c>
      <c r="O218" s="695" t="s">
        <v>2195</v>
      </c>
      <c r="P218" s="695" t="s">
        <v>2240</v>
      </c>
      <c r="Q218" s="695" t="s">
        <v>2236</v>
      </c>
      <c r="R218" s="695" t="s">
        <v>2193</v>
      </c>
      <c r="S218" s="695" t="s">
        <v>2192</v>
      </c>
      <c r="T218" s="695" t="s">
        <v>2192</v>
      </c>
      <c r="U218" s="695" t="s">
        <v>2192</v>
      </c>
      <c r="V218" s="695" t="s">
        <v>2192</v>
      </c>
      <c r="W218" s="695" t="s">
        <v>2192</v>
      </c>
      <c r="X218" s="695" t="s">
        <v>2192</v>
      </c>
      <c r="Y218" s="695" t="s">
        <v>2192</v>
      </c>
      <c r="Z218" s="695" t="s">
        <v>2192</v>
      </c>
      <c r="AA218" s="695" t="s">
        <v>2192</v>
      </c>
      <c r="AB218" s="695" t="s">
        <v>2192</v>
      </c>
      <c r="AC218" s="695" t="s">
        <v>2192</v>
      </c>
      <c r="AD218" s="695" t="s">
        <v>2192</v>
      </c>
      <c r="AE218" s="695" t="s">
        <v>2192</v>
      </c>
      <c r="AF218" s="695" t="s">
        <v>2192</v>
      </c>
      <c r="AG218" s="695" t="s">
        <v>2192</v>
      </c>
      <c r="AH218" s="695" t="s">
        <v>2192</v>
      </c>
      <c r="AI218" s="695" t="s">
        <v>2192</v>
      </c>
      <c r="AJ218" s="695" t="s">
        <v>2192</v>
      </c>
      <c r="AK218" s="695" t="s">
        <v>2192</v>
      </c>
      <c r="AL218" s="695" t="s">
        <v>2192</v>
      </c>
      <c r="AM218" s="695" t="s">
        <v>2192</v>
      </c>
      <c r="AN218" s="695" t="s">
        <v>2192</v>
      </c>
      <c r="AO218" s="695" t="s">
        <v>2192</v>
      </c>
      <c r="AP218" s="695" t="s">
        <v>2192</v>
      </c>
      <c r="AQ218" s="695" t="s">
        <v>2192</v>
      </c>
      <c r="AR218" s="695" t="s">
        <v>2192</v>
      </c>
      <c r="AS218" s="695" t="s">
        <v>2192</v>
      </c>
      <c r="AT218" s="695" t="s">
        <v>2192</v>
      </c>
      <c r="AU218" s="695" t="s">
        <v>2192</v>
      </c>
      <c r="AV218" s="695" t="s">
        <v>2192</v>
      </c>
      <c r="AW218" s="695" t="s">
        <v>2192</v>
      </c>
      <c r="AX218" s="695" t="s">
        <v>2192</v>
      </c>
      <c r="AY218" s="695" t="s">
        <v>2192</v>
      </c>
      <c r="AZ218" s="695" t="s">
        <v>2192</v>
      </c>
      <c r="BA218" s="695" t="s">
        <v>2192</v>
      </c>
      <c r="BB218" s="695" t="s">
        <v>2192</v>
      </c>
      <c r="BC218" s="695" t="s">
        <v>2192</v>
      </c>
      <c r="BD218" s="695" t="s">
        <v>2192</v>
      </c>
      <c r="BE218" s="695" t="s">
        <v>2192</v>
      </c>
      <c r="BF218" s="695" t="s">
        <v>2192</v>
      </c>
      <c r="BG218" s="695" t="s">
        <v>2192</v>
      </c>
      <c r="BH218" s="695" t="s">
        <v>2192</v>
      </c>
      <c r="BI218" s="695" t="s">
        <v>2192</v>
      </c>
      <c r="BJ218" s="695" t="s">
        <v>2192</v>
      </c>
      <c r="BK218" s="695" t="s">
        <v>2192</v>
      </c>
      <c r="BL218" s="695" t="s">
        <v>2192</v>
      </c>
      <c r="BM218" s="695" t="s">
        <v>2192</v>
      </c>
      <c r="BN218" s="695" t="s">
        <v>2192</v>
      </c>
      <c r="BO218" s="695" t="s">
        <v>2192</v>
      </c>
      <c r="BP218" s="695" t="s">
        <v>2192</v>
      </c>
      <c r="BQ218" s="695" t="s">
        <v>2192</v>
      </c>
      <c r="BR218" s="695" t="s">
        <v>2192</v>
      </c>
      <c r="BS218" s="695" t="s">
        <v>2192</v>
      </c>
      <c r="BT218" s="695" t="s">
        <v>2192</v>
      </c>
      <c r="BU218" s="695" t="s">
        <v>2192</v>
      </c>
      <c r="BV218" s="695" t="s">
        <v>2192</v>
      </c>
      <c r="BW218" s="695" t="s">
        <v>2192</v>
      </c>
      <c r="BX218" s="695" t="s">
        <v>2192</v>
      </c>
      <c r="BY218" s="695" t="s">
        <v>2192</v>
      </c>
      <c r="BZ218" s="695" t="s">
        <v>2192</v>
      </c>
      <c r="CA218" s="695" t="s">
        <v>2192</v>
      </c>
      <c r="CB218" s="695" t="s">
        <v>2192</v>
      </c>
      <c r="CC218" s="695" t="s">
        <v>2192</v>
      </c>
      <c r="CD218" s="695" t="s">
        <v>2192</v>
      </c>
      <c r="CE218" s="695" t="s">
        <v>2192</v>
      </c>
      <c r="CF218" s="695" t="s">
        <v>2192</v>
      </c>
      <c r="CG218" s="695" t="s">
        <v>2192</v>
      </c>
      <c r="CH218" s="695" t="s">
        <v>2192</v>
      </c>
      <c r="CI218" s="695" t="s">
        <v>2192</v>
      </c>
      <c r="CJ218" s="695" t="s">
        <v>2192</v>
      </c>
      <c r="CK218" s="695" t="s">
        <v>2192</v>
      </c>
      <c r="CL218" s="695" t="s">
        <v>2192</v>
      </c>
      <c r="CM218" s="695" t="s">
        <v>2192</v>
      </c>
      <c r="CN218" s="695" t="s">
        <v>2192</v>
      </c>
      <c r="CO218" s="695" t="s">
        <v>2192</v>
      </c>
      <c r="CP218" s="695" t="s">
        <v>2192</v>
      </c>
      <c r="CQ218" s="695" t="s">
        <v>2199</v>
      </c>
      <c r="CR218" s="695" t="s">
        <v>2199</v>
      </c>
      <c r="CS218" s="695" t="s">
        <v>2199</v>
      </c>
      <c r="CT218" s="695" t="s">
        <v>2199</v>
      </c>
      <c r="CU218" s="695" t="s">
        <v>2199</v>
      </c>
      <c r="CV218" s="695" t="s">
        <v>2199</v>
      </c>
      <c r="CW218" s="695" t="s">
        <v>2199</v>
      </c>
      <c r="CX218" s="695" t="s">
        <v>2199</v>
      </c>
      <c r="CY218" s="695" t="s">
        <v>2199</v>
      </c>
      <c r="CZ218" s="695" t="s">
        <v>2199</v>
      </c>
      <c r="DA218" s="695" t="s">
        <v>2199</v>
      </c>
      <c r="DB218" s="695" t="s">
        <v>2199</v>
      </c>
      <c r="DC218" s="695" t="s">
        <v>2199</v>
      </c>
      <c r="DD218" s="695" t="s">
        <v>2199</v>
      </c>
      <c r="DE218" s="695" t="s">
        <v>2199</v>
      </c>
      <c r="DF218" s="695" t="s">
        <v>2199</v>
      </c>
      <c r="DG218" s="695" t="s">
        <v>2199</v>
      </c>
      <c r="DH218" s="695" t="s">
        <v>2199</v>
      </c>
      <c r="DI218" s="695" t="s">
        <v>2199</v>
      </c>
      <c r="DJ218" s="695" t="s">
        <v>2199</v>
      </c>
      <c r="DK218" s="695" t="s">
        <v>2199</v>
      </c>
      <c r="DL218" s="695" t="s">
        <v>2199</v>
      </c>
      <c r="DM218" s="695" t="s">
        <v>2200</v>
      </c>
      <c r="DN218" s="695" t="s">
        <v>2230</v>
      </c>
      <c r="DO218" s="695" t="s">
        <v>2230</v>
      </c>
      <c r="DP218" s="695" t="s">
        <v>2199</v>
      </c>
      <c r="DQ218" s="695" t="s">
        <v>2199</v>
      </c>
      <c r="DR218" s="695" t="s">
        <v>2199</v>
      </c>
      <c r="DS218" s="695" t="s">
        <v>2199</v>
      </c>
      <c r="DT218" s="695" t="s">
        <v>2199</v>
      </c>
      <c r="DU218" s="695" t="s">
        <v>2199</v>
      </c>
      <c r="DV218" s="695" t="s">
        <v>2199</v>
      </c>
      <c r="DW218" s="695" t="s">
        <v>2199</v>
      </c>
      <c r="DX218" s="695" t="s">
        <v>2200</v>
      </c>
      <c r="DY218" s="695" t="s">
        <v>2200</v>
      </c>
      <c r="DZ218" s="695" t="s">
        <v>2200</v>
      </c>
      <c r="EA218" s="695" t="s">
        <v>2199</v>
      </c>
      <c r="EB218" s="695" t="s">
        <v>2199</v>
      </c>
      <c r="EC218" s="695" t="s">
        <v>2200</v>
      </c>
      <c r="ED218" s="695" t="s">
        <v>2200</v>
      </c>
      <c r="EE218" s="695" t="s">
        <v>2200</v>
      </c>
      <c r="EF218" s="695" t="s">
        <v>2200</v>
      </c>
      <c r="EG218" s="695" t="s">
        <v>2200</v>
      </c>
      <c r="EH218" s="695" t="s">
        <v>2200</v>
      </c>
      <c r="EI218" s="695" t="s">
        <v>2200</v>
      </c>
      <c r="EJ218" s="695" t="s">
        <v>2200</v>
      </c>
      <c r="EK218" s="695" t="s">
        <v>2199</v>
      </c>
      <c r="EL218" s="695" t="s">
        <v>2199</v>
      </c>
      <c r="EM218" s="695" t="s">
        <v>2199</v>
      </c>
      <c r="EN218" s="695" t="s">
        <v>2199</v>
      </c>
      <c r="EO218" s="695" t="s">
        <v>2199</v>
      </c>
      <c r="EP218" s="695" t="s">
        <v>2191</v>
      </c>
      <c r="EQ218" s="695" t="s">
        <v>2191</v>
      </c>
      <c r="ER218" s="695" t="s">
        <v>2199</v>
      </c>
      <c r="ES218" s="695" t="s">
        <v>2200</v>
      </c>
      <c r="ET218" s="695" t="s">
        <v>2200</v>
      </c>
      <c r="EU218" s="695" t="s">
        <v>2191</v>
      </c>
      <c r="EV218" s="695" t="s">
        <v>2191</v>
      </c>
      <c r="EW218" s="695" t="s">
        <v>2191</v>
      </c>
      <c r="EX218" s="695" t="s">
        <v>2191</v>
      </c>
      <c r="EY218" s="695" t="s">
        <v>2191</v>
      </c>
      <c r="EZ218" s="695" t="s">
        <v>2200</v>
      </c>
      <c r="FA218" s="695" t="s">
        <v>2191</v>
      </c>
      <c r="FB218" s="695" t="s">
        <v>2191</v>
      </c>
      <c r="FC218" s="695" t="s">
        <v>2191</v>
      </c>
      <c r="FD218" s="695" t="s">
        <v>2191</v>
      </c>
      <c r="FE218" s="695" t="s">
        <v>2191</v>
      </c>
      <c r="FF218" s="695" t="s">
        <v>2208</v>
      </c>
      <c r="FG218" s="695" t="s">
        <v>2208</v>
      </c>
      <c r="FH218" s="695" t="s">
        <v>2208</v>
      </c>
      <c r="FI218" s="695" t="s">
        <v>2208</v>
      </c>
      <c r="FJ218" s="695" t="s">
        <v>2208</v>
      </c>
      <c r="FK218" s="695" t="s">
        <v>2208</v>
      </c>
      <c r="FL218" s="695" t="s">
        <v>2214</v>
      </c>
      <c r="FM218" s="695" t="s">
        <v>2214</v>
      </c>
      <c r="FN218" s="695" t="s">
        <v>2214</v>
      </c>
      <c r="FO218" s="695" t="s">
        <v>2214</v>
      </c>
      <c r="FP218" s="695" t="s">
        <v>2214</v>
      </c>
      <c r="FQ218" s="695" t="s">
        <v>2214</v>
      </c>
      <c r="FR218" s="695" t="s">
        <v>2214</v>
      </c>
      <c r="FS218" s="695" t="s">
        <v>2214</v>
      </c>
      <c r="FT218" s="695" t="s">
        <v>2208</v>
      </c>
      <c r="FU218" s="695" t="s">
        <v>2208</v>
      </c>
      <c r="FV218" s="695" t="s">
        <v>2208</v>
      </c>
      <c r="FW218" s="695" t="s">
        <v>2208</v>
      </c>
      <c r="FX218" s="695" t="s">
        <v>2208</v>
      </c>
      <c r="FY218" s="695" t="s">
        <v>2240</v>
      </c>
      <c r="FZ218" s="695" t="s">
        <v>2240</v>
      </c>
      <c r="GA218" s="695" t="s">
        <v>2240</v>
      </c>
      <c r="GB218" s="695" t="s">
        <v>2240</v>
      </c>
      <c r="GC218" s="695" t="s">
        <v>2240</v>
      </c>
      <c r="GD218" s="695" t="s">
        <v>2240</v>
      </c>
      <c r="GE218" s="695" t="s">
        <v>2240</v>
      </c>
      <c r="GF218" s="695" t="s">
        <v>2240</v>
      </c>
      <c r="GG218" s="695" t="s">
        <v>2240</v>
      </c>
      <c r="GH218" s="695" t="s">
        <v>2240</v>
      </c>
      <c r="GI218" s="695" t="s">
        <v>2208</v>
      </c>
      <c r="GJ218" s="695" t="s">
        <v>2208</v>
      </c>
      <c r="GK218" s="695" t="s">
        <v>2208</v>
      </c>
      <c r="GL218" s="695" t="s">
        <v>2208</v>
      </c>
      <c r="GM218" s="695" t="s">
        <v>2208</v>
      </c>
      <c r="GN218" s="695" t="s">
        <v>2240</v>
      </c>
      <c r="GO218" s="695" t="s">
        <v>2240</v>
      </c>
      <c r="GP218" s="695" t="s">
        <v>2240</v>
      </c>
      <c r="GQ218" s="695" t="s">
        <v>2240</v>
      </c>
      <c r="GR218" s="695" t="s">
        <v>2240</v>
      </c>
      <c r="GS218" s="695" t="s">
        <v>2240</v>
      </c>
      <c r="GT218" s="695" t="s">
        <v>2240</v>
      </c>
      <c r="GU218" s="695" t="s">
        <v>2240</v>
      </c>
      <c r="GV218" s="695" t="s">
        <v>2240</v>
      </c>
      <c r="GW218" s="695" t="s">
        <v>2240</v>
      </c>
      <c r="GX218" s="695" t="s">
        <v>2240</v>
      </c>
      <c r="GY218" s="695" t="s">
        <v>2240</v>
      </c>
      <c r="GZ218" s="695" t="s">
        <v>2240</v>
      </c>
      <c r="HA218" s="695" t="s">
        <v>2240</v>
      </c>
      <c r="HB218" s="695" t="s">
        <v>2240</v>
      </c>
      <c r="HC218" s="695" t="s">
        <v>2240</v>
      </c>
      <c r="HD218" s="695" t="s">
        <v>2240</v>
      </c>
      <c r="HE218" s="695" t="s">
        <v>2240</v>
      </c>
      <c r="HF218" s="695" t="s">
        <v>2240</v>
      </c>
      <c r="HG218" s="695" t="s">
        <v>2240</v>
      </c>
      <c r="HH218" s="695" t="s">
        <v>2240</v>
      </c>
      <c r="HI218" s="695" t="s">
        <v>2240</v>
      </c>
      <c r="HJ218" s="695" t="s">
        <v>2240</v>
      </c>
      <c r="HK218" s="695" t="s">
        <v>2240</v>
      </c>
      <c r="HL218" s="695" t="s">
        <v>2240</v>
      </c>
      <c r="HM218" s="695" t="s">
        <v>2240</v>
      </c>
      <c r="HN218" s="695" t="s">
        <v>2240</v>
      </c>
      <c r="HO218" s="695" t="s">
        <v>2240</v>
      </c>
      <c r="HP218" s="695" t="s">
        <v>2240</v>
      </c>
      <c r="HQ218" s="695" t="s">
        <v>2240</v>
      </c>
      <c r="HR218" s="695" t="s">
        <v>2240</v>
      </c>
      <c r="HS218" s="695" t="s">
        <v>2240</v>
      </c>
      <c r="HT218" s="695" t="s">
        <v>2240</v>
      </c>
      <c r="HU218" s="695" t="s">
        <v>2240</v>
      </c>
      <c r="HV218" s="695" t="s">
        <v>2240</v>
      </c>
      <c r="HW218" s="695" t="s">
        <v>2240</v>
      </c>
      <c r="HX218" s="695" t="s">
        <v>2240</v>
      </c>
      <c r="HY218" s="695" t="s">
        <v>2240</v>
      </c>
      <c r="HZ218" s="695" t="s">
        <v>2240</v>
      </c>
      <c r="IA218" s="695" t="s">
        <v>2240</v>
      </c>
      <c r="IB218" s="695" t="s">
        <v>2240</v>
      </c>
      <c r="IC218" s="695" t="s">
        <v>2240</v>
      </c>
      <c r="ID218" s="695" t="s">
        <v>2240</v>
      </c>
      <c r="IE218" s="695" t="s">
        <v>2240</v>
      </c>
      <c r="IF218" s="695" t="s">
        <v>2240</v>
      </c>
      <c r="IG218" s="695" t="s">
        <v>2240</v>
      </c>
      <c r="IH218" s="695" t="s">
        <v>2221</v>
      </c>
      <c r="II218" s="695" t="s">
        <v>2221</v>
      </c>
      <c r="IJ218" s="695" t="s">
        <v>2221</v>
      </c>
      <c r="IK218" s="695" t="s">
        <v>2221</v>
      </c>
      <c r="IL218" s="695" t="s">
        <v>2221</v>
      </c>
      <c r="IM218" s="695" t="s">
        <v>2221</v>
      </c>
      <c r="IN218" s="695" t="s">
        <v>2240</v>
      </c>
      <c r="IO218" s="695" t="s">
        <v>2221</v>
      </c>
      <c r="IP218" s="695" t="s">
        <v>2221</v>
      </c>
      <c r="IQ218" s="695" t="s">
        <v>2193</v>
      </c>
      <c r="IR218" s="695" t="s">
        <v>2193</v>
      </c>
      <c r="IS218" s="695" t="s">
        <v>2193</v>
      </c>
      <c r="IT218" s="695" t="s">
        <v>2193</v>
      </c>
      <c r="IU218" s="695" t="s">
        <v>2193</v>
      </c>
      <c r="IV218" s="695" t="s">
        <v>2193</v>
      </c>
      <c r="IW218" s="695" t="s">
        <v>2193</v>
      </c>
      <c r="IX218" s="695" t="s">
        <v>2193</v>
      </c>
      <c r="IY218" s="695" t="s">
        <v>2193</v>
      </c>
      <c r="IZ218" s="695" t="s">
        <v>2193</v>
      </c>
      <c r="JA218" s="695" t="s">
        <v>2195</v>
      </c>
      <c r="JB218" s="695" t="s">
        <v>2195</v>
      </c>
      <c r="JC218" s="695" t="s">
        <v>2195</v>
      </c>
      <c r="JD218" s="695" t="s">
        <v>2195</v>
      </c>
      <c r="JE218" s="695" t="s">
        <v>2195</v>
      </c>
      <c r="JF218" s="695" t="s">
        <v>2195</v>
      </c>
      <c r="JG218" s="695" t="s">
        <v>2195</v>
      </c>
      <c r="JH218" s="695" t="s">
        <v>2195</v>
      </c>
      <c r="JI218" s="695" t="s">
        <v>2195</v>
      </c>
      <c r="JJ218" s="695" t="s">
        <v>2195</v>
      </c>
      <c r="JK218" s="695" t="s">
        <v>2195</v>
      </c>
      <c r="JL218" s="695" t="s">
        <v>2195</v>
      </c>
      <c r="JM218" s="695" t="s">
        <v>2195</v>
      </c>
      <c r="JN218" s="695" t="s">
        <v>2195</v>
      </c>
      <c r="JO218" s="695" t="s">
        <v>2195</v>
      </c>
      <c r="JP218" s="695" t="s">
        <v>2195</v>
      </c>
      <c r="JQ218" s="695" t="s">
        <v>2195</v>
      </c>
      <c r="JR218" s="695" t="s">
        <v>2195</v>
      </c>
      <c r="JS218" s="695" t="s">
        <v>2195</v>
      </c>
      <c r="JT218" s="695" t="s">
        <v>2195</v>
      </c>
      <c r="JU218" s="695" t="s">
        <v>2195</v>
      </c>
      <c r="JV218" s="695" t="s">
        <v>2223</v>
      </c>
      <c r="JW218" s="695" t="s">
        <v>2223</v>
      </c>
      <c r="JX218" s="695" t="s">
        <v>2223</v>
      </c>
      <c r="JY218" s="695" t="s">
        <v>2223</v>
      </c>
      <c r="JZ218" s="695" t="s">
        <v>2223</v>
      </c>
      <c r="KA218" s="695" t="s">
        <v>2223</v>
      </c>
      <c r="KB218" s="695" t="s">
        <v>2223</v>
      </c>
      <c r="KC218" s="695" t="s">
        <v>2223</v>
      </c>
      <c r="KD218" s="695" t="s">
        <v>2223</v>
      </c>
      <c r="KE218" s="695" t="s">
        <v>2223</v>
      </c>
      <c r="KF218" s="695" t="s">
        <v>2223</v>
      </c>
      <c r="KG218" s="695" t="s">
        <v>2235</v>
      </c>
      <c r="KH218" s="695" t="s">
        <v>2235</v>
      </c>
      <c r="KI218" s="695" t="s">
        <v>2235</v>
      </c>
      <c r="KJ218" s="695" t="s">
        <v>2235</v>
      </c>
      <c r="KK218" s="695" t="s">
        <v>2235</v>
      </c>
      <c r="KL218" s="695" t="s">
        <v>2223</v>
      </c>
      <c r="KM218" s="695" t="s">
        <v>2223</v>
      </c>
      <c r="KN218" s="695" t="s">
        <v>2223</v>
      </c>
      <c r="KO218" s="695" t="s">
        <v>2230</v>
      </c>
      <c r="KP218" s="695" t="s">
        <v>2230</v>
      </c>
      <c r="KQ218" s="695" t="s">
        <v>2200</v>
      </c>
      <c r="KR218" s="695" t="s">
        <v>2230</v>
      </c>
      <c r="KS218" s="695" t="s">
        <v>2230</v>
      </c>
      <c r="KT218" s="695" t="s">
        <v>2230</v>
      </c>
      <c r="KU218" s="695" t="s">
        <v>2223</v>
      </c>
      <c r="KV218" s="695" t="s">
        <v>2223</v>
      </c>
      <c r="KW218" s="695" t="s">
        <v>2223</v>
      </c>
      <c r="KX218" s="695" t="s">
        <v>2223</v>
      </c>
      <c r="KY218" s="695" t="s">
        <v>2223</v>
      </c>
      <c r="KZ218" s="695" t="s">
        <v>2232</v>
      </c>
      <c r="LA218" s="695" t="s">
        <v>2223</v>
      </c>
      <c r="LB218" s="695" t="s">
        <v>2200</v>
      </c>
      <c r="LC218" s="695" t="s">
        <v>2191</v>
      </c>
      <c r="LD218" s="695" t="s">
        <v>2191</v>
      </c>
      <c r="LE218" s="695" t="s">
        <v>2232</v>
      </c>
      <c r="LF218" s="695" t="s">
        <v>2232</v>
      </c>
      <c r="LG218" s="695" t="s">
        <v>2232</v>
      </c>
      <c r="LH218" s="695" t="s">
        <v>2232</v>
      </c>
      <c r="LI218" s="695" t="s">
        <v>2215</v>
      </c>
      <c r="LJ218" s="695" t="s">
        <v>2214</v>
      </c>
      <c r="LK218" s="695" t="s">
        <v>2214</v>
      </c>
      <c r="LL218" s="695" t="s">
        <v>2214</v>
      </c>
      <c r="LM218" s="695" t="s">
        <v>2232</v>
      </c>
      <c r="LN218" s="695" t="s">
        <v>2232</v>
      </c>
      <c r="LO218" s="695" t="s">
        <v>2232</v>
      </c>
      <c r="LP218" s="695" t="s">
        <v>2194</v>
      </c>
      <c r="LQ218" s="695" t="s">
        <v>2194</v>
      </c>
      <c r="LR218" s="695" t="s">
        <v>2194</v>
      </c>
      <c r="LS218" s="695" t="s">
        <v>2194</v>
      </c>
      <c r="LT218" s="695" t="s">
        <v>2194</v>
      </c>
      <c r="LU218" s="695" t="s">
        <v>2194</v>
      </c>
      <c r="LV218" s="695" t="s">
        <v>2194</v>
      </c>
      <c r="LW218" s="695" t="s">
        <v>2194</v>
      </c>
      <c r="LX218" s="695" t="s">
        <v>2194</v>
      </c>
      <c r="LY218" s="695" t="s">
        <v>2194</v>
      </c>
      <c r="LZ218" s="695" t="s">
        <v>2194</v>
      </c>
      <c r="MA218" s="695" t="s">
        <v>2194</v>
      </c>
      <c r="MB218" s="695" t="s">
        <v>2194</v>
      </c>
      <c r="MC218" s="695" t="s">
        <v>2194</v>
      </c>
      <c r="MD218" s="695" t="s">
        <v>2194</v>
      </c>
      <c r="ME218" s="695" t="s">
        <v>2194</v>
      </c>
      <c r="MF218" s="695" t="s">
        <v>2194</v>
      </c>
      <c r="MG218" s="695" t="s">
        <v>2194</v>
      </c>
      <c r="MH218" s="695" t="s">
        <v>2215</v>
      </c>
      <c r="MI218" s="695" t="s">
        <v>2215</v>
      </c>
      <c r="MJ218" s="695" t="s">
        <v>2240</v>
      </c>
      <c r="MK218" s="695" t="s">
        <v>2226</v>
      </c>
      <c r="ML218" s="695" t="s">
        <v>2226</v>
      </c>
      <c r="MM218" s="695" t="s">
        <v>2226</v>
      </c>
      <c r="MN218" s="695" t="s">
        <v>2226</v>
      </c>
      <c r="MO218" s="695" t="s">
        <v>2226</v>
      </c>
      <c r="MP218" s="695" t="s">
        <v>2226</v>
      </c>
      <c r="MQ218" s="695" t="s">
        <v>2226</v>
      </c>
      <c r="MR218" s="695" t="s">
        <v>2226</v>
      </c>
      <c r="MS218" s="695" t="s">
        <v>2226</v>
      </c>
      <c r="MT218" s="695" t="s">
        <v>2226</v>
      </c>
      <c r="MU218" s="695" t="s">
        <v>2226</v>
      </c>
      <c r="MV218" s="695" t="s">
        <v>2226</v>
      </c>
      <c r="MW218" s="695" t="s">
        <v>2226</v>
      </c>
      <c r="MX218" s="695" t="s">
        <v>2226</v>
      </c>
      <c r="MY218" s="695" t="s">
        <v>2226</v>
      </c>
      <c r="MZ218" s="695" t="s">
        <v>2221</v>
      </c>
      <c r="NA218" s="695" t="s">
        <v>2240</v>
      </c>
      <c r="NB218" s="695" t="s">
        <v>2221</v>
      </c>
      <c r="NC218" s="695" t="s">
        <v>2240</v>
      </c>
      <c r="ND218" s="695" t="s">
        <v>2221</v>
      </c>
      <c r="NE218" s="695" t="s">
        <v>2221</v>
      </c>
      <c r="NF218" s="695" t="s">
        <v>2221</v>
      </c>
      <c r="NG218" s="695" t="s">
        <v>2221</v>
      </c>
      <c r="NH218" s="695" t="s">
        <v>2221</v>
      </c>
      <c r="NI218" s="695" t="s">
        <v>2221</v>
      </c>
      <c r="NJ218" s="695" t="s">
        <v>2193</v>
      </c>
      <c r="NK218" s="695" t="s">
        <v>2193</v>
      </c>
      <c r="NL218" s="695" t="s">
        <v>2193</v>
      </c>
      <c r="NM218" s="695" t="s">
        <v>2193</v>
      </c>
      <c r="NN218" s="695" t="s">
        <v>2193</v>
      </c>
      <c r="NO218" s="695" t="s">
        <v>2193</v>
      </c>
      <c r="NP218" s="695" t="s">
        <v>2193</v>
      </c>
      <c r="NQ218" s="695" t="s">
        <v>2195</v>
      </c>
      <c r="NR218" s="695" t="s">
        <v>2195</v>
      </c>
      <c r="NS218" s="695" t="s">
        <v>2195</v>
      </c>
      <c r="NT218" s="695" t="s">
        <v>2195</v>
      </c>
      <c r="NU218" s="695" t="s">
        <v>2195</v>
      </c>
      <c r="NV218" s="695" t="s">
        <v>2195</v>
      </c>
      <c r="NW218" s="695" t="s">
        <v>2195</v>
      </c>
      <c r="NX218" s="695" t="s">
        <v>2218</v>
      </c>
      <c r="NY218" s="695" t="s">
        <v>2218</v>
      </c>
      <c r="NZ218" s="695" t="s">
        <v>2218</v>
      </c>
      <c r="OA218" s="695" t="s">
        <v>2195</v>
      </c>
      <c r="OB218" s="695" t="s">
        <v>2195</v>
      </c>
      <c r="OC218" s="695" t="s">
        <v>2195</v>
      </c>
      <c r="OD218" s="695" t="s">
        <v>2195</v>
      </c>
      <c r="OE218" s="695" t="s">
        <v>2195</v>
      </c>
      <c r="OF218" s="695" t="s">
        <v>2195</v>
      </c>
      <c r="OG218" s="695" t="s">
        <v>2195</v>
      </c>
      <c r="OH218" s="695" t="s">
        <v>2195</v>
      </c>
      <c r="OI218" s="695" t="s">
        <v>2195</v>
      </c>
      <c r="OJ218" s="695" t="s">
        <v>2235</v>
      </c>
      <c r="OK218" s="695" t="s">
        <v>2235</v>
      </c>
      <c r="OL218" s="695" t="s">
        <v>2235</v>
      </c>
      <c r="OM218" s="695" t="s">
        <v>2235</v>
      </c>
      <c r="ON218" s="695" t="s">
        <v>2235</v>
      </c>
      <c r="OO218" s="695" t="s">
        <v>2235</v>
      </c>
      <c r="OP218" s="695" t="s">
        <v>2235</v>
      </c>
      <c r="OQ218" s="695" t="s">
        <v>2235</v>
      </c>
      <c r="OR218" s="695" t="s">
        <v>2235</v>
      </c>
      <c r="OS218" s="695" t="s">
        <v>2235</v>
      </c>
      <c r="OT218" s="695" t="s">
        <v>2210</v>
      </c>
      <c r="OU218" s="695" t="s">
        <v>2210</v>
      </c>
      <c r="OV218" s="695" t="s">
        <v>2235</v>
      </c>
      <c r="OW218" s="695" t="s">
        <v>2235</v>
      </c>
      <c r="OX218" s="695" t="s">
        <v>2235</v>
      </c>
      <c r="OY218" s="695" t="s">
        <v>2235</v>
      </c>
      <c r="OZ218" s="695" t="s">
        <v>2235</v>
      </c>
      <c r="PA218" s="695" t="s">
        <v>2210</v>
      </c>
      <c r="PB218" s="695" t="s">
        <v>2210</v>
      </c>
      <c r="PC218" s="695" t="s">
        <v>2220</v>
      </c>
      <c r="PD218" s="695" t="s">
        <v>2220</v>
      </c>
      <c r="PE218" s="695" t="s">
        <v>2228</v>
      </c>
      <c r="PF218" s="695" t="s">
        <v>2220</v>
      </c>
      <c r="PG218" s="695" t="s">
        <v>2228</v>
      </c>
      <c r="PH218" s="695" t="s">
        <v>2228</v>
      </c>
      <c r="PI218" s="695" t="s">
        <v>2198</v>
      </c>
      <c r="PJ218" s="695" t="s">
        <v>2198</v>
      </c>
      <c r="PK218" s="695" t="s">
        <v>2220</v>
      </c>
      <c r="PL218" s="695" t="s">
        <v>2220</v>
      </c>
      <c r="PM218" s="695" t="s">
        <v>2220</v>
      </c>
      <c r="PN218" s="695" t="s">
        <v>2235</v>
      </c>
      <c r="PO218" s="695" t="s">
        <v>2235</v>
      </c>
      <c r="PP218" s="695" t="s">
        <v>2235</v>
      </c>
      <c r="PQ218" s="695" t="s">
        <v>2235</v>
      </c>
      <c r="PR218" s="695" t="s">
        <v>2235</v>
      </c>
      <c r="PS218" s="695" t="s">
        <v>2235</v>
      </c>
      <c r="PT218" s="695" t="s">
        <v>2235</v>
      </c>
      <c r="PU218" s="695" t="s">
        <v>2235</v>
      </c>
      <c r="PV218" s="695" t="s">
        <v>2235</v>
      </c>
      <c r="PW218" s="695" t="s">
        <v>2237</v>
      </c>
      <c r="PX218" s="695" t="s">
        <v>2237</v>
      </c>
      <c r="PY218" s="695" t="s">
        <v>2237</v>
      </c>
      <c r="PZ218" s="695" t="s">
        <v>2237</v>
      </c>
      <c r="QA218" s="695" t="s">
        <v>2237</v>
      </c>
      <c r="QB218" s="695" t="s">
        <v>2237</v>
      </c>
      <c r="QC218" s="695" t="s">
        <v>2237</v>
      </c>
      <c r="QD218" s="695" t="s">
        <v>2237</v>
      </c>
      <c r="QE218" s="695" t="s">
        <v>2207</v>
      </c>
      <c r="QF218" s="695" t="s">
        <v>2207</v>
      </c>
      <c r="QG218" s="695" t="s">
        <v>2207</v>
      </c>
      <c r="QH218" s="695" t="s">
        <v>2207</v>
      </c>
      <c r="QI218" s="695" t="s">
        <v>2207</v>
      </c>
      <c r="QJ218" s="695" t="s">
        <v>2207</v>
      </c>
      <c r="QK218" s="695" t="s">
        <v>2207</v>
      </c>
      <c r="QL218" s="695" t="s">
        <v>2207</v>
      </c>
      <c r="QM218" s="695" t="s">
        <v>2237</v>
      </c>
      <c r="QN218" s="695" t="s">
        <v>2237</v>
      </c>
      <c r="QO218" s="695" t="s">
        <v>2237</v>
      </c>
      <c r="QP218" s="695" t="s">
        <v>2225</v>
      </c>
      <c r="QQ218" s="695" t="s">
        <v>2225</v>
      </c>
      <c r="QR218" s="695" t="s">
        <v>2225</v>
      </c>
      <c r="QS218" s="695" t="s">
        <v>2225</v>
      </c>
      <c r="QT218" s="695" t="s">
        <v>2225</v>
      </c>
      <c r="QU218" s="695" t="s">
        <v>2204</v>
      </c>
      <c r="QV218" s="695" t="s">
        <v>2203</v>
      </c>
      <c r="QW218" s="695" t="s">
        <v>2203</v>
      </c>
      <c r="QX218" s="695" t="s">
        <v>2203</v>
      </c>
      <c r="QY218" s="695" t="s">
        <v>2203</v>
      </c>
      <c r="QZ218" s="695" t="s">
        <v>2215</v>
      </c>
      <c r="RA218" s="695" t="s">
        <v>2215</v>
      </c>
      <c r="RB218" s="695" t="s">
        <v>2207</v>
      </c>
      <c r="RC218" s="695" t="s">
        <v>2207</v>
      </c>
      <c r="RD218" s="695" t="s">
        <v>2204</v>
      </c>
      <c r="RE218" s="695" t="s">
        <v>2204</v>
      </c>
      <c r="RF218" s="695" t="s">
        <v>2204</v>
      </c>
      <c r="RG218" s="695" t="s">
        <v>2204</v>
      </c>
      <c r="RH218" s="695" t="s">
        <v>2204</v>
      </c>
      <c r="RI218" s="695" t="s">
        <v>2203</v>
      </c>
      <c r="RJ218" s="695" t="s">
        <v>2203</v>
      </c>
      <c r="RK218" s="695" t="s">
        <v>2203</v>
      </c>
      <c r="RL218" s="695" t="s">
        <v>2215</v>
      </c>
      <c r="RM218" s="695" t="s">
        <v>2215</v>
      </c>
      <c r="RN218" s="695" t="s">
        <v>2215</v>
      </c>
      <c r="RO218" s="695" t="s">
        <v>2215</v>
      </c>
      <c r="RP218" s="695" t="s">
        <v>2215</v>
      </c>
      <c r="RQ218" s="695" t="s">
        <v>2215</v>
      </c>
      <c r="RR218" s="695" t="s">
        <v>2215</v>
      </c>
      <c r="RS218" s="695" t="s">
        <v>2215</v>
      </c>
      <c r="RT218" s="695" t="s">
        <v>2215</v>
      </c>
      <c r="RU218" s="695" t="s">
        <v>2215</v>
      </c>
      <c r="RV218" s="695" t="s">
        <v>2215</v>
      </c>
      <c r="RW218" s="695" t="s">
        <v>2206</v>
      </c>
      <c r="RX218" s="695" t="s">
        <v>2206</v>
      </c>
      <c r="RY218" s="695" t="s">
        <v>2215</v>
      </c>
      <c r="RZ218" s="695" t="s">
        <v>2206</v>
      </c>
      <c r="SA218" s="695" t="s">
        <v>2206</v>
      </c>
      <c r="SB218" s="695" t="s">
        <v>2206</v>
      </c>
      <c r="SC218" s="695" t="s">
        <v>2206</v>
      </c>
      <c r="SD218" s="695" t="s">
        <v>2206</v>
      </c>
      <c r="SE218" s="695" t="s">
        <v>2206</v>
      </c>
      <c r="SF218" s="695" t="s">
        <v>2206</v>
      </c>
      <c r="SG218" s="695" t="s">
        <v>2206</v>
      </c>
      <c r="SH218" s="695" t="s">
        <v>2206</v>
      </c>
      <c r="SI218" s="695" t="s">
        <v>2206</v>
      </c>
      <c r="SJ218" s="695" t="s">
        <v>2206</v>
      </c>
      <c r="SK218" s="695" t="s">
        <v>2206</v>
      </c>
      <c r="SL218" s="695" t="s">
        <v>2206</v>
      </c>
      <c r="SM218" s="695" t="s">
        <v>2206</v>
      </c>
      <c r="SN218" s="695" t="s">
        <v>2206</v>
      </c>
      <c r="SO218" s="695" t="s">
        <v>2206</v>
      </c>
      <c r="SP218" s="695" t="s">
        <v>2206</v>
      </c>
      <c r="SQ218" s="695" t="s">
        <v>2206</v>
      </c>
      <c r="SR218" s="695" t="s">
        <v>2206</v>
      </c>
      <c r="SS218" s="695" t="s">
        <v>2196</v>
      </c>
      <c r="ST218" s="695" t="s">
        <v>2196</v>
      </c>
      <c r="SU218" s="695" t="s">
        <v>2196</v>
      </c>
      <c r="SV218" s="695" t="s">
        <v>2196</v>
      </c>
      <c r="SW218" s="695" t="s">
        <v>2196</v>
      </c>
      <c r="SX218" s="695" t="s">
        <v>2196</v>
      </c>
      <c r="SY218" s="695" t="s">
        <v>2206</v>
      </c>
      <c r="SZ218" s="695" t="s">
        <v>2206</v>
      </c>
      <c r="TA218" s="695" t="s">
        <v>2196</v>
      </c>
      <c r="TB218" s="695" t="s">
        <v>2196</v>
      </c>
      <c r="TC218" s="695" t="s">
        <v>2196</v>
      </c>
      <c r="TD218" s="695" t="s">
        <v>2196</v>
      </c>
      <c r="TE218" s="695" t="s">
        <v>2196</v>
      </c>
      <c r="TF218" s="695" t="s">
        <v>2196</v>
      </c>
      <c r="TG218" s="695" t="s">
        <v>2196</v>
      </c>
      <c r="TH218" s="695" t="s">
        <v>2196</v>
      </c>
      <c r="TI218" s="695" t="s">
        <v>2196</v>
      </c>
      <c r="TJ218" s="695" t="s">
        <v>2196</v>
      </c>
      <c r="TK218" s="695" t="s">
        <v>2233</v>
      </c>
      <c r="TL218" s="695" t="s">
        <v>2233</v>
      </c>
      <c r="TM218" s="695" t="s">
        <v>2233</v>
      </c>
      <c r="TN218" s="695" t="s">
        <v>2233</v>
      </c>
      <c r="TO218" s="695" t="s">
        <v>2233</v>
      </c>
      <c r="TP218" s="695" t="s">
        <v>2196</v>
      </c>
      <c r="TQ218" s="695" t="s">
        <v>2196</v>
      </c>
      <c r="TR218" s="695" t="s">
        <v>2196</v>
      </c>
      <c r="TS218" s="695" t="s">
        <v>2196</v>
      </c>
      <c r="TT218" s="695" t="s">
        <v>2196</v>
      </c>
      <c r="TU218" s="695" t="s">
        <v>2233</v>
      </c>
      <c r="TV218" s="695" t="s">
        <v>2233</v>
      </c>
      <c r="TW218" s="695" t="s">
        <v>2195</v>
      </c>
      <c r="TX218" s="695" t="s">
        <v>2195</v>
      </c>
      <c r="TY218" s="695" t="s">
        <v>2195</v>
      </c>
      <c r="TZ218" s="695" t="s">
        <v>2195</v>
      </c>
      <c r="UA218" s="695" t="s">
        <v>2195</v>
      </c>
      <c r="UB218" s="695" t="s">
        <v>2195</v>
      </c>
      <c r="UC218" s="695" t="s">
        <v>2218</v>
      </c>
      <c r="UD218" s="695" t="s">
        <v>2218</v>
      </c>
      <c r="UE218" s="695" t="s">
        <v>2218</v>
      </c>
      <c r="UF218" s="695" t="s">
        <v>2218</v>
      </c>
      <c r="UG218" s="695" t="s">
        <v>2195</v>
      </c>
      <c r="UH218" s="695" t="s">
        <v>2195</v>
      </c>
      <c r="UI218" s="695" t="s">
        <v>2195</v>
      </c>
      <c r="UJ218" s="695" t="s">
        <v>2195</v>
      </c>
      <c r="UK218" s="695" t="s">
        <v>2195</v>
      </c>
      <c r="UL218" s="695" t="s">
        <v>2195</v>
      </c>
      <c r="UM218" s="695" t="s">
        <v>2195</v>
      </c>
      <c r="UN218" s="695" t="s">
        <v>2195</v>
      </c>
      <c r="UO218" s="695" t="s">
        <v>2195</v>
      </c>
      <c r="UP218" s="695" t="s">
        <v>2195</v>
      </c>
      <c r="UQ218" s="695" t="s">
        <v>2195</v>
      </c>
      <c r="UR218" s="695" t="s">
        <v>2195</v>
      </c>
      <c r="US218" s="695" t="s">
        <v>2220</v>
      </c>
      <c r="UT218" s="695" t="s">
        <v>2220</v>
      </c>
      <c r="UU218" s="695" t="s">
        <v>2197</v>
      </c>
      <c r="UV218" s="695" t="s">
        <v>2222</v>
      </c>
      <c r="UW218" s="695" t="s">
        <v>2222</v>
      </c>
      <c r="UX218" s="695" t="s">
        <v>2222</v>
      </c>
      <c r="UY218" s="695" t="s">
        <v>2222</v>
      </c>
      <c r="UZ218" s="695" t="s">
        <v>2222</v>
      </c>
      <c r="VA218" s="695" t="s">
        <v>2222</v>
      </c>
      <c r="VB218" s="695" t="s">
        <v>2197</v>
      </c>
      <c r="VC218" s="695" t="s">
        <v>2197</v>
      </c>
      <c r="VD218" s="695" t="s">
        <v>2197</v>
      </c>
      <c r="VE218" s="695" t="s">
        <v>2229</v>
      </c>
      <c r="VF218" s="695" t="s">
        <v>2229</v>
      </c>
      <c r="VG218" s="695" t="s">
        <v>2211</v>
      </c>
      <c r="VH218" s="695" t="s">
        <v>2211</v>
      </c>
      <c r="VI218" s="695" t="s">
        <v>2211</v>
      </c>
      <c r="VJ218" s="695" t="s">
        <v>2211</v>
      </c>
      <c r="VK218" s="695" t="s">
        <v>2211</v>
      </c>
      <c r="VL218" s="695" t="s">
        <v>2211</v>
      </c>
      <c r="VM218" s="695" t="s">
        <v>2229</v>
      </c>
      <c r="VN218" s="695" t="s">
        <v>2211</v>
      </c>
      <c r="VO218" s="695" t="s">
        <v>2211</v>
      </c>
      <c r="VP218" s="695" t="s">
        <v>2197</v>
      </c>
      <c r="VQ218" s="695" t="s">
        <v>2197</v>
      </c>
      <c r="VR218" s="695" t="s">
        <v>2197</v>
      </c>
      <c r="VS218" s="695" t="s">
        <v>2211</v>
      </c>
      <c r="VT218" s="695" t="s">
        <v>2211</v>
      </c>
      <c r="VU218" s="695" t="s">
        <v>2211</v>
      </c>
      <c r="VV218" s="695" t="s">
        <v>2211</v>
      </c>
      <c r="VW218" s="695" t="s">
        <v>2228</v>
      </c>
      <c r="VX218" s="695" t="s">
        <v>2228</v>
      </c>
      <c r="VY218" s="695" t="s">
        <v>2228</v>
      </c>
      <c r="VZ218" s="695" t="s">
        <v>2228</v>
      </c>
      <c r="WA218" s="695" t="s">
        <v>2228</v>
      </c>
      <c r="WB218" s="695" t="s">
        <v>2228</v>
      </c>
      <c r="WC218" s="695" t="s">
        <v>2228</v>
      </c>
      <c r="WD218" s="695" t="s">
        <v>2228</v>
      </c>
      <c r="WE218" s="695" t="s">
        <v>2228</v>
      </c>
      <c r="WF218" s="695" t="s">
        <v>2228</v>
      </c>
      <c r="WG218" s="695" t="s">
        <v>2228</v>
      </c>
      <c r="WH218" s="695" t="s">
        <v>2228</v>
      </c>
      <c r="WI218" s="695" t="s">
        <v>2222</v>
      </c>
      <c r="WJ218" s="695" t="s">
        <v>2222</v>
      </c>
      <c r="WK218" s="695" t="s">
        <v>2222</v>
      </c>
      <c r="WL218" s="695" t="s">
        <v>2234</v>
      </c>
      <c r="WM218" s="695" t="s">
        <v>2228</v>
      </c>
      <c r="WN218" s="695" t="s">
        <v>2222</v>
      </c>
      <c r="WO218" s="695" t="s">
        <v>2222</v>
      </c>
      <c r="WP218" s="695" t="s">
        <v>2222</v>
      </c>
      <c r="WQ218" s="695" t="s">
        <v>2222</v>
      </c>
      <c r="WR218" s="695" t="s">
        <v>2228</v>
      </c>
      <c r="WS218" s="695" t="s">
        <v>2228</v>
      </c>
      <c r="WT218" s="695" t="s">
        <v>2225</v>
      </c>
      <c r="WU218" s="695" t="s">
        <v>2222</v>
      </c>
      <c r="WV218" s="695" t="s">
        <v>2225</v>
      </c>
      <c r="WW218" s="695" t="s">
        <v>2225</v>
      </c>
      <c r="WX218" s="695" t="s">
        <v>2225</v>
      </c>
      <c r="WY218" s="695" t="s">
        <v>2225</v>
      </c>
      <c r="WZ218" s="695" t="s">
        <v>2228</v>
      </c>
      <c r="XA218" s="695" t="s">
        <v>2228</v>
      </c>
      <c r="XB218" s="695" t="s">
        <v>2228</v>
      </c>
      <c r="XC218" s="695" t="s">
        <v>2222</v>
      </c>
      <c r="XD218" s="695" t="s">
        <v>2222</v>
      </c>
      <c r="XE218" s="695" t="s">
        <v>2222</v>
      </c>
      <c r="XF218" s="695" t="s">
        <v>2203</v>
      </c>
      <c r="XG218" s="695" t="s">
        <v>2203</v>
      </c>
      <c r="XH218" s="695" t="s">
        <v>2203</v>
      </c>
      <c r="XI218" s="695" t="s">
        <v>2203</v>
      </c>
      <c r="XJ218" s="695" t="s">
        <v>2203</v>
      </c>
      <c r="XK218" s="695" t="s">
        <v>2203</v>
      </c>
      <c r="XL218" s="695" t="s">
        <v>2203</v>
      </c>
      <c r="XM218" s="695" t="s">
        <v>2204</v>
      </c>
      <c r="XN218" s="695" t="s">
        <v>2204</v>
      </c>
      <c r="XO218" s="695" t="s">
        <v>2204</v>
      </c>
      <c r="XP218" s="695" t="s">
        <v>2203</v>
      </c>
      <c r="XQ218" s="695" t="s">
        <v>2203</v>
      </c>
      <c r="XR218" s="695" t="s">
        <v>2204</v>
      </c>
      <c r="XS218" s="695" t="s">
        <v>2225</v>
      </c>
      <c r="XT218" s="695" t="s">
        <v>2225</v>
      </c>
      <c r="XU218" s="695" t="s">
        <v>2212</v>
      </c>
      <c r="XV218" s="695" t="s">
        <v>2212</v>
      </c>
      <c r="XW218" s="695" t="s">
        <v>2212</v>
      </c>
      <c r="XX218" s="695" t="s">
        <v>2212</v>
      </c>
      <c r="XY218" s="695" t="s">
        <v>2212</v>
      </c>
      <c r="XZ218" s="695" t="s">
        <v>2212</v>
      </c>
      <c r="YA218" s="695" t="s">
        <v>2212</v>
      </c>
      <c r="YB218" s="695" t="s">
        <v>2212</v>
      </c>
      <c r="YC218" s="695" t="s">
        <v>2212</v>
      </c>
      <c r="YD218" s="695" t="s">
        <v>2212</v>
      </c>
      <c r="YE218" s="695" t="s">
        <v>2203</v>
      </c>
      <c r="YF218" s="695" t="s">
        <v>2203</v>
      </c>
      <c r="YG218" s="695" t="s">
        <v>2205</v>
      </c>
      <c r="YH218" s="695" t="s">
        <v>2205</v>
      </c>
      <c r="YI218" s="695" t="s">
        <v>2205</v>
      </c>
      <c r="YJ218" s="695" t="s">
        <v>2205</v>
      </c>
      <c r="YK218" s="695" t="s">
        <v>2205</v>
      </c>
      <c r="YL218" s="695" t="s">
        <v>2205</v>
      </c>
      <c r="YM218" s="695" t="s">
        <v>2205</v>
      </c>
      <c r="YN218" s="695" t="s">
        <v>2205</v>
      </c>
      <c r="YO218" s="695" t="s">
        <v>2205</v>
      </c>
      <c r="YP218" s="695" t="s">
        <v>2205</v>
      </c>
      <c r="YQ218" s="695" t="s">
        <v>2205</v>
      </c>
      <c r="YR218" s="695" t="s">
        <v>2205</v>
      </c>
      <c r="YS218" s="695" t="s">
        <v>2205</v>
      </c>
      <c r="YT218" s="695" t="s">
        <v>2205</v>
      </c>
      <c r="YU218" s="695" t="s">
        <v>2205</v>
      </c>
      <c r="YV218" s="695" t="s">
        <v>2205</v>
      </c>
      <c r="YW218" s="695" t="s">
        <v>2205</v>
      </c>
      <c r="YX218" s="695" t="s">
        <v>2205</v>
      </c>
      <c r="YY218" s="695" t="s">
        <v>2205</v>
      </c>
      <c r="YZ218" s="695" t="s">
        <v>2205</v>
      </c>
      <c r="ZA218" s="695" t="s">
        <v>2205</v>
      </c>
      <c r="ZB218" s="695" t="s">
        <v>2205</v>
      </c>
      <c r="ZC218" s="695" t="s">
        <v>2205</v>
      </c>
      <c r="ZD218" s="695" t="s">
        <v>2205</v>
      </c>
      <c r="ZE218" s="695" t="s">
        <v>2205</v>
      </c>
      <c r="ZF218" s="695" t="s">
        <v>2205</v>
      </c>
      <c r="ZG218" s="695" t="s">
        <v>2205</v>
      </c>
      <c r="ZH218" s="695" t="s">
        <v>2205</v>
      </c>
      <c r="ZI218" s="695" t="s">
        <v>2205</v>
      </c>
      <c r="ZJ218" s="695" t="s">
        <v>2205</v>
      </c>
      <c r="ZK218" s="695" t="s">
        <v>2205</v>
      </c>
      <c r="ZL218" s="695" t="s">
        <v>2205</v>
      </c>
      <c r="ZM218" s="695" t="s">
        <v>2205</v>
      </c>
      <c r="ZN218" s="695" t="s">
        <v>2205</v>
      </c>
      <c r="ZO218" s="695" t="s">
        <v>2205</v>
      </c>
      <c r="ZP218" s="695" t="s">
        <v>2217</v>
      </c>
      <c r="ZQ218" s="695" t="s">
        <v>2217</v>
      </c>
      <c r="ZR218" s="695" t="s">
        <v>2217</v>
      </c>
      <c r="ZS218" s="695" t="s">
        <v>2217</v>
      </c>
      <c r="ZT218" s="695" t="s">
        <v>2217</v>
      </c>
      <c r="ZU218" s="695" t="s">
        <v>2217</v>
      </c>
      <c r="ZV218" s="695" t="s">
        <v>2217</v>
      </c>
      <c r="ZW218" s="695" t="s">
        <v>2217</v>
      </c>
      <c r="ZX218" s="695" t="s">
        <v>2217</v>
      </c>
      <c r="ZY218" s="695" t="s">
        <v>2217</v>
      </c>
      <c r="ZZ218" s="695" t="s">
        <v>2217</v>
      </c>
      <c r="AAA218" s="695" t="s">
        <v>2217</v>
      </c>
      <c r="AAB218" s="695" t="s">
        <v>2217</v>
      </c>
      <c r="AAC218" s="695" t="s">
        <v>2217</v>
      </c>
      <c r="AAD218" s="695" t="s">
        <v>2217</v>
      </c>
      <c r="AAE218" s="695" t="s">
        <v>2217</v>
      </c>
      <c r="AAF218" s="695" t="s">
        <v>2217</v>
      </c>
      <c r="AAG218" s="695" t="s">
        <v>2205</v>
      </c>
      <c r="AAH218" s="695" t="s">
        <v>2217</v>
      </c>
      <c r="AAI218" s="695" t="s">
        <v>2217</v>
      </c>
      <c r="AAJ218" s="695" t="s">
        <v>2217</v>
      </c>
      <c r="AAK218" s="695" t="s">
        <v>2217</v>
      </c>
      <c r="AAL218" s="695" t="s">
        <v>2217</v>
      </c>
      <c r="AAM218" s="695" t="s">
        <v>2217</v>
      </c>
      <c r="AAN218" s="695" t="s">
        <v>2217</v>
      </c>
      <c r="AAO218" s="695" t="s">
        <v>2239</v>
      </c>
      <c r="AAP218" s="695" t="s">
        <v>2239</v>
      </c>
      <c r="AAQ218" s="695" t="s">
        <v>2196</v>
      </c>
      <c r="AAR218" s="695" t="s">
        <v>2217</v>
      </c>
      <c r="AAS218" s="695" t="s">
        <v>2217</v>
      </c>
      <c r="AAT218" s="695" t="s">
        <v>2239</v>
      </c>
      <c r="AAU218" s="695" t="s">
        <v>2196</v>
      </c>
      <c r="AAV218" s="695" t="s">
        <v>2233</v>
      </c>
      <c r="AAW218" s="695" t="s">
        <v>2196</v>
      </c>
      <c r="AAX218" s="695" t="s">
        <v>2196</v>
      </c>
      <c r="AAY218" s="695" t="s">
        <v>2233</v>
      </c>
      <c r="AAZ218" s="695" t="s">
        <v>2233</v>
      </c>
      <c r="ABA218" s="695" t="s">
        <v>2239</v>
      </c>
      <c r="ABB218" s="695" t="s">
        <v>2239</v>
      </c>
      <c r="ABC218" s="695" t="s">
        <v>2233</v>
      </c>
      <c r="ABD218" s="695" t="s">
        <v>2233</v>
      </c>
      <c r="ABE218" s="695" t="s">
        <v>2239</v>
      </c>
      <c r="ABF218" s="695" t="s">
        <v>2239</v>
      </c>
      <c r="ABG218" s="695" t="s">
        <v>2239</v>
      </c>
      <c r="ABH218" s="695" t="s">
        <v>2239</v>
      </c>
      <c r="ABI218" s="695" t="s">
        <v>2202</v>
      </c>
      <c r="ABJ218" s="695" t="s">
        <v>2202</v>
      </c>
      <c r="ABK218" s="695" t="s">
        <v>2202</v>
      </c>
      <c r="ABL218" s="695" t="s">
        <v>2218</v>
      </c>
      <c r="ABM218" s="695" t="s">
        <v>2233</v>
      </c>
      <c r="ABN218" s="695" t="s">
        <v>2218</v>
      </c>
      <c r="ABO218" s="695" t="s">
        <v>2218</v>
      </c>
      <c r="ABP218" s="695" t="s">
        <v>2195</v>
      </c>
      <c r="ABQ218" s="695" t="s">
        <v>2195</v>
      </c>
      <c r="ABR218" s="695" t="s">
        <v>2195</v>
      </c>
      <c r="ABS218" s="695" t="s">
        <v>2202</v>
      </c>
      <c r="ABT218" s="695" t="s">
        <v>2202</v>
      </c>
      <c r="ABU218" s="695" t="s">
        <v>2202</v>
      </c>
      <c r="ABV218" s="695" t="s">
        <v>2202</v>
      </c>
      <c r="ABW218" s="695" t="s">
        <v>2227</v>
      </c>
      <c r="ABX218" s="695" t="s">
        <v>2195</v>
      </c>
      <c r="ABY218" s="695" t="s">
        <v>2195</v>
      </c>
      <c r="ABZ218" s="695" t="s">
        <v>2195</v>
      </c>
      <c r="ACA218" s="695" t="s">
        <v>2195</v>
      </c>
      <c r="ACB218" s="695" t="s">
        <v>2195</v>
      </c>
      <c r="ACC218" s="695" t="s">
        <v>2195</v>
      </c>
      <c r="ACD218" s="695" t="s">
        <v>2195</v>
      </c>
      <c r="ACE218" s="695" t="s">
        <v>2227</v>
      </c>
      <c r="ACF218" s="695" t="s">
        <v>2227</v>
      </c>
      <c r="ACG218" s="695" t="s">
        <v>2227</v>
      </c>
      <c r="ACH218" s="695" t="s">
        <v>2219</v>
      </c>
      <c r="ACI218" s="695" t="s">
        <v>2219</v>
      </c>
      <c r="ACJ218" s="695" t="s">
        <v>2209</v>
      </c>
      <c r="ACK218" s="695" t="s">
        <v>2209</v>
      </c>
      <c r="ACL218" s="695" t="s">
        <v>2209</v>
      </c>
      <c r="ACM218" s="695" t="s">
        <v>2209</v>
      </c>
      <c r="ACN218" s="695" t="s">
        <v>2209</v>
      </c>
      <c r="ACO218" s="695" t="s">
        <v>2209</v>
      </c>
      <c r="ACP218" s="695" t="s">
        <v>2209</v>
      </c>
      <c r="ACQ218" s="695" t="s">
        <v>2234</v>
      </c>
      <c r="ACR218" s="695" t="s">
        <v>2219</v>
      </c>
      <c r="ACS218" s="695" t="s">
        <v>2219</v>
      </c>
      <c r="ACT218" s="695" t="s">
        <v>2234</v>
      </c>
      <c r="ACU218" s="695" t="s">
        <v>2219</v>
      </c>
      <c r="ACV218" s="695" t="s">
        <v>2219</v>
      </c>
      <c r="ACW218" s="695" t="s">
        <v>2219</v>
      </c>
      <c r="ACX218" s="695" t="s">
        <v>2234</v>
      </c>
      <c r="ACY218" s="695" t="s">
        <v>2209</v>
      </c>
      <c r="ACZ218" s="695" t="s">
        <v>2209</v>
      </c>
      <c r="ADA218" s="695" t="s">
        <v>2209</v>
      </c>
      <c r="ADB218" s="695" t="s">
        <v>2222</v>
      </c>
      <c r="ADC218" s="695" t="s">
        <v>2222</v>
      </c>
      <c r="ADD218" s="695" t="s">
        <v>2222</v>
      </c>
      <c r="ADE218" s="695" t="s">
        <v>2212</v>
      </c>
      <c r="ADF218" s="695" t="s">
        <v>2212</v>
      </c>
      <c r="ADG218" s="695" t="s">
        <v>2212</v>
      </c>
      <c r="ADH218" s="695" t="s">
        <v>2212</v>
      </c>
      <c r="ADI218" s="695" t="s">
        <v>2212</v>
      </c>
      <c r="ADJ218" s="695" t="s">
        <v>2212</v>
      </c>
      <c r="ADK218" s="695" t="s">
        <v>2212</v>
      </c>
      <c r="ADL218" s="695" t="s">
        <v>2212</v>
      </c>
      <c r="ADM218" s="695" t="s">
        <v>2212</v>
      </c>
      <c r="ADN218" s="695" t="s">
        <v>2212</v>
      </c>
      <c r="ADO218" s="695" t="s">
        <v>2212</v>
      </c>
      <c r="ADP218" s="695" t="s">
        <v>2212</v>
      </c>
      <c r="ADQ218" s="695" t="s">
        <v>2212</v>
      </c>
      <c r="ADR218" s="695" t="s">
        <v>2238</v>
      </c>
      <c r="ADS218" s="695" t="s">
        <v>2238</v>
      </c>
      <c r="ADT218" s="695" t="s">
        <v>2238</v>
      </c>
      <c r="ADU218" s="695" t="s">
        <v>2238</v>
      </c>
      <c r="ADV218" s="695" t="s">
        <v>2238</v>
      </c>
      <c r="ADW218" s="695" t="s">
        <v>2238</v>
      </c>
      <c r="ADX218" s="695" t="s">
        <v>2238</v>
      </c>
      <c r="ADY218" s="695" t="s">
        <v>2213</v>
      </c>
      <c r="ADZ218" s="695" t="s">
        <v>2238</v>
      </c>
      <c r="AEA218" s="695" t="s">
        <v>2238</v>
      </c>
      <c r="AEB218" s="695" t="s">
        <v>2238</v>
      </c>
      <c r="AEC218" s="695" t="s">
        <v>2238</v>
      </c>
      <c r="AED218" s="695" t="s">
        <v>2238</v>
      </c>
      <c r="AEE218" s="695" t="s">
        <v>2238</v>
      </c>
      <c r="AEF218" s="695" t="s">
        <v>2238</v>
      </c>
      <c r="AEG218" s="695" t="s">
        <v>2238</v>
      </c>
      <c r="AEH218" s="695" t="s">
        <v>2238</v>
      </c>
      <c r="AEI218" s="695" t="s">
        <v>2238</v>
      </c>
      <c r="AEJ218" s="695" t="s">
        <v>2212</v>
      </c>
      <c r="AEK218" s="695" t="s">
        <v>2212</v>
      </c>
      <c r="AEL218" s="695" t="s">
        <v>2205</v>
      </c>
      <c r="AEM218" s="695" t="s">
        <v>2205</v>
      </c>
      <c r="AEN218" s="695" t="s">
        <v>2205</v>
      </c>
      <c r="AEO218" s="695" t="s">
        <v>2231</v>
      </c>
      <c r="AEP218" s="695" t="s">
        <v>2231</v>
      </c>
      <c r="AEQ218" s="695" t="s">
        <v>2231</v>
      </c>
      <c r="AER218" s="695" t="s">
        <v>2231</v>
      </c>
      <c r="AES218" s="695" t="s">
        <v>2213</v>
      </c>
      <c r="AET218" s="695" t="s">
        <v>2231</v>
      </c>
      <c r="AEU218" s="695" t="s">
        <v>2231</v>
      </c>
      <c r="AEV218" s="695" t="s">
        <v>2213</v>
      </c>
      <c r="AEW218" s="695" t="s">
        <v>2213</v>
      </c>
      <c r="AEX218" s="695" t="s">
        <v>2213</v>
      </c>
      <c r="AEY218" s="695" t="s">
        <v>2213</v>
      </c>
      <c r="AEZ218" s="695" t="s">
        <v>2213</v>
      </c>
      <c r="AFA218" s="695" t="s">
        <v>2213</v>
      </c>
      <c r="AFB218" s="695" t="s">
        <v>2213</v>
      </c>
      <c r="AFC218" s="695" t="s">
        <v>2213</v>
      </c>
      <c r="AFD218" s="695" t="s">
        <v>2213</v>
      </c>
      <c r="AFE218" s="695" t="s">
        <v>2213</v>
      </c>
      <c r="AFF218" s="695" t="s">
        <v>2213</v>
      </c>
      <c r="AFG218" s="695" t="s">
        <v>2213</v>
      </c>
      <c r="AFH218" s="695" t="s">
        <v>2213</v>
      </c>
      <c r="AFI218" s="695" t="s">
        <v>2213</v>
      </c>
      <c r="AFJ218" s="695" t="s">
        <v>2213</v>
      </c>
      <c r="AFK218" s="695" t="s">
        <v>2238</v>
      </c>
      <c r="AFL218" s="695" t="s">
        <v>2213</v>
      </c>
      <c r="AFM218" s="695" t="s">
        <v>2213</v>
      </c>
      <c r="AFN218" s="695" t="s">
        <v>2213</v>
      </c>
      <c r="AFO218" s="695" t="s">
        <v>2213</v>
      </c>
      <c r="AFP218" s="695" t="s">
        <v>2213</v>
      </c>
      <c r="AFQ218" s="695" t="s">
        <v>2213</v>
      </c>
      <c r="AFR218" s="695" t="s">
        <v>2213</v>
      </c>
      <c r="AFS218" s="695" t="s">
        <v>2213</v>
      </c>
      <c r="AFT218" s="695" t="s">
        <v>2213</v>
      </c>
      <c r="AFU218" s="695" t="s">
        <v>2213</v>
      </c>
      <c r="AFV218" s="695" t="s">
        <v>2213</v>
      </c>
      <c r="AFW218" s="695" t="s">
        <v>2213</v>
      </c>
      <c r="AFX218" s="695" t="s">
        <v>2231</v>
      </c>
      <c r="AFY218" s="695" t="s">
        <v>2213</v>
      </c>
      <c r="AFZ218" s="695" t="s">
        <v>2231</v>
      </c>
      <c r="AGA218" s="695" t="s">
        <v>2231</v>
      </c>
      <c r="AGB218" s="695" t="s">
        <v>2238</v>
      </c>
      <c r="AGC218" s="695" t="s">
        <v>2239</v>
      </c>
      <c r="AGD218" s="695" t="s">
        <v>2239</v>
      </c>
      <c r="AGE218" s="695" t="s">
        <v>2239</v>
      </c>
      <c r="AGF218" s="695" t="s">
        <v>2216</v>
      </c>
      <c r="AGG218" s="695" t="s">
        <v>2231</v>
      </c>
      <c r="AGH218" s="695" t="s">
        <v>2231</v>
      </c>
      <c r="AGI218" s="695" t="s">
        <v>2239</v>
      </c>
      <c r="AGJ218" s="695" t="s">
        <v>2216</v>
      </c>
      <c r="AGK218" s="695" t="s">
        <v>2216</v>
      </c>
      <c r="AGL218" s="695" t="s">
        <v>2216</v>
      </c>
      <c r="AGM218" s="695" t="s">
        <v>2216</v>
      </c>
      <c r="AGN218" s="695" t="s">
        <v>2216</v>
      </c>
      <c r="AGO218" s="695" t="s">
        <v>2202</v>
      </c>
      <c r="AGP218" s="695" t="s">
        <v>2202</v>
      </c>
      <c r="AGQ218" s="695" t="s">
        <v>2202</v>
      </c>
      <c r="AGR218" s="695" t="s">
        <v>2227</v>
      </c>
      <c r="AGS218" s="695" t="s">
        <v>2227</v>
      </c>
      <c r="AGT218" s="695" t="s">
        <v>2202</v>
      </c>
      <c r="AGU218" s="695" t="s">
        <v>2227</v>
      </c>
      <c r="AGV218" s="695" t="s">
        <v>2227</v>
      </c>
      <c r="AGW218" s="695" t="s">
        <v>2227</v>
      </c>
      <c r="AGX218" s="695" t="s">
        <v>2227</v>
      </c>
      <c r="AGY218" s="695" t="s">
        <v>2227</v>
      </c>
      <c r="AGZ218" s="695" t="s">
        <v>2227</v>
      </c>
      <c r="AHA218" s="695" t="s">
        <v>2227</v>
      </c>
      <c r="AHB218" s="695" t="s">
        <v>2227</v>
      </c>
      <c r="AHC218" s="695" t="s">
        <v>2227</v>
      </c>
      <c r="AHD218" s="695" t="s">
        <v>2227</v>
      </c>
      <c r="AHE218" s="695" t="s">
        <v>2227</v>
      </c>
      <c r="AHF218" s="695" t="s">
        <v>2227</v>
      </c>
      <c r="AHG218" s="695" t="s">
        <v>2236</v>
      </c>
      <c r="AHH218" s="695" t="s">
        <v>2209</v>
      </c>
      <c r="AHI218" s="695" t="s">
        <v>2209</v>
      </c>
      <c r="AHJ218" s="695" t="s">
        <v>2209</v>
      </c>
      <c r="AHK218" s="695" t="s">
        <v>2209</v>
      </c>
      <c r="AHL218" s="695" t="s">
        <v>2212</v>
      </c>
      <c r="AHM218" s="695" t="s">
        <v>2212</v>
      </c>
      <c r="AHN218" s="695" t="s">
        <v>2212</v>
      </c>
      <c r="AHO218" s="695" t="s">
        <v>2238</v>
      </c>
      <c r="AHP218" s="695" t="s">
        <v>2212</v>
      </c>
      <c r="AHQ218" s="695" t="s">
        <v>2212</v>
      </c>
      <c r="AHR218" s="695" t="s">
        <v>2213</v>
      </c>
      <c r="AHS218" s="695" t="s">
        <v>2212</v>
      </c>
      <c r="AHT218" s="695" t="s">
        <v>2213</v>
      </c>
      <c r="AHU218" s="695" t="s">
        <v>2213</v>
      </c>
      <c r="AHV218" s="695" t="s">
        <v>2213</v>
      </c>
      <c r="AHW218" s="695" t="s">
        <v>2213</v>
      </c>
      <c r="AHX218" s="695" t="s">
        <v>2213</v>
      </c>
      <c r="AHY218" s="695" t="s">
        <v>2213</v>
      </c>
      <c r="AHZ218" s="695" t="s">
        <v>2213</v>
      </c>
      <c r="AIA218" s="695" t="s">
        <v>2213</v>
      </c>
      <c r="AIB218" s="695" t="s">
        <v>2213</v>
      </c>
      <c r="AIC218" s="695" t="s">
        <v>2213</v>
      </c>
      <c r="AID218" s="695" t="s">
        <v>2213</v>
      </c>
      <c r="AIE218" s="695" t="s">
        <v>2213</v>
      </c>
      <c r="AIF218" s="695" t="s">
        <v>2213</v>
      </c>
      <c r="AIG218" s="695" t="s">
        <v>2213</v>
      </c>
      <c r="AIH218" s="695" t="s">
        <v>2213</v>
      </c>
      <c r="AII218" s="695" t="s">
        <v>2213</v>
      </c>
      <c r="AIJ218" s="695" t="s">
        <v>2213</v>
      </c>
      <c r="AIK218" s="695" t="s">
        <v>2213</v>
      </c>
      <c r="AIL218" s="695" t="s">
        <v>2224</v>
      </c>
      <c r="AIM218" s="695" t="s">
        <v>2213</v>
      </c>
      <c r="AIN218" s="695" t="s">
        <v>2224</v>
      </c>
      <c r="AIO218" s="695" t="s">
        <v>2213</v>
      </c>
      <c r="AIP218" s="695" t="s">
        <v>2213</v>
      </c>
      <c r="AIQ218" s="695" t="s">
        <v>2213</v>
      </c>
      <c r="AIR218" s="695" t="s">
        <v>2213</v>
      </c>
      <c r="AIS218" s="695" t="s">
        <v>2224</v>
      </c>
      <c r="AIT218" s="695" t="s">
        <v>2224</v>
      </c>
      <c r="AIU218" s="695" t="s">
        <v>2224</v>
      </c>
      <c r="AIV218" s="695" t="s">
        <v>2224</v>
      </c>
      <c r="AIW218" s="695" t="s">
        <v>2224</v>
      </c>
      <c r="AIX218" s="695" t="s">
        <v>2224</v>
      </c>
      <c r="AIY218" s="695" t="s">
        <v>2224</v>
      </c>
      <c r="AIZ218" s="695" t="s">
        <v>2224</v>
      </c>
      <c r="AJA218" s="695" t="s">
        <v>2216</v>
      </c>
      <c r="AJB218" s="695" t="s">
        <v>2216</v>
      </c>
      <c r="AJC218" s="695" t="s">
        <v>2216</v>
      </c>
      <c r="AJD218" s="695" t="s">
        <v>2216</v>
      </c>
      <c r="AJE218" s="695" t="s">
        <v>2216</v>
      </c>
      <c r="AJF218" s="695" t="s">
        <v>2216</v>
      </c>
      <c r="AJG218" s="695" t="s">
        <v>2216</v>
      </c>
      <c r="AJH218" s="695" t="s">
        <v>2216</v>
      </c>
      <c r="AJI218" s="695" t="s">
        <v>2216</v>
      </c>
      <c r="AJJ218" s="695" t="s">
        <v>2236</v>
      </c>
      <c r="AJK218" s="695" t="s">
        <v>2236</v>
      </c>
      <c r="AJL218" s="695" t="s">
        <v>2236</v>
      </c>
      <c r="AJM218" s="695" t="s">
        <v>2236</v>
      </c>
      <c r="AJN218" s="695" t="s">
        <v>2236</v>
      </c>
      <c r="AJO218" s="695" t="s">
        <v>2202</v>
      </c>
      <c r="AJP218" s="695" t="s">
        <v>2202</v>
      </c>
      <c r="AJQ218" s="695" t="s">
        <v>2236</v>
      </c>
      <c r="AJR218" s="695" t="s">
        <v>2236</v>
      </c>
      <c r="AJS218" s="695" t="s">
        <v>2236</v>
      </c>
      <c r="AJT218" s="695" t="s">
        <v>2236</v>
      </c>
      <c r="AJU218" s="695" t="s">
        <v>2236</v>
      </c>
      <c r="AJV218" s="695" t="s">
        <v>2236</v>
      </c>
      <c r="AJW218" s="695" t="s">
        <v>2236</v>
      </c>
      <c r="AJX218" s="695" t="s">
        <v>2236</v>
      </c>
      <c r="AJY218" s="695" t="s">
        <v>2227</v>
      </c>
      <c r="AJZ218" s="695" t="s">
        <v>2236</v>
      </c>
      <c r="AKA218" s="695" t="s">
        <v>2236</v>
      </c>
      <c r="AKB218" s="695" t="s">
        <v>2236</v>
      </c>
      <c r="AKC218" s="695" t="s">
        <v>2236</v>
      </c>
      <c r="AKD218" s="695" t="s">
        <v>2236</v>
      </c>
      <c r="AKE218" s="695" t="s">
        <v>2236</v>
      </c>
      <c r="AKF218" s="695" t="s">
        <v>2236</v>
      </c>
      <c r="AKG218" s="695" t="s">
        <v>2236</v>
      </c>
      <c r="AKH218" s="695" t="s">
        <v>2236</v>
      </c>
      <c r="AKI218" s="695" t="s">
        <v>2236</v>
      </c>
      <c r="AKJ218" s="695" t="s">
        <v>2236</v>
      </c>
      <c r="AKK218" s="695" t="s">
        <v>2236</v>
      </c>
      <c r="AKL218" s="695" t="s">
        <v>2236</v>
      </c>
      <c r="AKM218" s="695" t="s">
        <v>2236</v>
      </c>
      <c r="AKN218" s="695" t="s">
        <v>2216</v>
      </c>
      <c r="AKO218" s="695" t="s">
        <v>2222</v>
      </c>
      <c r="AKP218" s="695" t="s">
        <v>2209</v>
      </c>
      <c r="AKQ218" s="695" t="s">
        <v>2219</v>
      </c>
      <c r="AKR218" s="695" t="s">
        <v>2203</v>
      </c>
      <c r="AKS218" s="695" t="s">
        <v>2222</v>
      </c>
      <c r="AKT218" s="695" t="s">
        <v>2222</v>
      </c>
      <c r="AKU218" s="695" t="s">
        <v>2222</v>
      </c>
      <c r="AKV218" s="695" t="s">
        <v>2211</v>
      </c>
      <c r="AKW218" s="695" t="s">
        <v>2211</v>
      </c>
      <c r="AKX218" s="695" t="s">
        <v>2211</v>
      </c>
      <c r="AKY218" s="695" t="s">
        <v>2195</v>
      </c>
      <c r="AKZ218" s="695" t="s">
        <v>2195</v>
      </c>
      <c r="ALA218" s="695" t="s">
        <v>2225</v>
      </c>
      <c r="ALB218" s="695" t="s">
        <v>2210</v>
      </c>
      <c r="ALC218" s="695" t="s">
        <v>2220</v>
      </c>
      <c r="ALD218" s="695" t="s">
        <v>2235</v>
      </c>
      <c r="ALE218" s="695" t="s">
        <v>2235</v>
      </c>
      <c r="ALF218" s="695" t="s">
        <v>2195</v>
      </c>
      <c r="ALG218" s="695" t="s">
        <v>2207</v>
      </c>
      <c r="ALH218" s="695" t="s">
        <v>2207</v>
      </c>
      <c r="ALI218" s="695" t="s">
        <v>2223</v>
      </c>
      <c r="ALJ218" s="695" t="s">
        <v>2223</v>
      </c>
      <c r="ALK218" s="695" t="s">
        <v>2195</v>
      </c>
      <c r="ALL218" s="695" t="s">
        <v>2195</v>
      </c>
      <c r="ALM218" s="695" t="s">
        <v>2195</v>
      </c>
      <c r="ALN218" s="695" t="s">
        <v>2195</v>
      </c>
      <c r="ALO218" s="695" t="s">
        <v>2221</v>
      </c>
      <c r="ALP218" s="695" t="s">
        <v>2208</v>
      </c>
      <c r="ALQ218" s="695" t="s">
        <v>2214</v>
      </c>
      <c r="ALR218" s="695" t="s">
        <v>2214</v>
      </c>
      <c r="ALS218" s="695" t="s">
        <v>2199</v>
      </c>
      <c r="ALT218" s="695" t="s">
        <v>2199</v>
      </c>
      <c r="ALU218" s="695" t="s">
        <v>2200</v>
      </c>
      <c r="ALV218" s="695" t="s">
        <v>2200</v>
      </c>
      <c r="ALW218" s="695" t="s">
        <v>2199</v>
      </c>
      <c r="ALX218" s="695" t="s">
        <v>2230</v>
      </c>
      <c r="ALY218" s="695" t="s">
        <v>2230</v>
      </c>
      <c r="ALZ218" s="695" t="s">
        <v>2230</v>
      </c>
      <c r="AMA218" s="695" t="s">
        <v>2199</v>
      </c>
      <c r="AMB218" s="695" t="s">
        <v>2201</v>
      </c>
      <c r="AMC218" s="695" t="s">
        <v>2201</v>
      </c>
      <c r="AMD218" s="695" t="s">
        <v>2201</v>
      </c>
      <c r="AME218" s="695" t="s">
        <v>2201</v>
      </c>
      <c r="AMF218" s="695" t="s">
        <v>2201</v>
      </c>
      <c r="AMG218" s="695" t="s">
        <v>2201</v>
      </c>
      <c r="AMH218" s="695" t="s">
        <v>2201</v>
      </c>
      <c r="AMI218" s="695" t="s">
        <v>2201</v>
      </c>
      <c r="AMJ218" s="695" t="s">
        <v>2201</v>
      </c>
      <c r="AMK218" s="731" t="s">
        <v>2201</v>
      </c>
    </row>
    <row r="219" spans="2:1025" ht="66" x14ac:dyDescent="0.25">
      <c r="B219" s="737" t="s">
        <v>2887</v>
      </c>
      <c r="C219" s="737" t="s">
        <v>2888</v>
      </c>
      <c r="D219" s="738">
        <v>5395.6234999999997</v>
      </c>
      <c r="E219" s="738">
        <v>1775.1977999999999</v>
      </c>
      <c r="F219" s="738">
        <v>66840.701000000001</v>
      </c>
      <c r="G219" s="738">
        <v>251.93393432003509</v>
      </c>
      <c r="N219" s="729" t="s">
        <v>4899</v>
      </c>
      <c r="O219" s="727">
        <v>2809.2966000000001</v>
      </c>
      <c r="P219" s="727">
        <v>3647.2546000000002</v>
      </c>
      <c r="Q219" s="727">
        <v>3110.8883000000001</v>
      </c>
      <c r="R219" s="727">
        <v>3463.2372</v>
      </c>
      <c r="S219" s="727">
        <v>4601.9107999999997</v>
      </c>
      <c r="T219" s="727">
        <v>5395.6234999999997</v>
      </c>
      <c r="U219" s="727">
        <v>5150.9056</v>
      </c>
      <c r="V219" s="727">
        <v>4681.0496000000003</v>
      </c>
      <c r="W219" s="727">
        <v>4585.1413000000002</v>
      </c>
      <c r="X219" s="727">
        <v>4666.1590999999999</v>
      </c>
      <c r="Y219" s="727">
        <v>4967.7192999999997</v>
      </c>
      <c r="Z219" s="727">
        <v>4562.0446000000002</v>
      </c>
      <c r="AA219" s="727">
        <v>4675.9965000000002</v>
      </c>
      <c r="AB219" s="727">
        <v>4458.0072</v>
      </c>
      <c r="AC219" s="727">
        <v>4715.8171000000002</v>
      </c>
      <c r="AD219" s="727">
        <v>4391.8065999999999</v>
      </c>
      <c r="AE219" s="727">
        <v>4140.4170000000004</v>
      </c>
      <c r="AF219" s="727">
        <v>4419.9327000000003</v>
      </c>
      <c r="AG219" s="727">
        <v>4429.9566000000004</v>
      </c>
      <c r="AH219" s="727">
        <v>4267.9282999999996</v>
      </c>
      <c r="AI219" s="727">
        <v>4229.9984000000004</v>
      </c>
      <c r="AJ219" s="727">
        <v>4148.6670000000004</v>
      </c>
      <c r="AK219" s="727">
        <v>4085.9803000000002</v>
      </c>
      <c r="AL219" s="727">
        <v>4165.4034000000001</v>
      </c>
      <c r="AM219" s="727">
        <v>4160.9011</v>
      </c>
      <c r="AN219" s="727">
        <v>4473.4354000000003</v>
      </c>
      <c r="AO219" s="727">
        <v>4947.5631999999996</v>
      </c>
      <c r="AP219" s="727">
        <v>4158.9052000000001</v>
      </c>
      <c r="AQ219" s="727">
        <v>4828.3984</v>
      </c>
      <c r="AR219" s="727">
        <v>4453.4409999999998</v>
      </c>
      <c r="AS219" s="727">
        <v>4478.9031000000004</v>
      </c>
      <c r="AT219" s="727">
        <v>4292.7654000000002</v>
      </c>
      <c r="AU219" s="727">
        <v>4344.5861999999997</v>
      </c>
      <c r="AV219" s="727">
        <v>4888.2995000000001</v>
      </c>
      <c r="AW219" s="727">
        <v>4493.1791000000003</v>
      </c>
      <c r="AX219" s="727">
        <v>3612.2712000000001</v>
      </c>
      <c r="AY219" s="727">
        <v>4865.1831000000002</v>
      </c>
      <c r="AZ219" s="727">
        <v>4555.4445999999998</v>
      </c>
      <c r="BA219" s="727">
        <v>4721.7226000000001</v>
      </c>
      <c r="BB219" s="727">
        <v>4367.6296000000002</v>
      </c>
      <c r="BC219" s="727">
        <v>4473.3211000000001</v>
      </c>
      <c r="BD219" s="727">
        <v>4189.3666000000003</v>
      </c>
      <c r="BE219" s="727">
        <v>4185.2298000000001</v>
      </c>
      <c r="BF219" s="727">
        <v>4352.2870000000003</v>
      </c>
      <c r="BG219" s="727">
        <v>4213.7178000000004</v>
      </c>
      <c r="BH219" s="727">
        <v>3694.3292999999999</v>
      </c>
      <c r="BI219" s="727">
        <v>4280.9027999999998</v>
      </c>
      <c r="BJ219" s="727">
        <v>3738.7678000000001</v>
      </c>
      <c r="BK219" s="727">
        <v>3729.4149000000002</v>
      </c>
      <c r="BL219" s="727">
        <v>3721.8114</v>
      </c>
      <c r="BM219" s="727">
        <v>4152.2067999999999</v>
      </c>
      <c r="BN219" s="727">
        <v>4743.4957000000004</v>
      </c>
      <c r="BO219" s="727">
        <v>3700.5751</v>
      </c>
      <c r="BP219" s="727">
        <v>3880.0270999999998</v>
      </c>
      <c r="BQ219" s="727">
        <v>3887.2330000000002</v>
      </c>
      <c r="BR219" s="727">
        <v>3716.6215999999999</v>
      </c>
      <c r="BS219" s="727">
        <v>3722.0558000000001</v>
      </c>
      <c r="BT219" s="727">
        <v>3952.7592</v>
      </c>
      <c r="BU219" s="727">
        <v>3956.8132000000001</v>
      </c>
      <c r="BV219" s="727">
        <v>3909.5720000000001</v>
      </c>
      <c r="BW219" s="727">
        <v>3831.3321999999998</v>
      </c>
      <c r="BX219" s="727">
        <v>4170.7448000000004</v>
      </c>
      <c r="BY219" s="727">
        <v>4227.7713999999996</v>
      </c>
      <c r="BZ219" s="727">
        <v>3626.6205</v>
      </c>
      <c r="CA219" s="727">
        <v>3578.9366</v>
      </c>
      <c r="CB219" s="727">
        <v>3897.9432999999999</v>
      </c>
      <c r="CC219" s="727">
        <v>3618.4450000000002</v>
      </c>
      <c r="CD219" s="727">
        <v>3595.7991999999999</v>
      </c>
      <c r="CE219" s="727">
        <v>3664.1284999999998</v>
      </c>
      <c r="CF219" s="727">
        <v>3508.4101999999998</v>
      </c>
      <c r="CG219" s="727">
        <v>3539.7465000000002</v>
      </c>
      <c r="CH219" s="727">
        <v>3542.2694999999999</v>
      </c>
      <c r="CI219" s="727">
        <v>3555.7806</v>
      </c>
      <c r="CJ219" s="727">
        <v>3496.7532000000001</v>
      </c>
      <c r="CK219" s="727">
        <v>3494.2676999999999</v>
      </c>
      <c r="CL219" s="727">
        <v>3500.5299</v>
      </c>
      <c r="CM219" s="727">
        <v>3259.5889999999999</v>
      </c>
      <c r="CN219" s="727">
        <v>3799.0520999999999</v>
      </c>
      <c r="CO219" s="727">
        <v>3721.9641999999999</v>
      </c>
      <c r="CP219" s="727">
        <v>3685.9007999999999</v>
      </c>
      <c r="CQ219" s="727">
        <v>4303.3774000000003</v>
      </c>
      <c r="CR219" s="727">
        <v>4319.5703000000003</v>
      </c>
      <c r="CS219" s="727">
        <v>4493.8588</v>
      </c>
      <c r="CT219" s="727">
        <v>4124.0695999999998</v>
      </c>
      <c r="CU219" s="727">
        <v>4128.6225000000004</v>
      </c>
      <c r="CV219" s="727">
        <v>4206.4714000000004</v>
      </c>
      <c r="CW219" s="727">
        <v>4174.3044</v>
      </c>
      <c r="CX219" s="727">
        <v>4011.2183</v>
      </c>
      <c r="CY219" s="727">
        <v>4081.8132999999998</v>
      </c>
      <c r="CZ219" s="727">
        <v>3901.7898</v>
      </c>
      <c r="DA219" s="727">
        <v>4080.2132000000001</v>
      </c>
      <c r="DB219" s="727">
        <v>3975.2903000000001</v>
      </c>
      <c r="DC219" s="727">
        <v>4055.6588999999999</v>
      </c>
      <c r="DD219" s="727">
        <v>3915.2925</v>
      </c>
      <c r="DE219" s="727">
        <v>3938.8389000000002</v>
      </c>
      <c r="DF219" s="727">
        <v>3782.7008000000001</v>
      </c>
      <c r="DG219" s="727">
        <v>3853.2734</v>
      </c>
      <c r="DH219" s="727">
        <v>3787.9504000000002</v>
      </c>
      <c r="DI219" s="727">
        <v>3815.4294</v>
      </c>
      <c r="DJ219" s="727">
        <v>3901.4819000000002</v>
      </c>
      <c r="DK219" s="727">
        <v>3839.5700999999999</v>
      </c>
      <c r="DL219" s="727">
        <v>3862.5032000000001</v>
      </c>
      <c r="DM219" s="727">
        <v>3946.0738000000001</v>
      </c>
      <c r="DN219" s="727">
        <v>3529.2775000000001</v>
      </c>
      <c r="DO219" s="727">
        <v>3478.9863999999998</v>
      </c>
      <c r="DP219" s="727">
        <v>3931.672</v>
      </c>
      <c r="DQ219" s="727">
        <v>4056.364</v>
      </c>
      <c r="DR219" s="727">
        <v>4130.9119000000001</v>
      </c>
      <c r="DS219" s="727">
        <v>4027.1592999999998</v>
      </c>
      <c r="DT219" s="727">
        <v>3969.3993</v>
      </c>
      <c r="DU219" s="727">
        <v>4040.5073000000002</v>
      </c>
      <c r="DV219" s="727">
        <v>4027.8993999999998</v>
      </c>
      <c r="DW219" s="727">
        <v>3989.1257000000001</v>
      </c>
      <c r="DX219" s="727">
        <v>3999.9128999999998</v>
      </c>
      <c r="DY219" s="727">
        <v>4152.1692999999996</v>
      </c>
      <c r="DZ219" s="727">
        <v>4049.4308000000001</v>
      </c>
      <c r="EA219" s="727">
        <v>3800.2478999999998</v>
      </c>
      <c r="EB219" s="727">
        <v>3864.2294000000002</v>
      </c>
      <c r="EC219" s="727">
        <v>3937.3483000000001</v>
      </c>
      <c r="ED219" s="727">
        <v>4089.1201999999998</v>
      </c>
      <c r="EE219" s="727">
        <v>3947.1977000000002</v>
      </c>
      <c r="EF219" s="727">
        <v>4055.0832</v>
      </c>
      <c r="EG219" s="727">
        <v>3877.2012</v>
      </c>
      <c r="EH219" s="727">
        <v>3839.6435999999999</v>
      </c>
      <c r="EI219" s="727">
        <v>3909.0886999999998</v>
      </c>
      <c r="EJ219" s="727">
        <v>3972.5011</v>
      </c>
      <c r="EK219" s="727">
        <v>4074.2341000000001</v>
      </c>
      <c r="EL219" s="727">
        <v>4054.8842</v>
      </c>
      <c r="EM219" s="727">
        <v>4126.6941999999999</v>
      </c>
      <c r="EN219" s="727">
        <v>4129.7912999999999</v>
      </c>
      <c r="EO219" s="727">
        <v>4011.2105999999999</v>
      </c>
      <c r="EP219" s="727">
        <v>4034.4857000000002</v>
      </c>
      <c r="EQ219" s="727">
        <v>4001.1187</v>
      </c>
      <c r="ER219" s="727">
        <v>4172.8105999999998</v>
      </c>
      <c r="ES219" s="727">
        <v>3972.5711999999999</v>
      </c>
      <c r="ET219" s="727">
        <v>3953.8285999999998</v>
      </c>
      <c r="EU219" s="727">
        <v>3917.8263000000002</v>
      </c>
      <c r="EV219" s="727">
        <v>4032.3899000000001</v>
      </c>
      <c r="EW219" s="727">
        <v>3994.7130000000002</v>
      </c>
      <c r="EX219" s="727">
        <v>3963.9688000000001</v>
      </c>
      <c r="EY219" s="727">
        <v>4065.3368</v>
      </c>
      <c r="EZ219" s="727">
        <v>3959.5488</v>
      </c>
      <c r="FA219" s="727">
        <v>3890.3397</v>
      </c>
      <c r="FB219" s="727">
        <v>3823.0146</v>
      </c>
      <c r="FC219" s="727">
        <v>3792.8845999999999</v>
      </c>
      <c r="FD219" s="727">
        <v>3972.0664000000002</v>
      </c>
      <c r="FE219" s="727">
        <v>3879.7862</v>
      </c>
      <c r="FF219" s="727">
        <v>3770.9288999999999</v>
      </c>
      <c r="FG219" s="727">
        <v>4339.3098</v>
      </c>
      <c r="FH219" s="727">
        <v>3814.3782999999999</v>
      </c>
      <c r="FI219" s="727">
        <v>3723.5675000000001</v>
      </c>
      <c r="FJ219" s="727">
        <v>3730.2031999999999</v>
      </c>
      <c r="FK219" s="727">
        <v>4219.5780000000004</v>
      </c>
      <c r="FL219" s="727">
        <v>3951.0250000000001</v>
      </c>
      <c r="FM219" s="727">
        <v>3965.1368000000002</v>
      </c>
      <c r="FN219" s="727">
        <v>3896.0641000000001</v>
      </c>
      <c r="FO219" s="727">
        <v>3689.2986000000001</v>
      </c>
      <c r="FP219" s="727">
        <v>3646.1284000000001</v>
      </c>
      <c r="FQ219" s="727">
        <v>3609.8510000000001</v>
      </c>
      <c r="FR219" s="727">
        <v>3775.2528000000002</v>
      </c>
      <c r="FS219" s="727">
        <v>3701.5594000000001</v>
      </c>
      <c r="FT219" s="727">
        <v>3813.8067000000001</v>
      </c>
      <c r="FU219" s="727">
        <v>3787.0929000000001</v>
      </c>
      <c r="FV219" s="727">
        <v>3834.32</v>
      </c>
      <c r="FW219" s="727">
        <v>4327.0258000000003</v>
      </c>
      <c r="FX219" s="727">
        <v>3881.4476</v>
      </c>
      <c r="FY219" s="727">
        <v>3812.2220000000002</v>
      </c>
      <c r="FZ219" s="727">
        <v>4019.7860000000001</v>
      </c>
      <c r="GA219" s="727">
        <v>3999.3139000000001</v>
      </c>
      <c r="GB219" s="727">
        <v>3899.4043000000001</v>
      </c>
      <c r="GC219" s="727">
        <v>3841.8977</v>
      </c>
      <c r="GD219" s="727">
        <v>3984.2071999999998</v>
      </c>
      <c r="GE219" s="727">
        <v>3841.0722999999998</v>
      </c>
      <c r="GF219" s="727">
        <v>3712.9757</v>
      </c>
      <c r="GG219" s="727">
        <v>3788.8751000000002</v>
      </c>
      <c r="GH219" s="727">
        <v>4099.4385000000002</v>
      </c>
      <c r="GI219" s="727">
        <v>4236.8690999999999</v>
      </c>
      <c r="GJ219" s="727">
        <v>4243.7389999999996</v>
      </c>
      <c r="GK219" s="727">
        <v>4277.5375000000004</v>
      </c>
      <c r="GL219" s="727">
        <v>3707.1064000000001</v>
      </c>
      <c r="GM219" s="727">
        <v>4317.8882000000003</v>
      </c>
      <c r="GN219" s="727">
        <v>3819.7379999999998</v>
      </c>
      <c r="GO219" s="727">
        <v>4139.0788000000002</v>
      </c>
      <c r="GP219" s="727">
        <v>4091.5740999999998</v>
      </c>
      <c r="GQ219" s="727">
        <v>4015.7701000000002</v>
      </c>
      <c r="GR219" s="727">
        <v>4040.5097000000001</v>
      </c>
      <c r="GS219" s="727">
        <v>4172.7743</v>
      </c>
      <c r="GT219" s="727">
        <v>3987.0533</v>
      </c>
      <c r="GU219" s="727">
        <v>4057.7159999999999</v>
      </c>
      <c r="GV219" s="727">
        <v>3788.2896999999998</v>
      </c>
      <c r="GW219" s="727">
        <v>3852.4158000000002</v>
      </c>
      <c r="GX219" s="727">
        <v>4193.9093000000003</v>
      </c>
      <c r="GY219" s="727">
        <v>3867.2029000000002</v>
      </c>
      <c r="GZ219" s="727">
        <v>3847.4749999999999</v>
      </c>
      <c r="HA219" s="727">
        <v>3840.9167000000002</v>
      </c>
      <c r="HB219" s="727">
        <v>3859.1305000000002</v>
      </c>
      <c r="HC219" s="727">
        <v>3862.4627</v>
      </c>
      <c r="HD219" s="727">
        <v>3849.8218999999999</v>
      </c>
      <c r="HE219" s="727">
        <v>3846.7944000000002</v>
      </c>
      <c r="HF219" s="727">
        <v>3680.3045000000002</v>
      </c>
      <c r="HG219" s="727">
        <v>3947.4965000000002</v>
      </c>
      <c r="HH219" s="727">
        <v>4100.8027000000002</v>
      </c>
      <c r="HI219" s="727">
        <v>3800.5992000000001</v>
      </c>
      <c r="HJ219" s="727">
        <v>3711.0695999999998</v>
      </c>
      <c r="HK219" s="727">
        <v>3790.9236999999998</v>
      </c>
      <c r="HL219" s="727">
        <v>3732.8186000000001</v>
      </c>
      <c r="HM219" s="727">
        <v>3700.9481000000001</v>
      </c>
      <c r="HN219" s="727">
        <v>3817.4481000000001</v>
      </c>
      <c r="HO219" s="727">
        <v>3866.9268999999999</v>
      </c>
      <c r="HP219" s="727">
        <v>3775.9744999999998</v>
      </c>
      <c r="HQ219" s="727">
        <v>3853.4283999999998</v>
      </c>
      <c r="HR219" s="727">
        <v>3808.8784999999998</v>
      </c>
      <c r="HS219" s="727">
        <v>3868.134</v>
      </c>
      <c r="HT219" s="727">
        <v>3705.7934</v>
      </c>
      <c r="HU219" s="727">
        <v>3845.5563999999999</v>
      </c>
      <c r="HV219" s="727">
        <v>3742.6489000000001</v>
      </c>
      <c r="HW219" s="727">
        <v>3810.4585000000002</v>
      </c>
      <c r="HX219" s="727">
        <v>3778.7705999999998</v>
      </c>
      <c r="HY219" s="727">
        <v>3722.4717000000001</v>
      </c>
      <c r="HZ219" s="727">
        <v>3733.0875999999998</v>
      </c>
      <c r="IA219" s="727">
        <v>3573.6532999999999</v>
      </c>
      <c r="IB219" s="727">
        <v>4027.4861999999998</v>
      </c>
      <c r="IC219" s="727">
        <v>3483.9029999999998</v>
      </c>
      <c r="ID219" s="727">
        <v>3466.4636999999998</v>
      </c>
      <c r="IE219" s="727">
        <v>3557.24</v>
      </c>
      <c r="IF219" s="727">
        <v>3601.9814000000001</v>
      </c>
      <c r="IG219" s="727">
        <v>3895.4022</v>
      </c>
      <c r="IH219" s="727">
        <v>3789.0949999999998</v>
      </c>
      <c r="II219" s="727">
        <v>3837.5907999999999</v>
      </c>
      <c r="IJ219" s="727">
        <v>4025.7777999999998</v>
      </c>
      <c r="IK219" s="727">
        <v>3810.5981999999999</v>
      </c>
      <c r="IL219" s="727">
        <v>3910.8584999999998</v>
      </c>
      <c r="IM219" s="727">
        <v>3686.4245000000001</v>
      </c>
      <c r="IN219" s="727">
        <v>3565.6731</v>
      </c>
      <c r="IO219" s="727">
        <v>3717.6347000000001</v>
      </c>
      <c r="IP219" s="727">
        <v>3716.4603000000002</v>
      </c>
      <c r="IQ219" s="727">
        <v>3633.8105</v>
      </c>
      <c r="IR219" s="727">
        <v>3534.7588000000001</v>
      </c>
      <c r="IS219" s="727">
        <v>3559.93</v>
      </c>
      <c r="IT219" s="727">
        <v>3601.0228000000002</v>
      </c>
      <c r="IU219" s="727">
        <v>3471.0459000000001</v>
      </c>
      <c r="IV219" s="727">
        <v>3459.9133000000002</v>
      </c>
      <c r="IW219" s="727">
        <v>3449.3366999999998</v>
      </c>
      <c r="IX219" s="727">
        <v>3559.2692999999999</v>
      </c>
      <c r="IY219" s="727">
        <v>3470.9369000000002</v>
      </c>
      <c r="IZ219" s="727">
        <v>3460.8114</v>
      </c>
      <c r="JA219" s="727">
        <v>2829.2451999999998</v>
      </c>
      <c r="JB219" s="727">
        <v>2583.3946999999998</v>
      </c>
      <c r="JC219" s="727">
        <v>2683.2368000000001</v>
      </c>
      <c r="JD219" s="727">
        <v>2666.7563</v>
      </c>
      <c r="JE219" s="727">
        <v>2628.1313</v>
      </c>
      <c r="JF219" s="727">
        <v>2608.2745</v>
      </c>
      <c r="JG219" s="727">
        <v>2883.9063999999998</v>
      </c>
      <c r="JH219" s="727">
        <v>2653.5054</v>
      </c>
      <c r="JI219" s="727">
        <v>2671.0461</v>
      </c>
      <c r="JJ219" s="727">
        <v>2594.7867999999999</v>
      </c>
      <c r="JK219" s="727">
        <v>2617.5448999999999</v>
      </c>
      <c r="JL219" s="727">
        <v>2640.9476</v>
      </c>
      <c r="JM219" s="727">
        <v>2659.8874000000001</v>
      </c>
      <c r="JN219" s="727">
        <v>2699.3670000000002</v>
      </c>
      <c r="JO219" s="727">
        <v>2655.2984000000001</v>
      </c>
      <c r="JP219" s="727">
        <v>2696.0897</v>
      </c>
      <c r="JQ219" s="727">
        <v>2596.7894999999999</v>
      </c>
      <c r="JR219" s="727">
        <v>2602.2982000000002</v>
      </c>
      <c r="JS219" s="727">
        <v>2578.6895</v>
      </c>
      <c r="JT219" s="727">
        <v>2624.4897999999998</v>
      </c>
      <c r="JU219" s="727">
        <v>2617.2195999999999</v>
      </c>
      <c r="JV219" s="727">
        <v>3481.3980999999999</v>
      </c>
      <c r="JW219" s="727">
        <v>3510.5518999999999</v>
      </c>
      <c r="JX219" s="727">
        <v>3531.9991</v>
      </c>
      <c r="JY219" s="727">
        <v>3476.2507000000001</v>
      </c>
      <c r="JZ219" s="727">
        <v>3452.7685000000001</v>
      </c>
      <c r="KA219" s="727">
        <v>3537.9488999999999</v>
      </c>
      <c r="KB219" s="727">
        <v>3408.5556000000001</v>
      </c>
      <c r="KC219" s="727">
        <v>3565.0435000000002</v>
      </c>
      <c r="KD219" s="727">
        <v>3567.8092000000001</v>
      </c>
      <c r="KE219" s="727">
        <v>3389.2957999999999</v>
      </c>
      <c r="KF219" s="727">
        <v>3590.9558999999999</v>
      </c>
      <c r="KG219" s="727">
        <v>3486.4474</v>
      </c>
      <c r="KH219" s="727">
        <v>3478.1903000000002</v>
      </c>
      <c r="KI219" s="727">
        <v>3447.9369000000002</v>
      </c>
      <c r="KJ219" s="727">
        <v>3412.9769999999999</v>
      </c>
      <c r="KK219" s="727">
        <v>3519.5979000000002</v>
      </c>
      <c r="KL219" s="727">
        <v>3577.3809000000001</v>
      </c>
      <c r="KM219" s="727">
        <v>3456.4879000000001</v>
      </c>
      <c r="KN219" s="727">
        <v>3570.7525999999998</v>
      </c>
      <c r="KO219" s="727">
        <v>3476.1487999999999</v>
      </c>
      <c r="KP219" s="727">
        <v>3504.8494999999998</v>
      </c>
      <c r="KQ219" s="727">
        <v>3850.4693000000002</v>
      </c>
      <c r="KR219" s="727">
        <v>3545.5137</v>
      </c>
      <c r="KS219" s="727">
        <v>3443.9267</v>
      </c>
      <c r="KT219" s="727">
        <v>3515.4231</v>
      </c>
      <c r="KU219" s="727">
        <v>3455.5207</v>
      </c>
      <c r="KV219" s="727">
        <v>3402.5468000000001</v>
      </c>
      <c r="KW219" s="727">
        <v>3462.5603999999998</v>
      </c>
      <c r="KX219" s="727">
        <v>3526.6057000000001</v>
      </c>
      <c r="KY219" s="727">
        <v>3542.0509000000002</v>
      </c>
      <c r="KZ219" s="727">
        <v>3854.8020999999999</v>
      </c>
      <c r="LA219" s="727">
        <v>3435.1277</v>
      </c>
      <c r="LB219" s="727">
        <v>3943.4616999999998</v>
      </c>
      <c r="LC219" s="727">
        <v>3913.3108999999999</v>
      </c>
      <c r="LD219" s="727">
        <v>3885.3449000000001</v>
      </c>
      <c r="LE219" s="727">
        <v>3922.7828</v>
      </c>
      <c r="LF219" s="727">
        <v>3942.7478999999998</v>
      </c>
      <c r="LG219" s="727">
        <v>3833.9213</v>
      </c>
      <c r="LH219" s="727">
        <v>3968.7359999999999</v>
      </c>
      <c r="LI219" s="727">
        <v>4248.1539000000002</v>
      </c>
      <c r="LJ219" s="727">
        <v>4066.8009000000002</v>
      </c>
      <c r="LK219" s="727">
        <v>4025.3771999999999</v>
      </c>
      <c r="LL219" s="727">
        <v>3883.6264000000001</v>
      </c>
      <c r="LM219" s="727">
        <v>3935.9182000000001</v>
      </c>
      <c r="LN219" s="727">
        <v>3850.6563000000001</v>
      </c>
      <c r="LO219" s="727">
        <v>3946.8343</v>
      </c>
      <c r="LP219" s="727">
        <v>3763.4288999999999</v>
      </c>
      <c r="LQ219" s="727">
        <v>3831.2222000000002</v>
      </c>
      <c r="LR219" s="727">
        <v>4132.9224999999997</v>
      </c>
      <c r="LS219" s="727">
        <v>4277.8023000000003</v>
      </c>
      <c r="LT219" s="727">
        <v>3741.2148000000002</v>
      </c>
      <c r="LU219" s="727">
        <v>3716.2186999999999</v>
      </c>
      <c r="LV219" s="727">
        <v>3892.8415</v>
      </c>
      <c r="LW219" s="727">
        <v>3724.4540999999999</v>
      </c>
      <c r="LX219" s="727">
        <v>3780.1781000000001</v>
      </c>
      <c r="LY219" s="727">
        <v>4091.0884000000001</v>
      </c>
      <c r="LZ219" s="727">
        <v>3783.4321</v>
      </c>
      <c r="MA219" s="727">
        <v>4045.5659000000001</v>
      </c>
      <c r="MB219" s="727">
        <v>4192.9165999999996</v>
      </c>
      <c r="MC219" s="727">
        <v>4161.9955</v>
      </c>
      <c r="MD219" s="727">
        <v>4129.3158999999996</v>
      </c>
      <c r="ME219" s="727">
        <v>3603.5715</v>
      </c>
      <c r="MF219" s="727">
        <v>3644.8274999999999</v>
      </c>
      <c r="MG219" s="727">
        <v>4149.9557999999997</v>
      </c>
      <c r="MH219" s="727">
        <v>4837.8338999999996</v>
      </c>
      <c r="MI219" s="727">
        <v>4134.7831999999999</v>
      </c>
      <c r="MJ219" s="727">
        <v>3692.2228</v>
      </c>
      <c r="MK219" s="727">
        <v>4022.1448</v>
      </c>
      <c r="ML219" s="727">
        <v>4064.509</v>
      </c>
      <c r="MM219" s="727">
        <v>4146.4755999999998</v>
      </c>
      <c r="MN219" s="727">
        <v>4707.1647999999996</v>
      </c>
      <c r="MO219" s="727">
        <v>4079.3171000000002</v>
      </c>
      <c r="MP219" s="727">
        <v>4093.4596000000001</v>
      </c>
      <c r="MQ219" s="727">
        <v>4194.4849999999997</v>
      </c>
      <c r="MR219" s="727">
        <v>4124.3980000000001</v>
      </c>
      <c r="MS219" s="727">
        <v>4174.4034000000001</v>
      </c>
      <c r="MT219" s="727">
        <v>4175.9718000000003</v>
      </c>
      <c r="MU219" s="727">
        <v>4012.8492000000001</v>
      </c>
      <c r="MV219" s="727">
        <v>4245.2175999999999</v>
      </c>
      <c r="MW219" s="727">
        <v>4132.8977999999997</v>
      </c>
      <c r="MX219" s="727">
        <v>3849.9023999999999</v>
      </c>
      <c r="MY219" s="727">
        <v>4091.1356000000001</v>
      </c>
      <c r="MZ219" s="727">
        <v>3827.8535999999999</v>
      </c>
      <c r="NA219" s="727">
        <v>3609.1143999999999</v>
      </c>
      <c r="NB219" s="727">
        <v>4097.4645</v>
      </c>
      <c r="NC219" s="727">
        <v>3928.7667000000001</v>
      </c>
      <c r="ND219" s="727">
        <v>3782.8771999999999</v>
      </c>
      <c r="NE219" s="727">
        <v>3976.8431999999998</v>
      </c>
      <c r="NF219" s="727">
        <v>4012.9757</v>
      </c>
      <c r="NG219" s="727">
        <v>4317.0600000000004</v>
      </c>
      <c r="NH219" s="727">
        <v>3902.1569</v>
      </c>
      <c r="NI219" s="727">
        <v>3995.3335999999999</v>
      </c>
      <c r="NJ219" s="727">
        <v>3733.5234</v>
      </c>
      <c r="NK219" s="727">
        <v>4102.8492999999999</v>
      </c>
      <c r="NL219" s="727">
        <v>3818.8645000000001</v>
      </c>
      <c r="NM219" s="727">
        <v>3919.0371</v>
      </c>
      <c r="NN219" s="727">
        <v>3910.4141</v>
      </c>
      <c r="NO219" s="727">
        <v>4238.2843000000003</v>
      </c>
      <c r="NP219" s="727">
        <v>4272.2317000000003</v>
      </c>
      <c r="NQ219" s="727">
        <v>2737.9830999999999</v>
      </c>
      <c r="NR219" s="727">
        <v>3062.8926000000001</v>
      </c>
      <c r="NS219" s="727">
        <v>2818.5767999999998</v>
      </c>
      <c r="NT219" s="727">
        <v>2929.5617000000002</v>
      </c>
      <c r="NU219" s="727">
        <v>2976.7997999999998</v>
      </c>
      <c r="NV219" s="727">
        <v>3080.9285</v>
      </c>
      <c r="NW219" s="727">
        <v>2608.2955000000002</v>
      </c>
      <c r="NX219" s="727">
        <v>3678.6284999999998</v>
      </c>
      <c r="NY219" s="727">
        <v>3727.72</v>
      </c>
      <c r="NZ219" s="727">
        <v>3275.3031000000001</v>
      </c>
      <c r="OA219" s="727">
        <v>2596.7917000000002</v>
      </c>
      <c r="OB219" s="727">
        <v>2698.3640999999998</v>
      </c>
      <c r="OC219" s="727">
        <v>2798.0855999999999</v>
      </c>
      <c r="OD219" s="727">
        <v>2686.4331000000002</v>
      </c>
      <c r="OE219" s="727">
        <v>2689.4250000000002</v>
      </c>
      <c r="OF219" s="727">
        <v>2676.0160000000001</v>
      </c>
      <c r="OG219" s="727">
        <v>2681.3247000000001</v>
      </c>
      <c r="OH219" s="727">
        <v>2694.4023999999999</v>
      </c>
      <c r="OI219" s="727">
        <v>2761.1747</v>
      </c>
      <c r="OJ219" s="727">
        <v>3529.5432999999998</v>
      </c>
      <c r="OK219" s="727">
        <v>3552.8715000000002</v>
      </c>
      <c r="OL219" s="727">
        <v>3468.5673000000002</v>
      </c>
      <c r="OM219" s="727">
        <v>3515.6322</v>
      </c>
      <c r="ON219" s="727">
        <v>3499.1732000000002</v>
      </c>
      <c r="OO219" s="727">
        <v>3614.2330000000002</v>
      </c>
      <c r="OP219" s="727">
        <v>3615.9650999999999</v>
      </c>
      <c r="OQ219" s="727">
        <v>3493.0218</v>
      </c>
      <c r="OR219" s="727">
        <v>3644.1338000000001</v>
      </c>
      <c r="OS219" s="727">
        <v>3652.6471000000001</v>
      </c>
      <c r="OT219" s="727">
        <v>3463.2474000000002</v>
      </c>
      <c r="OU219" s="727">
        <v>3460.1035999999999</v>
      </c>
      <c r="OV219" s="727">
        <v>3509.4771000000001</v>
      </c>
      <c r="OW219" s="727">
        <v>3605.6707999999999</v>
      </c>
      <c r="OX219" s="727">
        <v>3645.3033</v>
      </c>
      <c r="OY219" s="727">
        <v>3977.1885000000002</v>
      </c>
      <c r="OZ219" s="727">
        <v>3993.9688999999998</v>
      </c>
      <c r="PA219" s="727">
        <v>3536.9573999999998</v>
      </c>
      <c r="PB219" s="727">
        <v>4098.7071999999998</v>
      </c>
      <c r="PC219" s="727">
        <v>3538.7813999999998</v>
      </c>
      <c r="PD219" s="727">
        <v>3557.3730999999998</v>
      </c>
      <c r="PE219" s="727">
        <v>3539.3744000000002</v>
      </c>
      <c r="PF219" s="727">
        <v>3509.6066000000001</v>
      </c>
      <c r="PG219" s="727">
        <v>3516.1858999999999</v>
      </c>
      <c r="PH219" s="727">
        <v>3480.8404999999998</v>
      </c>
      <c r="PI219" s="727">
        <v>3569.2773000000002</v>
      </c>
      <c r="PJ219" s="727">
        <v>3584.893</v>
      </c>
      <c r="PK219" s="727">
        <v>3484.4295999999999</v>
      </c>
      <c r="PL219" s="727">
        <v>3570.1678000000002</v>
      </c>
      <c r="PM219" s="727">
        <v>3556.3652000000002</v>
      </c>
      <c r="PN219" s="727">
        <v>4082.6945000000001</v>
      </c>
      <c r="PO219" s="727">
        <v>4155.5679</v>
      </c>
      <c r="PP219" s="727">
        <v>3537.2591000000002</v>
      </c>
      <c r="PQ219" s="727">
        <v>4138.0214999999998</v>
      </c>
      <c r="PR219" s="727">
        <v>4009.7424000000001</v>
      </c>
      <c r="PS219" s="727">
        <v>4084.5158000000001</v>
      </c>
      <c r="PT219" s="727">
        <v>3690.6028999999999</v>
      </c>
      <c r="PU219" s="727">
        <v>4000.0814999999998</v>
      </c>
      <c r="PV219" s="727">
        <v>4037.6242999999999</v>
      </c>
      <c r="PW219" s="727">
        <v>4109.4426000000003</v>
      </c>
      <c r="PX219" s="727">
        <v>3946.3670000000002</v>
      </c>
      <c r="PY219" s="727">
        <v>4176.0555999999997</v>
      </c>
      <c r="PZ219" s="727">
        <v>4125.5677999999998</v>
      </c>
      <c r="QA219" s="727">
        <v>4153.6270000000004</v>
      </c>
      <c r="QB219" s="727">
        <v>4081.8737999999998</v>
      </c>
      <c r="QC219" s="727">
        <v>4027.3182000000002</v>
      </c>
      <c r="QD219" s="727">
        <v>3970.3141999999998</v>
      </c>
      <c r="QE219" s="727">
        <v>4112.8815999999997</v>
      </c>
      <c r="QF219" s="727">
        <v>4024.0599000000002</v>
      </c>
      <c r="QG219" s="727">
        <v>4013.6437999999998</v>
      </c>
      <c r="QH219" s="727">
        <v>3981.1858000000002</v>
      </c>
      <c r="QI219" s="727">
        <v>3830.24</v>
      </c>
      <c r="QJ219" s="727">
        <v>3823.2977999999998</v>
      </c>
      <c r="QK219" s="727">
        <v>3960.5102000000002</v>
      </c>
      <c r="QL219" s="727">
        <v>3904.5781999999999</v>
      </c>
      <c r="QM219" s="727">
        <v>4112.8258999999998</v>
      </c>
      <c r="QN219" s="727">
        <v>4174.7066999999997</v>
      </c>
      <c r="QO219" s="727">
        <v>4126.4988000000003</v>
      </c>
      <c r="QP219" s="727">
        <v>4096.3270000000002</v>
      </c>
      <c r="QQ219" s="727">
        <v>4031.3939999999998</v>
      </c>
      <c r="QR219" s="727">
        <v>4176.7236000000003</v>
      </c>
      <c r="QS219" s="727">
        <v>4223.4327000000003</v>
      </c>
      <c r="QT219" s="727">
        <v>4119.3723</v>
      </c>
      <c r="QU219" s="727">
        <v>4136.2559000000001</v>
      </c>
      <c r="QV219" s="727">
        <v>4805.6462000000001</v>
      </c>
      <c r="QW219" s="727">
        <v>5007.4014999999999</v>
      </c>
      <c r="QX219" s="727">
        <v>4839.7466000000004</v>
      </c>
      <c r="QY219" s="727">
        <v>4767.9654</v>
      </c>
      <c r="QZ219" s="727">
        <v>4737.8225000000002</v>
      </c>
      <c r="RA219" s="727">
        <v>4716.0793999999996</v>
      </c>
      <c r="RB219" s="727">
        <v>3902.8139000000001</v>
      </c>
      <c r="RC219" s="727">
        <v>3878.8157999999999</v>
      </c>
      <c r="RD219" s="727">
        <v>4098.0532000000003</v>
      </c>
      <c r="RE219" s="727">
        <v>4256.1728000000003</v>
      </c>
      <c r="RF219" s="727">
        <v>4274.4682000000003</v>
      </c>
      <c r="RG219" s="727">
        <v>4254.8643000000002</v>
      </c>
      <c r="RH219" s="727">
        <v>4268.3698000000004</v>
      </c>
      <c r="RI219" s="727">
        <v>4852.3663999999999</v>
      </c>
      <c r="RJ219" s="727">
        <v>4784.5625</v>
      </c>
      <c r="RK219" s="727">
        <v>4743.0191999999997</v>
      </c>
      <c r="RL219" s="727">
        <v>4117.0196999999998</v>
      </c>
      <c r="RM219" s="727">
        <v>4815.7258000000002</v>
      </c>
      <c r="RN219" s="727">
        <v>4709.4371000000001</v>
      </c>
      <c r="RO219" s="727">
        <v>5065.0924000000005</v>
      </c>
      <c r="RP219" s="727">
        <v>4695.8599000000004</v>
      </c>
      <c r="RQ219" s="727">
        <v>4816.7615999999998</v>
      </c>
      <c r="RR219" s="727">
        <v>4897.7025000000003</v>
      </c>
      <c r="RS219" s="727">
        <v>4900.3561</v>
      </c>
      <c r="RT219" s="727">
        <v>4274.8774000000003</v>
      </c>
      <c r="RU219" s="727">
        <v>4278.8702000000003</v>
      </c>
      <c r="RV219" s="727">
        <v>4742.4067999999997</v>
      </c>
      <c r="RW219" s="727">
        <v>4184.3197</v>
      </c>
      <c r="RX219" s="727">
        <v>4258.9029</v>
      </c>
      <c r="RY219" s="727">
        <v>4355.2556999999997</v>
      </c>
      <c r="RZ219" s="727">
        <v>4056.39</v>
      </c>
      <c r="SA219" s="727">
        <v>4164.1589000000004</v>
      </c>
      <c r="SB219" s="727">
        <v>4057.5805</v>
      </c>
      <c r="SC219" s="727">
        <v>4149.5024000000003</v>
      </c>
      <c r="SD219" s="727">
        <v>4326.9758000000002</v>
      </c>
      <c r="SE219" s="727">
        <v>4135.4434000000001</v>
      </c>
      <c r="SF219" s="727">
        <v>4088.5608000000002</v>
      </c>
      <c r="SG219" s="727">
        <v>4165.5425999999998</v>
      </c>
      <c r="SH219" s="727">
        <v>4111.8725000000004</v>
      </c>
      <c r="SI219" s="727">
        <v>4062.7975000000001</v>
      </c>
      <c r="SJ219" s="727">
        <v>4005.8335999999999</v>
      </c>
      <c r="SK219" s="727">
        <v>4149.1018999999997</v>
      </c>
      <c r="SL219" s="727">
        <v>4319.9053000000004</v>
      </c>
      <c r="SM219" s="727">
        <v>4397.1531999999997</v>
      </c>
      <c r="SN219" s="727">
        <v>4223.9066999999995</v>
      </c>
      <c r="SO219" s="727">
        <v>4303.4503000000004</v>
      </c>
      <c r="SP219" s="727">
        <v>4138.2848999999997</v>
      </c>
      <c r="SQ219" s="727">
        <v>4106.9551000000001</v>
      </c>
      <c r="SR219" s="727">
        <v>4151.5775999999996</v>
      </c>
      <c r="SS219" s="727">
        <v>4717.6450000000004</v>
      </c>
      <c r="ST219" s="727">
        <v>4437.1144999999997</v>
      </c>
      <c r="SU219" s="727">
        <v>4157.5165999999999</v>
      </c>
      <c r="SV219" s="727">
        <v>4258.5847000000003</v>
      </c>
      <c r="SW219" s="727">
        <v>4172.6656000000003</v>
      </c>
      <c r="SX219" s="727">
        <v>4200.4085999999998</v>
      </c>
      <c r="SY219" s="727">
        <v>4113.2837</v>
      </c>
      <c r="SZ219" s="727">
        <v>4192.5195000000003</v>
      </c>
      <c r="TA219" s="727">
        <v>4315.9703</v>
      </c>
      <c r="TB219" s="727">
        <v>4344.4148999999998</v>
      </c>
      <c r="TC219" s="727">
        <v>4239.2093999999997</v>
      </c>
      <c r="TD219" s="727">
        <v>5087.8118000000004</v>
      </c>
      <c r="TE219" s="727">
        <v>4633.9816000000001</v>
      </c>
      <c r="TF219" s="727">
        <v>4727.0034999999998</v>
      </c>
      <c r="TG219" s="727">
        <v>4914.9278999999997</v>
      </c>
      <c r="TH219" s="727">
        <v>4334.0819000000001</v>
      </c>
      <c r="TI219" s="727">
        <v>4260.5703999999996</v>
      </c>
      <c r="TJ219" s="727">
        <v>4220.2052000000003</v>
      </c>
      <c r="TK219" s="727">
        <v>3692.7321999999999</v>
      </c>
      <c r="TL219" s="727">
        <v>3630.2581</v>
      </c>
      <c r="TM219" s="727">
        <v>3241.3586</v>
      </c>
      <c r="TN219" s="727">
        <v>3680.4079000000002</v>
      </c>
      <c r="TO219" s="727">
        <v>4223.5944</v>
      </c>
      <c r="TP219" s="727">
        <v>4220.4087</v>
      </c>
      <c r="TQ219" s="727">
        <v>4326.9224999999997</v>
      </c>
      <c r="TR219" s="727">
        <v>4368.2826999999997</v>
      </c>
      <c r="TS219" s="727">
        <v>4369.4233999999997</v>
      </c>
      <c r="TT219" s="727">
        <v>4387.6931000000004</v>
      </c>
      <c r="TU219" s="727">
        <v>3561.1396</v>
      </c>
      <c r="TV219" s="727">
        <v>3648.8996999999999</v>
      </c>
      <c r="TW219" s="727">
        <v>3365.3724000000002</v>
      </c>
      <c r="TX219" s="727">
        <v>2650.8510000000001</v>
      </c>
      <c r="TY219" s="727">
        <v>2691.1061</v>
      </c>
      <c r="TZ219" s="727">
        <v>2727.5880999999999</v>
      </c>
      <c r="UA219" s="727">
        <v>2689.0396000000001</v>
      </c>
      <c r="UB219" s="727">
        <v>2703.9020999999998</v>
      </c>
      <c r="UC219" s="727">
        <v>3740.8627999999999</v>
      </c>
      <c r="UD219" s="727">
        <v>3996.8732</v>
      </c>
      <c r="UE219" s="727">
        <v>3606.6289999999999</v>
      </c>
      <c r="UF219" s="727">
        <v>3587.4722999999999</v>
      </c>
      <c r="UG219" s="727">
        <v>2700.2017999999998</v>
      </c>
      <c r="UH219" s="727">
        <v>2688.8415</v>
      </c>
      <c r="UI219" s="727">
        <v>2653.2289999999998</v>
      </c>
      <c r="UJ219" s="727">
        <v>2590.1084000000001</v>
      </c>
      <c r="UK219" s="727">
        <v>2716.0569999999998</v>
      </c>
      <c r="UL219" s="727">
        <v>2653.2707</v>
      </c>
      <c r="UM219" s="727">
        <v>2643.7534999999998</v>
      </c>
      <c r="UN219" s="727">
        <v>2606.855</v>
      </c>
      <c r="UO219" s="727">
        <v>2611.5061999999998</v>
      </c>
      <c r="UP219" s="727">
        <v>2634.1792</v>
      </c>
      <c r="UQ219" s="727">
        <v>2742.6705000000002</v>
      </c>
      <c r="UR219" s="727">
        <v>2718.3834000000002</v>
      </c>
      <c r="US219" s="727">
        <v>3528.0605</v>
      </c>
      <c r="UT219" s="727">
        <v>3413.1990999999998</v>
      </c>
      <c r="UU219" s="727">
        <v>3500.8287</v>
      </c>
      <c r="UV219" s="727">
        <v>3329.9783000000002</v>
      </c>
      <c r="UW219" s="727">
        <v>3382.049</v>
      </c>
      <c r="UX219" s="727">
        <v>4129.2919000000002</v>
      </c>
      <c r="UY219" s="727">
        <v>3106.4598000000001</v>
      </c>
      <c r="UZ219" s="727">
        <v>3481.9104000000002</v>
      </c>
      <c r="VA219" s="727">
        <v>3126.2478999999998</v>
      </c>
      <c r="VB219" s="727">
        <v>3356.8582000000001</v>
      </c>
      <c r="VC219" s="727">
        <v>3340.1412</v>
      </c>
      <c r="VD219" s="727">
        <v>3340.4580000000001</v>
      </c>
      <c r="VE219" s="727">
        <v>3468.6109000000001</v>
      </c>
      <c r="VF219" s="727">
        <v>3293.8683999999998</v>
      </c>
      <c r="VG219" s="727">
        <v>3398.7691</v>
      </c>
      <c r="VH219" s="727">
        <v>3229.8766999999998</v>
      </c>
      <c r="VI219" s="727">
        <v>3331.0309000000002</v>
      </c>
      <c r="VJ219" s="727">
        <v>3346.0554999999999</v>
      </c>
      <c r="VK219" s="727">
        <v>3301.1415000000002</v>
      </c>
      <c r="VL219" s="727">
        <v>3301.1918999999998</v>
      </c>
      <c r="VM219" s="727">
        <v>3398.1531</v>
      </c>
      <c r="VN219" s="727">
        <v>3310.5970000000002</v>
      </c>
      <c r="VO219" s="727">
        <v>3473.7183</v>
      </c>
      <c r="VP219" s="727">
        <v>3435.5461</v>
      </c>
      <c r="VQ219" s="727">
        <v>3406.9189000000001</v>
      </c>
      <c r="VR219" s="727">
        <v>3305.5544</v>
      </c>
      <c r="VS219" s="727">
        <v>3477.2910000000002</v>
      </c>
      <c r="VT219" s="727">
        <v>3365.5970000000002</v>
      </c>
      <c r="VU219" s="727">
        <v>3576.5821000000001</v>
      </c>
      <c r="VV219" s="727">
        <v>3459.6705999999999</v>
      </c>
      <c r="VW219" s="727">
        <v>3581.1194999999998</v>
      </c>
      <c r="VX219" s="727">
        <v>3728.7584000000002</v>
      </c>
      <c r="VY219" s="727">
        <v>3506.2512999999999</v>
      </c>
      <c r="VZ219" s="727">
        <v>4094.0075999999999</v>
      </c>
      <c r="WA219" s="727">
        <v>3620.2727</v>
      </c>
      <c r="WB219" s="727">
        <v>3695.1932999999999</v>
      </c>
      <c r="WC219" s="727">
        <v>3731.8780999999999</v>
      </c>
      <c r="WD219" s="727">
        <v>3628.1284000000001</v>
      </c>
      <c r="WE219" s="727">
        <v>3733.7791999999999</v>
      </c>
      <c r="WF219" s="727">
        <v>3654.6359000000002</v>
      </c>
      <c r="WG219" s="727">
        <v>3645.2447999999999</v>
      </c>
      <c r="WH219" s="727">
        <v>3629.9810000000002</v>
      </c>
      <c r="WI219" s="727">
        <v>3272.7804000000001</v>
      </c>
      <c r="WJ219" s="727">
        <v>3247.5041000000001</v>
      </c>
      <c r="WK219" s="727">
        <v>3172.0209</v>
      </c>
      <c r="WL219" s="727">
        <v>3632.1268</v>
      </c>
      <c r="WM219" s="727">
        <v>3590.2170000000001</v>
      </c>
      <c r="WN219" s="727">
        <v>3208.3930999999998</v>
      </c>
      <c r="WO219" s="727">
        <v>3280.8726000000001</v>
      </c>
      <c r="WP219" s="727">
        <v>3174.0743000000002</v>
      </c>
      <c r="WQ219" s="727">
        <v>3242.9567000000002</v>
      </c>
      <c r="WR219" s="727">
        <v>4117.8352999999997</v>
      </c>
      <c r="WS219" s="727">
        <v>4028.2586999999999</v>
      </c>
      <c r="WT219" s="727">
        <v>4204.0688</v>
      </c>
      <c r="WU219" s="727">
        <v>3271.8712999999998</v>
      </c>
      <c r="WV219" s="727">
        <v>4159.8834999999999</v>
      </c>
      <c r="WW219" s="727">
        <v>4181.6651000000002</v>
      </c>
      <c r="WX219" s="727">
        <v>4265.4048000000003</v>
      </c>
      <c r="WY219" s="727">
        <v>4226.4795999999997</v>
      </c>
      <c r="WZ219" s="727">
        <v>3658.9674</v>
      </c>
      <c r="XA219" s="727">
        <v>3872.9735999999998</v>
      </c>
      <c r="XB219" s="727">
        <v>3668.3811000000001</v>
      </c>
      <c r="XC219" s="727">
        <v>3148.1837999999998</v>
      </c>
      <c r="XD219" s="727">
        <v>3152.5630999999998</v>
      </c>
      <c r="XE219" s="727">
        <v>3174.4313999999999</v>
      </c>
      <c r="XF219" s="727">
        <v>4212.7021999999997</v>
      </c>
      <c r="XG219" s="727">
        <v>4157.3680999999997</v>
      </c>
      <c r="XH219" s="727">
        <v>4888.6828999999998</v>
      </c>
      <c r="XI219" s="727">
        <v>4896.5281000000004</v>
      </c>
      <c r="XJ219" s="727">
        <v>4904.0976000000001</v>
      </c>
      <c r="XK219" s="727">
        <v>4804.4412000000002</v>
      </c>
      <c r="XL219" s="727">
        <v>4151.2826999999997</v>
      </c>
      <c r="XM219" s="727">
        <v>4219.9405999999999</v>
      </c>
      <c r="XN219" s="727">
        <v>4132.7433000000001</v>
      </c>
      <c r="XO219" s="727">
        <v>4164.6131999999998</v>
      </c>
      <c r="XP219" s="727">
        <v>4114.2139999999999</v>
      </c>
      <c r="XQ219" s="727">
        <v>4294.4771000000001</v>
      </c>
      <c r="XR219" s="727">
        <v>4181.3789999999999</v>
      </c>
      <c r="XS219" s="727">
        <v>4171.3994000000002</v>
      </c>
      <c r="XT219" s="727">
        <v>4023.2642999999998</v>
      </c>
      <c r="XU219" s="727">
        <v>4406.7828</v>
      </c>
      <c r="XV219" s="727">
        <v>4348.3739999999998</v>
      </c>
      <c r="XW219" s="727">
        <v>4351.1003000000001</v>
      </c>
      <c r="XX219" s="727">
        <v>4440.4930000000004</v>
      </c>
      <c r="XY219" s="727">
        <v>4185.5654000000004</v>
      </c>
      <c r="XZ219" s="727">
        <v>4412.2538000000004</v>
      </c>
      <c r="YA219" s="727">
        <v>4409.1868999999997</v>
      </c>
      <c r="YB219" s="727">
        <v>4415.4712</v>
      </c>
      <c r="YC219" s="727">
        <v>4404.0465999999997</v>
      </c>
      <c r="YD219" s="727">
        <v>4295.9405999999999</v>
      </c>
      <c r="YE219" s="727">
        <v>4304.8594000000003</v>
      </c>
      <c r="YF219" s="727">
        <v>4390.3543</v>
      </c>
      <c r="YG219" s="727">
        <v>4440.9928</v>
      </c>
      <c r="YH219" s="727">
        <v>4538.4269999999997</v>
      </c>
      <c r="YI219" s="727">
        <v>4970.7982000000002</v>
      </c>
      <c r="YJ219" s="727">
        <v>5004.2066000000004</v>
      </c>
      <c r="YK219" s="727">
        <v>4352.6001999999999</v>
      </c>
      <c r="YL219" s="727">
        <v>4428.6149999999998</v>
      </c>
      <c r="YM219" s="727">
        <v>4453.3247000000001</v>
      </c>
      <c r="YN219" s="727">
        <v>4453.1949000000004</v>
      </c>
      <c r="YO219" s="727">
        <v>4343.1871000000001</v>
      </c>
      <c r="YP219" s="727">
        <v>4909.8822</v>
      </c>
      <c r="YQ219" s="727">
        <v>4557.4534999999996</v>
      </c>
      <c r="YR219" s="727">
        <v>4494.0501999999997</v>
      </c>
      <c r="YS219" s="727">
        <v>5060.5546999999997</v>
      </c>
      <c r="YT219" s="727">
        <v>4459.1511</v>
      </c>
      <c r="YU219" s="727">
        <v>4503.3630999999996</v>
      </c>
      <c r="YV219" s="727">
        <v>4477.6890999999996</v>
      </c>
      <c r="YW219" s="727">
        <v>4438.1486999999997</v>
      </c>
      <c r="YX219" s="727">
        <v>4373.2614999999996</v>
      </c>
      <c r="YY219" s="727">
        <v>4484.7847000000002</v>
      </c>
      <c r="YZ219" s="727">
        <v>4437.0322999999999</v>
      </c>
      <c r="ZA219" s="727">
        <v>4605.5355</v>
      </c>
      <c r="ZB219" s="727">
        <v>4448.2570999999998</v>
      </c>
      <c r="ZC219" s="727">
        <v>4872.6931000000004</v>
      </c>
      <c r="ZD219" s="727">
        <v>4454.3103000000001</v>
      </c>
      <c r="ZE219" s="727">
        <v>4539.1417000000001</v>
      </c>
      <c r="ZF219" s="727">
        <v>4427.9486999999999</v>
      </c>
      <c r="ZG219" s="727">
        <v>4450.8140000000003</v>
      </c>
      <c r="ZH219" s="727">
        <v>4325.0110000000004</v>
      </c>
      <c r="ZI219" s="727">
        <v>4494.21</v>
      </c>
      <c r="ZJ219" s="727">
        <v>4466.8748999999998</v>
      </c>
      <c r="ZK219" s="727">
        <v>5029.0564999999997</v>
      </c>
      <c r="ZL219" s="727">
        <v>4441.7677000000003</v>
      </c>
      <c r="ZM219" s="727">
        <v>4520.4138999999996</v>
      </c>
      <c r="ZN219" s="727">
        <v>4459.5832</v>
      </c>
      <c r="ZO219" s="727">
        <v>4439.1400000000003</v>
      </c>
      <c r="ZP219" s="727">
        <v>4472.7759999999998</v>
      </c>
      <c r="ZQ219" s="727">
        <v>4375.8320000000003</v>
      </c>
      <c r="ZR219" s="727">
        <v>4277.9457000000002</v>
      </c>
      <c r="ZS219" s="727">
        <v>4387.0897000000004</v>
      </c>
      <c r="ZT219" s="727">
        <v>4324.7273999999998</v>
      </c>
      <c r="ZU219" s="727">
        <v>4331.0564999999997</v>
      </c>
      <c r="ZV219" s="727">
        <v>4396.0702000000001</v>
      </c>
      <c r="ZW219" s="727">
        <v>4479.8110999999999</v>
      </c>
      <c r="ZX219" s="727">
        <v>4420.7825999999995</v>
      </c>
      <c r="ZY219" s="727">
        <v>4333.5958000000001</v>
      </c>
      <c r="ZZ219" s="727">
        <v>4392.6971000000003</v>
      </c>
      <c r="AAA219" s="727">
        <v>4439.0591000000004</v>
      </c>
      <c r="AAB219" s="727">
        <v>4226.1566000000003</v>
      </c>
      <c r="AAC219" s="727">
        <v>4388.4763999999996</v>
      </c>
      <c r="AAD219" s="727">
        <v>4430.6804000000002</v>
      </c>
      <c r="AAE219" s="727">
        <v>4438.4984999999997</v>
      </c>
      <c r="AAF219" s="727">
        <v>4468.5532000000003</v>
      </c>
      <c r="AAG219" s="727">
        <v>4417.0646999999999</v>
      </c>
      <c r="AAH219" s="727">
        <v>4313.5030999999999</v>
      </c>
      <c r="AAI219" s="727">
        <v>4329.9682000000003</v>
      </c>
      <c r="AAJ219" s="727">
        <v>4289.5835999999999</v>
      </c>
      <c r="AAK219" s="727">
        <v>4233.6578</v>
      </c>
      <c r="AAL219" s="727">
        <v>4357.9413000000004</v>
      </c>
      <c r="AAM219" s="727">
        <v>4316.2960000000003</v>
      </c>
      <c r="AAN219" s="727">
        <v>4305.7813999999998</v>
      </c>
      <c r="AAO219" s="727">
        <v>4466.3419000000004</v>
      </c>
      <c r="AAP219" s="727">
        <v>3979.1639</v>
      </c>
      <c r="AAQ219" s="727">
        <v>4259.8634000000002</v>
      </c>
      <c r="AAR219" s="727">
        <v>4265.4840000000004</v>
      </c>
      <c r="AAS219" s="727">
        <v>4254.4976999999999</v>
      </c>
      <c r="AAT219" s="727">
        <v>4489.4438</v>
      </c>
      <c r="AAU219" s="727">
        <v>4664.2731000000003</v>
      </c>
      <c r="AAV219" s="727">
        <v>3744.7811000000002</v>
      </c>
      <c r="AAW219" s="727">
        <v>4643.3919999999998</v>
      </c>
      <c r="AAX219" s="727">
        <v>4362.4282999999996</v>
      </c>
      <c r="AAY219" s="727">
        <v>3399.4688999999998</v>
      </c>
      <c r="AAZ219" s="727">
        <v>3517.3739</v>
      </c>
      <c r="ABA219" s="727">
        <v>4028.0911999999998</v>
      </c>
      <c r="ABB219" s="727">
        <v>3929.0871999999999</v>
      </c>
      <c r="ABC219" s="727">
        <v>3545.6089999999999</v>
      </c>
      <c r="ABD219" s="727">
        <v>3651.0073000000002</v>
      </c>
      <c r="ABE219" s="727">
        <v>4549.4965000000002</v>
      </c>
      <c r="ABF219" s="727">
        <v>4529.3413</v>
      </c>
      <c r="ABG219" s="727">
        <v>4065.0261</v>
      </c>
      <c r="ABH219" s="727">
        <v>4794.1815999999999</v>
      </c>
      <c r="ABI219" s="727">
        <v>3742.8159999999998</v>
      </c>
      <c r="ABJ219" s="727">
        <v>3831.0342000000001</v>
      </c>
      <c r="ABK219" s="727">
        <v>3681.6848</v>
      </c>
      <c r="ABL219" s="727">
        <v>3571.1457999999998</v>
      </c>
      <c r="ABM219" s="727">
        <v>3676.5356000000002</v>
      </c>
      <c r="ABN219" s="727">
        <v>3889.6082999999999</v>
      </c>
      <c r="ABO219" s="727">
        <v>3718.1954999999998</v>
      </c>
      <c r="ABP219" s="727">
        <v>3319.2195999999999</v>
      </c>
      <c r="ABQ219" s="727">
        <v>3817.5655999999999</v>
      </c>
      <c r="ABR219" s="727">
        <v>3828.3474999999999</v>
      </c>
      <c r="ABS219" s="727">
        <v>3904.7221</v>
      </c>
      <c r="ABT219" s="727">
        <v>3576.4917</v>
      </c>
      <c r="ABU219" s="727">
        <v>3567.9616000000001</v>
      </c>
      <c r="ABV219" s="727">
        <v>3953.8018999999999</v>
      </c>
      <c r="ABW219" s="727">
        <v>3606.5616</v>
      </c>
      <c r="ABX219" s="727">
        <v>2775.2719999999999</v>
      </c>
      <c r="ABY219" s="727">
        <v>2774.3955000000001</v>
      </c>
      <c r="ABZ219" s="727">
        <v>2725.5713000000001</v>
      </c>
      <c r="ACA219" s="727">
        <v>2874.5463</v>
      </c>
      <c r="ACB219" s="727">
        <v>3005.8238999999999</v>
      </c>
      <c r="ACC219" s="727">
        <v>3353.2793000000001</v>
      </c>
      <c r="ACD219" s="727">
        <v>3656.6781999999998</v>
      </c>
      <c r="ACE219" s="727">
        <v>3126.4502000000002</v>
      </c>
      <c r="ACF219" s="727">
        <v>3375.3058999999998</v>
      </c>
      <c r="ACG219" s="727">
        <v>3789.4494</v>
      </c>
      <c r="ACH219" s="727">
        <v>3594.1678999999999</v>
      </c>
      <c r="ACI219" s="727">
        <v>3482.1990000000001</v>
      </c>
      <c r="ACJ219" s="727">
        <v>3603.9418999999998</v>
      </c>
      <c r="ACK219" s="727">
        <v>3582.3143</v>
      </c>
      <c r="ACL219" s="727">
        <v>3702.2489999999998</v>
      </c>
      <c r="ACM219" s="727">
        <v>3592.1950000000002</v>
      </c>
      <c r="ACN219" s="727">
        <v>3521.518</v>
      </c>
      <c r="ACO219" s="727">
        <v>3927.2660000000001</v>
      </c>
      <c r="ACP219" s="727">
        <v>3605.8497000000002</v>
      </c>
      <c r="ACQ219" s="727">
        <v>3544.1091999999999</v>
      </c>
      <c r="ACR219" s="727">
        <v>3620.5255000000002</v>
      </c>
      <c r="ACS219" s="727">
        <v>4500.7943999999998</v>
      </c>
      <c r="ACT219" s="727">
        <v>3611.1342</v>
      </c>
      <c r="ACU219" s="727">
        <v>3548.3233</v>
      </c>
      <c r="ACV219" s="727">
        <v>3787.6756</v>
      </c>
      <c r="ACW219" s="727">
        <v>3569.1284000000001</v>
      </c>
      <c r="ACX219" s="727">
        <v>3578.4207999999999</v>
      </c>
      <c r="ACY219" s="727">
        <v>3607.2118</v>
      </c>
      <c r="ACZ219" s="727">
        <v>3614.7265000000002</v>
      </c>
      <c r="ADA219" s="727">
        <v>3630.4400999999998</v>
      </c>
      <c r="ADB219" s="727">
        <v>3376.7530999999999</v>
      </c>
      <c r="ADC219" s="727">
        <v>3277.6385</v>
      </c>
      <c r="ADD219" s="727">
        <v>3526.4895999999999</v>
      </c>
      <c r="ADE219" s="727">
        <v>4373.3458000000001</v>
      </c>
      <c r="ADF219" s="727">
        <v>4416.2115000000003</v>
      </c>
      <c r="ADG219" s="727">
        <v>4298.7626</v>
      </c>
      <c r="ADH219" s="727">
        <v>4405.7425000000003</v>
      </c>
      <c r="ADI219" s="727">
        <v>4382.1148999999996</v>
      </c>
      <c r="ADJ219" s="727">
        <v>4310.0055000000002</v>
      </c>
      <c r="ADK219" s="727">
        <v>4399.4049000000005</v>
      </c>
      <c r="ADL219" s="727">
        <v>4499.6630999999998</v>
      </c>
      <c r="ADM219" s="727">
        <v>4444.7673000000004</v>
      </c>
      <c r="ADN219" s="727">
        <v>4467.2923000000001</v>
      </c>
      <c r="ADO219" s="727">
        <v>4404.4960000000001</v>
      </c>
      <c r="ADP219" s="727">
        <v>4468.2887000000001</v>
      </c>
      <c r="ADQ219" s="727">
        <v>4362.3449000000001</v>
      </c>
      <c r="ADR219" s="727">
        <v>4288.2272999999996</v>
      </c>
      <c r="ADS219" s="727">
        <v>4977.473</v>
      </c>
      <c r="ADT219" s="727">
        <v>5001.7583999999997</v>
      </c>
      <c r="ADU219" s="727">
        <v>4650.4489000000003</v>
      </c>
      <c r="ADV219" s="727">
        <v>4773.8541999999998</v>
      </c>
      <c r="ADW219" s="727">
        <v>4491.2518</v>
      </c>
      <c r="ADX219" s="727">
        <v>4540.1264000000001</v>
      </c>
      <c r="ADY219" s="727">
        <v>4510.0920999999998</v>
      </c>
      <c r="ADZ219" s="727">
        <v>4943.8516</v>
      </c>
      <c r="AEA219" s="727">
        <v>4736.2125999999998</v>
      </c>
      <c r="AEB219" s="727">
        <v>4909.2642999999998</v>
      </c>
      <c r="AEC219" s="727">
        <v>4251.1234999999997</v>
      </c>
      <c r="AED219" s="727">
        <v>4743.4826000000003</v>
      </c>
      <c r="AEE219" s="727">
        <v>4938.0124999999998</v>
      </c>
      <c r="AEF219" s="727">
        <v>4338.2146000000002</v>
      </c>
      <c r="AEG219" s="727">
        <v>5004.0492000000004</v>
      </c>
      <c r="AEH219" s="727">
        <v>4647.0735999999997</v>
      </c>
      <c r="AEI219" s="727">
        <v>4514.5909000000001</v>
      </c>
      <c r="AEJ219" s="727">
        <v>4885.7060000000001</v>
      </c>
      <c r="AEK219" s="727">
        <v>4776.3382000000001</v>
      </c>
      <c r="AEL219" s="727">
        <v>4442.1067000000003</v>
      </c>
      <c r="AEM219" s="727">
        <v>4612.1727000000001</v>
      </c>
      <c r="AEN219" s="727">
        <v>4533.8773000000001</v>
      </c>
      <c r="AEO219" s="727">
        <v>4470.5689000000002</v>
      </c>
      <c r="AEP219" s="727">
        <v>4426.2928000000002</v>
      </c>
      <c r="AEQ219" s="727">
        <v>4447.7545</v>
      </c>
      <c r="AER219" s="727">
        <v>4487.7120000000004</v>
      </c>
      <c r="AES219" s="727">
        <v>4754.0713999999998</v>
      </c>
      <c r="AET219" s="727">
        <v>4579.4407000000001</v>
      </c>
      <c r="AEU219" s="727">
        <v>4558.9354999999996</v>
      </c>
      <c r="AEV219" s="727">
        <v>4537.6139999999996</v>
      </c>
      <c r="AEW219" s="727">
        <v>4574.7133000000003</v>
      </c>
      <c r="AEX219" s="727">
        <v>4502.7736999999997</v>
      </c>
      <c r="AEY219" s="727">
        <v>4507.0298000000003</v>
      </c>
      <c r="AEZ219" s="727">
        <v>4616.3580000000002</v>
      </c>
      <c r="AFA219" s="727">
        <v>4664.6030000000001</v>
      </c>
      <c r="AFB219" s="727">
        <v>4477.5187999999998</v>
      </c>
      <c r="AFC219" s="727">
        <v>4482.4856</v>
      </c>
      <c r="AFD219" s="727">
        <v>4466.9268000000002</v>
      </c>
      <c r="AFE219" s="727">
        <v>4534.4571999999998</v>
      </c>
      <c r="AFF219" s="727">
        <v>4614.8068999999996</v>
      </c>
      <c r="AFG219" s="727">
        <v>4687.6619000000001</v>
      </c>
      <c r="AFH219" s="727">
        <v>4502.8932000000004</v>
      </c>
      <c r="AFI219" s="727">
        <v>4483.2078000000001</v>
      </c>
      <c r="AFJ219" s="727">
        <v>4617.2245999999996</v>
      </c>
      <c r="AFK219" s="727">
        <v>4810.4083000000001</v>
      </c>
      <c r="AFL219" s="727">
        <v>4526.6653999999999</v>
      </c>
      <c r="AFM219" s="727">
        <v>4479.0807999999997</v>
      </c>
      <c r="AFN219" s="727">
        <v>4626.2469000000001</v>
      </c>
      <c r="AFO219" s="727">
        <v>4549.6180999999997</v>
      </c>
      <c r="AFP219" s="727">
        <v>4455.2894999999999</v>
      </c>
      <c r="AFQ219" s="727">
        <v>4370.9242000000004</v>
      </c>
      <c r="AFR219" s="727">
        <v>4494.6203999999998</v>
      </c>
      <c r="AFS219" s="727">
        <v>4490.7295000000004</v>
      </c>
      <c r="AFT219" s="727">
        <v>4484.5432000000001</v>
      </c>
      <c r="AFU219" s="727">
        <v>4503.9772999999996</v>
      </c>
      <c r="AFV219" s="727">
        <v>4469.9071999999996</v>
      </c>
      <c r="AFW219" s="727">
        <v>4493.3317999999999</v>
      </c>
      <c r="AFX219" s="727">
        <v>4498.6711999999998</v>
      </c>
      <c r="AFY219" s="727">
        <v>4585.0268999999998</v>
      </c>
      <c r="AFZ219" s="727">
        <v>4351.7880999999998</v>
      </c>
      <c r="AGA219" s="727">
        <v>4418.6890999999996</v>
      </c>
      <c r="AGB219" s="727">
        <v>5179.7398000000003</v>
      </c>
      <c r="AGC219" s="727">
        <v>4310.3589000000002</v>
      </c>
      <c r="AGD219" s="727">
        <v>3719.5372000000002</v>
      </c>
      <c r="AGE219" s="727">
        <v>4408.7228999999998</v>
      </c>
      <c r="AGF219" s="727">
        <v>3880.3247999999999</v>
      </c>
      <c r="AGG219" s="727">
        <v>4568.2597999999998</v>
      </c>
      <c r="AGH219" s="727">
        <v>4335.1629000000003</v>
      </c>
      <c r="AGI219" s="727">
        <v>3848.6804000000002</v>
      </c>
      <c r="AGJ219" s="727">
        <v>3667.7710999999999</v>
      </c>
      <c r="AGK219" s="727">
        <v>3809.8011999999999</v>
      </c>
      <c r="AGL219" s="727">
        <v>4094.2496999999998</v>
      </c>
      <c r="AGM219" s="727">
        <v>3905.2042000000001</v>
      </c>
      <c r="AGN219" s="727">
        <v>3772.4367999999999</v>
      </c>
      <c r="AGO219" s="727">
        <v>3433.1705000000002</v>
      </c>
      <c r="AGP219" s="727">
        <v>3471.6496999999999</v>
      </c>
      <c r="AGQ219" s="727">
        <v>3641.2139999999999</v>
      </c>
      <c r="AGR219" s="727">
        <v>3771.2075</v>
      </c>
      <c r="AGS219" s="727">
        <v>3607.8892999999998</v>
      </c>
      <c r="AGT219" s="727">
        <v>3804.4872999999998</v>
      </c>
      <c r="AGU219" s="727">
        <v>3272.6287000000002</v>
      </c>
      <c r="AGV219" s="727">
        <v>3481.3353999999999</v>
      </c>
      <c r="AGW219" s="727">
        <v>3675.6772000000001</v>
      </c>
      <c r="AGX219" s="727">
        <v>2988.5162999999998</v>
      </c>
      <c r="AGY219" s="727">
        <v>2965.0322000000001</v>
      </c>
      <c r="AGZ219" s="727">
        <v>3106.9618</v>
      </c>
      <c r="AHA219" s="727">
        <v>3052.0133000000001</v>
      </c>
      <c r="AHB219" s="727">
        <v>3069.1680000000001</v>
      </c>
      <c r="AHC219" s="727">
        <v>3048.2692000000002</v>
      </c>
      <c r="AHD219" s="727">
        <v>3043.4297999999999</v>
      </c>
      <c r="AHE219" s="727">
        <v>3070.1857</v>
      </c>
      <c r="AHF219" s="727">
        <v>3118.3227000000002</v>
      </c>
      <c r="AHG219" s="727">
        <v>3110.7220000000002</v>
      </c>
      <c r="AHH219" s="727">
        <v>3794.7348999999999</v>
      </c>
      <c r="AHI219" s="727">
        <v>3900.509</v>
      </c>
      <c r="AHJ219" s="727">
        <v>3790.3672999999999</v>
      </c>
      <c r="AHK219" s="727">
        <v>3461.9904999999999</v>
      </c>
      <c r="AHL219" s="727">
        <v>4425.2282999999998</v>
      </c>
      <c r="AHM219" s="727">
        <v>4411.3184000000001</v>
      </c>
      <c r="AHN219" s="727">
        <v>4419.9156999999996</v>
      </c>
      <c r="AHO219" s="727">
        <v>5024.3489</v>
      </c>
      <c r="AHP219" s="727">
        <v>4427.1966000000002</v>
      </c>
      <c r="AHQ219" s="727">
        <v>4949.4614000000001</v>
      </c>
      <c r="AHR219" s="727">
        <v>4587.9957000000004</v>
      </c>
      <c r="AHS219" s="727">
        <v>4551.0073000000002</v>
      </c>
      <c r="AHT219" s="727">
        <v>4591.4224000000004</v>
      </c>
      <c r="AHU219" s="727">
        <v>4554.8782000000001</v>
      </c>
      <c r="AHV219" s="727">
        <v>4565.1480000000001</v>
      </c>
      <c r="AHW219" s="727">
        <v>4683.6516000000001</v>
      </c>
      <c r="AHX219" s="727">
        <v>4531.7030999999997</v>
      </c>
      <c r="AHY219" s="727">
        <v>4552.7338</v>
      </c>
      <c r="AHZ219" s="727">
        <v>4611.5114000000003</v>
      </c>
      <c r="AIA219" s="727">
        <v>4718.4026000000003</v>
      </c>
      <c r="AIB219" s="727">
        <v>4669.1469999999999</v>
      </c>
      <c r="AIC219" s="727">
        <v>4704.7852000000003</v>
      </c>
      <c r="AID219" s="727">
        <v>4558.5356000000002</v>
      </c>
      <c r="AIE219" s="727">
        <v>4458.8977000000004</v>
      </c>
      <c r="AIF219" s="727">
        <v>4662.3778000000002</v>
      </c>
      <c r="AIG219" s="727">
        <v>4663.4387999999999</v>
      </c>
      <c r="AIH219" s="727">
        <v>4599.7151999999996</v>
      </c>
      <c r="AII219" s="727">
        <v>4590.4380000000001</v>
      </c>
      <c r="AIJ219" s="727">
        <v>4696.6773000000003</v>
      </c>
      <c r="AIK219" s="727">
        <v>4577.7030999999997</v>
      </c>
      <c r="AIL219" s="727">
        <v>4609.9399999999996</v>
      </c>
      <c r="AIM219" s="727">
        <v>4570.2088000000003</v>
      </c>
      <c r="AIN219" s="727">
        <v>4702.3145999999997</v>
      </c>
      <c r="AIO219" s="727">
        <v>4570.9798000000001</v>
      </c>
      <c r="AIP219" s="727">
        <v>4628.2092000000002</v>
      </c>
      <c r="AIQ219" s="727">
        <v>4683.1929</v>
      </c>
      <c r="AIR219" s="727">
        <v>4536.3721999999998</v>
      </c>
      <c r="AIS219" s="727">
        <v>4529.8555999999999</v>
      </c>
      <c r="AIT219" s="727">
        <v>4534.7798000000003</v>
      </c>
      <c r="AIU219" s="727">
        <v>4674.7091</v>
      </c>
      <c r="AIV219" s="727">
        <v>4440.6261999999997</v>
      </c>
      <c r="AIW219" s="727">
        <v>4564.1562999999996</v>
      </c>
      <c r="AIX219" s="727">
        <v>3857.8845999999999</v>
      </c>
      <c r="AIY219" s="727">
        <v>4458.8487999999998</v>
      </c>
      <c r="AIZ219" s="727">
        <v>4466.9593000000004</v>
      </c>
      <c r="AJA219" s="727">
        <v>3812.8501000000001</v>
      </c>
      <c r="AJB219" s="727">
        <v>4526.7165999999997</v>
      </c>
      <c r="AJC219" s="727">
        <v>4031.7314000000001</v>
      </c>
      <c r="AJD219" s="727">
        <v>3797.4339</v>
      </c>
      <c r="AJE219" s="727">
        <v>3676.3634999999999</v>
      </c>
      <c r="AJF219" s="727">
        <v>3841.7950999999998</v>
      </c>
      <c r="AJG219" s="727">
        <v>3838.2305000000001</v>
      </c>
      <c r="AJH219" s="727">
        <v>3734.0796</v>
      </c>
      <c r="AJI219" s="727">
        <v>3883.5019000000002</v>
      </c>
      <c r="AJJ219" s="727">
        <v>3391.3020999999999</v>
      </c>
      <c r="AJK219" s="727">
        <v>3858.7831000000001</v>
      </c>
      <c r="AJL219" s="727">
        <v>3349.0329999999999</v>
      </c>
      <c r="AJM219" s="727">
        <v>3320.0675999999999</v>
      </c>
      <c r="AJN219" s="727">
        <v>3287.2253999999998</v>
      </c>
      <c r="AJO219" s="727">
        <v>3305.7125000000001</v>
      </c>
      <c r="AJP219" s="727">
        <v>3550.5248000000001</v>
      </c>
      <c r="AJQ219" s="727">
        <v>3404.8903</v>
      </c>
      <c r="AJR219" s="727">
        <v>3186.4969000000001</v>
      </c>
      <c r="AJS219" s="727">
        <v>3181.6410000000001</v>
      </c>
      <c r="AJT219" s="727">
        <v>3528.7103999999999</v>
      </c>
      <c r="AJU219" s="727">
        <v>3671.1302999999998</v>
      </c>
      <c r="AJV219" s="727">
        <v>3421.8125</v>
      </c>
      <c r="AJW219" s="727">
        <v>3500.8807000000002</v>
      </c>
      <c r="AJX219" s="727">
        <v>3209.3751999999999</v>
      </c>
      <c r="AJY219" s="727">
        <v>3071.1062999999999</v>
      </c>
      <c r="AJZ219" s="727">
        <v>3152.0466999999999</v>
      </c>
      <c r="AKA219" s="727">
        <v>3094.1206000000002</v>
      </c>
      <c r="AKB219" s="727">
        <v>3100.1594</v>
      </c>
      <c r="AKC219" s="727">
        <v>3277.442</v>
      </c>
      <c r="AKD219" s="727">
        <v>3207.8791999999999</v>
      </c>
      <c r="AKE219" s="727">
        <v>3065.4185000000002</v>
      </c>
      <c r="AKF219" s="727">
        <v>3031.8173000000002</v>
      </c>
      <c r="AKG219" s="727">
        <v>3003.1448</v>
      </c>
      <c r="AKH219" s="727">
        <v>3116.9389999999999</v>
      </c>
      <c r="AKI219" s="727">
        <v>3062.1185</v>
      </c>
      <c r="AKJ219" s="727">
        <v>3144.3301999999999</v>
      </c>
      <c r="AKK219" s="727">
        <v>3246.5794999999998</v>
      </c>
      <c r="AKL219" s="727">
        <v>3252.3425999999999</v>
      </c>
      <c r="AKM219" s="727">
        <v>3222.9567999999999</v>
      </c>
      <c r="AKN219" s="727">
        <v>3760.2044999999998</v>
      </c>
      <c r="AKO219" s="727">
        <v>3279.9803000000002</v>
      </c>
      <c r="AKP219" s="727">
        <v>3594.6824999999999</v>
      </c>
      <c r="AKQ219" s="727">
        <v>3434.6410000000001</v>
      </c>
      <c r="AKR219" s="727">
        <v>4289.7539999999999</v>
      </c>
      <c r="AKS219" s="727">
        <v>3378.2440000000001</v>
      </c>
      <c r="AKT219" s="727">
        <v>4065.2671</v>
      </c>
      <c r="AKU219" s="727">
        <v>4082.0209</v>
      </c>
      <c r="AKV219" s="727">
        <v>3385.9801000000002</v>
      </c>
      <c r="AKW219" s="727">
        <v>3455.1943999999999</v>
      </c>
      <c r="AKX219" s="727">
        <v>3498.5704000000001</v>
      </c>
      <c r="AKY219" s="727">
        <v>2678.8377999999998</v>
      </c>
      <c r="AKZ219" s="727">
        <v>2716.5093000000002</v>
      </c>
      <c r="ALA219" s="727">
        <v>4116.7674999999999</v>
      </c>
      <c r="ALB219" s="727">
        <v>3540.4904000000001</v>
      </c>
      <c r="ALC219" s="727">
        <v>3420.5536000000002</v>
      </c>
      <c r="ALD219" s="727">
        <v>3574.7002000000002</v>
      </c>
      <c r="ALE219" s="727">
        <v>4129.2509</v>
      </c>
      <c r="ALF219" s="727">
        <v>3112.5023999999999</v>
      </c>
      <c r="ALG219" s="727">
        <v>4074.4470999999999</v>
      </c>
      <c r="ALH219" s="727">
        <v>4015.6255000000001</v>
      </c>
      <c r="ALI219" s="727">
        <v>3527.2089999999998</v>
      </c>
      <c r="ALJ219" s="727">
        <v>3462.1594</v>
      </c>
      <c r="ALK219" s="727">
        <v>2725.8676999999998</v>
      </c>
      <c r="ALL219" s="727">
        <v>3387.3588</v>
      </c>
      <c r="ALM219" s="727">
        <v>2663.4013</v>
      </c>
      <c r="ALN219" s="727">
        <v>3584.7597999999998</v>
      </c>
      <c r="ALO219" s="727">
        <v>3679.8566999999998</v>
      </c>
      <c r="ALP219" s="727">
        <v>4203.5925999999999</v>
      </c>
      <c r="ALQ219" s="727">
        <v>4150.8004000000001</v>
      </c>
      <c r="ALR219" s="727">
        <v>4145.2434000000003</v>
      </c>
      <c r="ALS219" s="727">
        <v>4072.4301</v>
      </c>
      <c r="ALT219" s="727">
        <v>4145.8900000000003</v>
      </c>
      <c r="ALU219" s="727">
        <v>4051.6215999999999</v>
      </c>
      <c r="ALV219" s="727">
        <v>3945.5650000000001</v>
      </c>
      <c r="ALW219" s="727">
        <v>4002.3413999999998</v>
      </c>
      <c r="ALX219" s="727">
        <v>3498.3577</v>
      </c>
      <c r="ALY219" s="727">
        <v>3492.9041999999999</v>
      </c>
      <c r="ALZ219" s="727">
        <v>3486.3236000000002</v>
      </c>
      <c r="AMA219" s="727">
        <v>3948.8874999999998</v>
      </c>
      <c r="AMB219" s="727">
        <v>4495.1030000000001</v>
      </c>
      <c r="AMC219" s="727">
        <v>5480.2204000000002</v>
      </c>
      <c r="AMD219" s="727">
        <v>5233.3069999999998</v>
      </c>
      <c r="AME219" s="727">
        <v>5342.9596000000001</v>
      </c>
      <c r="AMF219" s="727">
        <v>4083.3506000000002</v>
      </c>
      <c r="AMG219" s="727">
        <v>4264.4677000000001</v>
      </c>
      <c r="AMH219" s="727">
        <v>3984.7123000000001</v>
      </c>
      <c r="AMI219" s="727">
        <v>3950.8510000000001</v>
      </c>
      <c r="AMJ219" s="727">
        <v>4296.3042999999998</v>
      </c>
      <c r="AMK219" s="732">
        <v>4351.1464999999998</v>
      </c>
    </row>
    <row r="220" spans="2:1025" ht="77.25" x14ac:dyDescent="0.25">
      <c r="B220" s="737" t="s">
        <v>2889</v>
      </c>
      <c r="C220" s="737" t="s">
        <v>2890</v>
      </c>
      <c r="D220" s="738">
        <v>5150.9056</v>
      </c>
      <c r="E220" s="738">
        <v>1777.0931</v>
      </c>
      <c r="F220" s="738">
        <v>62344.066599999998</v>
      </c>
      <c r="G220" s="738">
        <v>251.93393432003509</v>
      </c>
      <c r="N220" s="729" t="s">
        <v>4901</v>
      </c>
      <c r="O220" s="727">
        <v>-203.27070000000001</v>
      </c>
      <c r="P220" s="727">
        <v>-203.27070000000001</v>
      </c>
      <c r="Q220" s="727">
        <v>-203.27070000000001</v>
      </c>
      <c r="R220" s="727">
        <v>-203.27070000000001</v>
      </c>
      <c r="S220" s="727">
        <v>-203.27070000000001</v>
      </c>
      <c r="T220" s="727">
        <v>-203.27070000000001</v>
      </c>
      <c r="U220" s="727">
        <v>-203.27070000000001</v>
      </c>
      <c r="V220" s="727">
        <v>-203.27070000000001</v>
      </c>
      <c r="W220" s="727">
        <v>-203.27070000000001</v>
      </c>
      <c r="X220" s="727">
        <v>-203.27070000000001</v>
      </c>
      <c r="Y220" s="727">
        <v>-203.27070000000001</v>
      </c>
      <c r="Z220" s="727">
        <v>-203.27070000000001</v>
      </c>
      <c r="AA220" s="727">
        <v>-203.27070000000001</v>
      </c>
      <c r="AB220" s="727">
        <v>-203.27070000000001</v>
      </c>
      <c r="AC220" s="727">
        <v>-203.27070000000001</v>
      </c>
      <c r="AD220" s="727">
        <v>-203.27070000000001</v>
      </c>
      <c r="AE220" s="727">
        <v>-203.27070000000001</v>
      </c>
      <c r="AF220" s="727">
        <v>-203.27070000000001</v>
      </c>
      <c r="AG220" s="727">
        <v>-203.27070000000001</v>
      </c>
      <c r="AH220" s="727">
        <v>-203.27070000000001</v>
      </c>
      <c r="AI220" s="727">
        <v>-203.27070000000001</v>
      </c>
      <c r="AJ220" s="727">
        <v>-203.27070000000001</v>
      </c>
      <c r="AK220" s="727">
        <v>-203.27070000000001</v>
      </c>
      <c r="AL220" s="727">
        <v>-203.27070000000001</v>
      </c>
      <c r="AM220" s="727">
        <v>-203.27070000000001</v>
      </c>
      <c r="AN220" s="727">
        <v>-203.27070000000001</v>
      </c>
      <c r="AO220" s="727">
        <v>-203.27070000000001</v>
      </c>
      <c r="AP220" s="727">
        <v>-203.27070000000001</v>
      </c>
      <c r="AQ220" s="727">
        <v>-203.27070000000001</v>
      </c>
      <c r="AR220" s="727">
        <v>-203.27070000000001</v>
      </c>
      <c r="AS220" s="727">
        <v>-203.27070000000001</v>
      </c>
      <c r="AT220" s="727">
        <v>-203.27070000000001</v>
      </c>
      <c r="AU220" s="727">
        <v>-203.27070000000001</v>
      </c>
      <c r="AV220" s="727">
        <v>-203.27070000000001</v>
      </c>
      <c r="AW220" s="727">
        <v>-203.27070000000001</v>
      </c>
      <c r="AX220" s="727">
        <v>-203.27070000000001</v>
      </c>
      <c r="AY220" s="727">
        <v>-203.27070000000001</v>
      </c>
      <c r="AZ220" s="727">
        <v>-203.27070000000001</v>
      </c>
      <c r="BA220" s="727">
        <v>-203.27070000000001</v>
      </c>
      <c r="BB220" s="727">
        <v>-203.27070000000001</v>
      </c>
      <c r="BC220" s="727">
        <v>-203.27070000000001</v>
      </c>
      <c r="BD220" s="727">
        <v>-203.27070000000001</v>
      </c>
      <c r="BE220" s="727">
        <v>-203.27070000000001</v>
      </c>
      <c r="BF220" s="727">
        <v>-203.27070000000001</v>
      </c>
      <c r="BG220" s="727">
        <v>-203.27070000000001</v>
      </c>
      <c r="BH220" s="727">
        <v>-203.27070000000001</v>
      </c>
      <c r="BI220" s="727">
        <v>-203.27070000000001</v>
      </c>
      <c r="BJ220" s="727">
        <v>-203.27070000000001</v>
      </c>
      <c r="BK220" s="727">
        <v>-203.27070000000001</v>
      </c>
      <c r="BL220" s="727">
        <v>-203.27070000000001</v>
      </c>
      <c r="BM220" s="727">
        <v>-203.27070000000001</v>
      </c>
      <c r="BN220" s="727">
        <v>-203.27070000000001</v>
      </c>
      <c r="BO220" s="727">
        <v>-203.27070000000001</v>
      </c>
      <c r="BP220" s="727">
        <v>-203.27070000000001</v>
      </c>
      <c r="BQ220" s="727">
        <v>-203.27070000000001</v>
      </c>
      <c r="BR220" s="727">
        <v>-203.27070000000001</v>
      </c>
      <c r="BS220" s="727">
        <v>-203.27070000000001</v>
      </c>
      <c r="BT220" s="727">
        <v>-203.27070000000001</v>
      </c>
      <c r="BU220" s="727">
        <v>-203.27070000000001</v>
      </c>
      <c r="BV220" s="727">
        <v>-203.27070000000001</v>
      </c>
      <c r="BW220" s="727">
        <v>-203.27070000000001</v>
      </c>
      <c r="BX220" s="727">
        <v>-203.27070000000001</v>
      </c>
      <c r="BY220" s="727">
        <v>-203.27070000000001</v>
      </c>
      <c r="BZ220" s="727">
        <v>-203.27070000000001</v>
      </c>
      <c r="CA220" s="727">
        <v>-203.27070000000001</v>
      </c>
      <c r="CB220" s="727">
        <v>-203.27070000000001</v>
      </c>
      <c r="CC220" s="727">
        <v>-203.27070000000001</v>
      </c>
      <c r="CD220" s="727">
        <v>-203.27070000000001</v>
      </c>
      <c r="CE220" s="727">
        <v>-203.27070000000001</v>
      </c>
      <c r="CF220" s="727">
        <v>-203.27070000000001</v>
      </c>
      <c r="CG220" s="727">
        <v>-203.27070000000001</v>
      </c>
      <c r="CH220" s="727">
        <v>-203.27070000000001</v>
      </c>
      <c r="CI220" s="727">
        <v>-203.27070000000001</v>
      </c>
      <c r="CJ220" s="727">
        <v>-203.27070000000001</v>
      </c>
      <c r="CK220" s="727">
        <v>-203.27070000000001</v>
      </c>
      <c r="CL220" s="727">
        <v>-203.27070000000001</v>
      </c>
      <c r="CM220" s="727">
        <v>-203.27070000000001</v>
      </c>
      <c r="CN220" s="727">
        <v>-203.27070000000001</v>
      </c>
      <c r="CO220" s="727">
        <v>-203.27070000000001</v>
      </c>
      <c r="CP220" s="727">
        <v>-203.27070000000001</v>
      </c>
      <c r="CQ220" s="727">
        <v>-203.27070000000001</v>
      </c>
      <c r="CR220" s="727">
        <v>-203.27070000000001</v>
      </c>
      <c r="CS220" s="727">
        <v>-203.27070000000001</v>
      </c>
      <c r="CT220" s="727">
        <v>-203.27070000000001</v>
      </c>
      <c r="CU220" s="727">
        <v>-203.27070000000001</v>
      </c>
      <c r="CV220" s="727">
        <v>-203.27070000000001</v>
      </c>
      <c r="CW220" s="727">
        <v>-203.27070000000001</v>
      </c>
      <c r="CX220" s="727">
        <v>-203.27070000000001</v>
      </c>
      <c r="CY220" s="727">
        <v>-203.27070000000001</v>
      </c>
      <c r="CZ220" s="727">
        <v>-203.27070000000001</v>
      </c>
      <c r="DA220" s="727">
        <v>-203.27070000000001</v>
      </c>
      <c r="DB220" s="727">
        <v>-203.27070000000001</v>
      </c>
      <c r="DC220" s="727">
        <v>-203.27070000000001</v>
      </c>
      <c r="DD220" s="727">
        <v>-203.27070000000001</v>
      </c>
      <c r="DE220" s="727">
        <v>-203.27070000000001</v>
      </c>
      <c r="DF220" s="727">
        <v>-203.27070000000001</v>
      </c>
      <c r="DG220" s="727">
        <v>-203.27070000000001</v>
      </c>
      <c r="DH220" s="727">
        <v>-203.27070000000001</v>
      </c>
      <c r="DI220" s="727">
        <v>-203.27070000000001</v>
      </c>
      <c r="DJ220" s="727">
        <v>-203.27070000000001</v>
      </c>
      <c r="DK220" s="727">
        <v>-203.27070000000001</v>
      </c>
      <c r="DL220" s="727">
        <v>-203.27070000000001</v>
      </c>
      <c r="DM220" s="727">
        <v>-203.27070000000001</v>
      </c>
      <c r="DN220" s="727">
        <v>-203.27070000000001</v>
      </c>
      <c r="DO220" s="727">
        <v>-203.27070000000001</v>
      </c>
      <c r="DP220" s="727">
        <v>-203.27070000000001</v>
      </c>
      <c r="DQ220" s="727">
        <v>-203.27070000000001</v>
      </c>
      <c r="DR220" s="727">
        <v>-203.27070000000001</v>
      </c>
      <c r="DS220" s="727">
        <v>-203.27070000000001</v>
      </c>
      <c r="DT220" s="727">
        <v>-203.27070000000001</v>
      </c>
      <c r="DU220" s="727">
        <v>-203.27070000000001</v>
      </c>
      <c r="DV220" s="727">
        <v>-203.27070000000001</v>
      </c>
      <c r="DW220" s="727">
        <v>-203.27070000000001</v>
      </c>
      <c r="DX220" s="727">
        <v>-203.27070000000001</v>
      </c>
      <c r="DY220" s="727">
        <v>-203.27070000000001</v>
      </c>
      <c r="DZ220" s="727">
        <v>-203.27070000000001</v>
      </c>
      <c r="EA220" s="727">
        <v>-203.27070000000001</v>
      </c>
      <c r="EB220" s="727">
        <v>-203.27070000000001</v>
      </c>
      <c r="EC220" s="727">
        <v>-203.27070000000001</v>
      </c>
      <c r="ED220" s="727">
        <v>-203.27070000000001</v>
      </c>
      <c r="EE220" s="727">
        <v>-203.27070000000001</v>
      </c>
      <c r="EF220" s="727">
        <v>-203.27070000000001</v>
      </c>
      <c r="EG220" s="727">
        <v>-203.27070000000001</v>
      </c>
      <c r="EH220" s="727">
        <v>-203.27070000000001</v>
      </c>
      <c r="EI220" s="727">
        <v>-203.27070000000001</v>
      </c>
      <c r="EJ220" s="727">
        <v>-203.27070000000001</v>
      </c>
      <c r="EK220" s="727">
        <v>-203.27070000000001</v>
      </c>
      <c r="EL220" s="727">
        <v>-203.27070000000001</v>
      </c>
      <c r="EM220" s="727">
        <v>-203.27070000000001</v>
      </c>
      <c r="EN220" s="727">
        <v>-203.27070000000001</v>
      </c>
      <c r="EO220" s="727">
        <v>-203.27070000000001</v>
      </c>
      <c r="EP220" s="727">
        <v>-203.27070000000001</v>
      </c>
      <c r="EQ220" s="727">
        <v>-203.27070000000001</v>
      </c>
      <c r="ER220" s="727">
        <v>-203.27070000000001</v>
      </c>
      <c r="ES220" s="727">
        <v>-203.27070000000001</v>
      </c>
      <c r="ET220" s="727">
        <v>-203.27070000000001</v>
      </c>
      <c r="EU220" s="727">
        <v>-203.27070000000001</v>
      </c>
      <c r="EV220" s="727">
        <v>-203.27070000000001</v>
      </c>
      <c r="EW220" s="727">
        <v>-203.27070000000001</v>
      </c>
      <c r="EX220" s="727">
        <v>-203.27070000000001</v>
      </c>
      <c r="EY220" s="727">
        <v>-203.27070000000001</v>
      </c>
      <c r="EZ220" s="727">
        <v>-203.27070000000001</v>
      </c>
      <c r="FA220" s="727">
        <v>-203.27070000000001</v>
      </c>
      <c r="FB220" s="727">
        <v>-203.27070000000001</v>
      </c>
      <c r="FC220" s="727">
        <v>-203.27070000000001</v>
      </c>
      <c r="FD220" s="727">
        <v>-203.27070000000001</v>
      </c>
      <c r="FE220" s="727">
        <v>-203.27070000000001</v>
      </c>
      <c r="FF220" s="727">
        <v>-203.27070000000001</v>
      </c>
      <c r="FG220" s="727">
        <v>-203.27070000000001</v>
      </c>
      <c r="FH220" s="727">
        <v>-203.27070000000001</v>
      </c>
      <c r="FI220" s="727">
        <v>-203.27070000000001</v>
      </c>
      <c r="FJ220" s="727">
        <v>-203.27070000000001</v>
      </c>
      <c r="FK220" s="727">
        <v>-203.27070000000001</v>
      </c>
      <c r="FL220" s="727">
        <v>-203.27070000000001</v>
      </c>
      <c r="FM220" s="727">
        <v>-203.27070000000001</v>
      </c>
      <c r="FN220" s="727">
        <v>-203.27070000000001</v>
      </c>
      <c r="FO220" s="727">
        <v>-203.27070000000001</v>
      </c>
      <c r="FP220" s="727">
        <v>-203.27070000000001</v>
      </c>
      <c r="FQ220" s="727">
        <v>-203.27070000000001</v>
      </c>
      <c r="FR220" s="727">
        <v>-203.27070000000001</v>
      </c>
      <c r="FS220" s="727">
        <v>-203.27070000000001</v>
      </c>
      <c r="FT220" s="727">
        <v>-203.27070000000001</v>
      </c>
      <c r="FU220" s="727">
        <v>-203.27070000000001</v>
      </c>
      <c r="FV220" s="727">
        <v>-203.27070000000001</v>
      </c>
      <c r="FW220" s="727">
        <v>-203.27070000000001</v>
      </c>
      <c r="FX220" s="727">
        <v>-203.27070000000001</v>
      </c>
      <c r="FY220" s="727">
        <v>-203.27070000000001</v>
      </c>
      <c r="FZ220" s="727">
        <v>-203.27070000000001</v>
      </c>
      <c r="GA220" s="727">
        <v>-203.27070000000001</v>
      </c>
      <c r="GB220" s="727">
        <v>-203.27070000000001</v>
      </c>
      <c r="GC220" s="727">
        <v>-203.27070000000001</v>
      </c>
      <c r="GD220" s="727">
        <v>-203.27070000000001</v>
      </c>
      <c r="GE220" s="727">
        <v>-203.27070000000001</v>
      </c>
      <c r="GF220" s="727">
        <v>-203.27070000000001</v>
      </c>
      <c r="GG220" s="727">
        <v>-203.27070000000001</v>
      </c>
      <c r="GH220" s="727">
        <v>-203.27070000000001</v>
      </c>
      <c r="GI220" s="727">
        <v>-203.27070000000001</v>
      </c>
      <c r="GJ220" s="727">
        <v>-203.27070000000001</v>
      </c>
      <c r="GK220" s="727">
        <v>-203.27070000000001</v>
      </c>
      <c r="GL220" s="727">
        <v>-203.27070000000001</v>
      </c>
      <c r="GM220" s="727">
        <v>-203.27070000000001</v>
      </c>
      <c r="GN220" s="727">
        <v>-203.27070000000001</v>
      </c>
      <c r="GO220" s="727">
        <v>-203.27070000000001</v>
      </c>
      <c r="GP220" s="727">
        <v>-203.27070000000001</v>
      </c>
      <c r="GQ220" s="727">
        <v>-203.27070000000001</v>
      </c>
      <c r="GR220" s="727">
        <v>-203.27070000000001</v>
      </c>
      <c r="GS220" s="727">
        <v>-203.27070000000001</v>
      </c>
      <c r="GT220" s="727">
        <v>-203.27070000000001</v>
      </c>
      <c r="GU220" s="727">
        <v>-203.27070000000001</v>
      </c>
      <c r="GV220" s="727">
        <v>-203.27070000000001</v>
      </c>
      <c r="GW220" s="727">
        <v>-203.27070000000001</v>
      </c>
      <c r="GX220" s="727">
        <v>-203.27070000000001</v>
      </c>
      <c r="GY220" s="727">
        <v>-203.27070000000001</v>
      </c>
      <c r="GZ220" s="727">
        <v>-203.27070000000001</v>
      </c>
      <c r="HA220" s="727">
        <v>-203.27070000000001</v>
      </c>
      <c r="HB220" s="727">
        <v>-203.27070000000001</v>
      </c>
      <c r="HC220" s="727">
        <v>-203.27070000000001</v>
      </c>
      <c r="HD220" s="727">
        <v>-203.27070000000001</v>
      </c>
      <c r="HE220" s="727">
        <v>-203.27070000000001</v>
      </c>
      <c r="HF220" s="727">
        <v>-203.27070000000001</v>
      </c>
      <c r="HG220" s="727">
        <v>-203.27070000000001</v>
      </c>
      <c r="HH220" s="727">
        <v>-203.27070000000001</v>
      </c>
      <c r="HI220" s="727">
        <v>-203.27070000000001</v>
      </c>
      <c r="HJ220" s="727">
        <v>-203.27070000000001</v>
      </c>
      <c r="HK220" s="727">
        <v>-203.27070000000001</v>
      </c>
      <c r="HL220" s="727">
        <v>-203.27070000000001</v>
      </c>
      <c r="HM220" s="727">
        <v>-203.27070000000001</v>
      </c>
      <c r="HN220" s="727">
        <v>-203.27070000000001</v>
      </c>
      <c r="HO220" s="727">
        <v>-203.27070000000001</v>
      </c>
      <c r="HP220" s="727">
        <v>-203.27070000000001</v>
      </c>
      <c r="HQ220" s="727">
        <v>-203.27070000000001</v>
      </c>
      <c r="HR220" s="727">
        <v>-203.27070000000001</v>
      </c>
      <c r="HS220" s="727">
        <v>-203.27070000000001</v>
      </c>
      <c r="HT220" s="727">
        <v>-203.27070000000001</v>
      </c>
      <c r="HU220" s="727">
        <v>-203.27070000000001</v>
      </c>
      <c r="HV220" s="727">
        <v>-203.27070000000001</v>
      </c>
      <c r="HW220" s="727">
        <v>-203.27070000000001</v>
      </c>
      <c r="HX220" s="727">
        <v>-203.27070000000001</v>
      </c>
      <c r="HY220" s="727">
        <v>-203.27070000000001</v>
      </c>
      <c r="HZ220" s="727">
        <v>-203.27070000000001</v>
      </c>
      <c r="IA220" s="727">
        <v>-203.27070000000001</v>
      </c>
      <c r="IB220" s="727">
        <v>-203.27070000000001</v>
      </c>
      <c r="IC220" s="727">
        <v>-203.27070000000001</v>
      </c>
      <c r="ID220" s="727">
        <v>-203.27070000000001</v>
      </c>
      <c r="IE220" s="727">
        <v>-203.27070000000001</v>
      </c>
      <c r="IF220" s="727">
        <v>-203.27070000000001</v>
      </c>
      <c r="IG220" s="727">
        <v>-203.27070000000001</v>
      </c>
      <c r="IH220" s="727">
        <v>-203.27070000000001</v>
      </c>
      <c r="II220" s="727">
        <v>-203.27070000000001</v>
      </c>
      <c r="IJ220" s="727">
        <v>-203.27070000000001</v>
      </c>
      <c r="IK220" s="727">
        <v>-203.27070000000001</v>
      </c>
      <c r="IL220" s="727">
        <v>-203.27070000000001</v>
      </c>
      <c r="IM220" s="727">
        <v>-203.27070000000001</v>
      </c>
      <c r="IN220" s="727">
        <v>-203.27070000000001</v>
      </c>
      <c r="IO220" s="727">
        <v>-203.27070000000001</v>
      </c>
      <c r="IP220" s="727">
        <v>-203.27070000000001</v>
      </c>
      <c r="IQ220" s="727">
        <v>-203.27070000000001</v>
      </c>
      <c r="IR220" s="727">
        <v>-203.27070000000001</v>
      </c>
      <c r="IS220" s="727">
        <v>-203.27070000000001</v>
      </c>
      <c r="IT220" s="727">
        <v>-203.27070000000001</v>
      </c>
      <c r="IU220" s="727">
        <v>-203.27070000000001</v>
      </c>
      <c r="IV220" s="727">
        <v>-203.27070000000001</v>
      </c>
      <c r="IW220" s="727">
        <v>-203.27070000000001</v>
      </c>
      <c r="IX220" s="727">
        <v>-203.27070000000001</v>
      </c>
      <c r="IY220" s="727">
        <v>-203.27070000000001</v>
      </c>
      <c r="IZ220" s="727">
        <v>-203.27070000000001</v>
      </c>
      <c r="JA220" s="727">
        <v>-203.27070000000001</v>
      </c>
      <c r="JB220" s="727">
        <v>-203.27070000000001</v>
      </c>
      <c r="JC220" s="727">
        <v>-203.27070000000001</v>
      </c>
      <c r="JD220" s="727">
        <v>-203.27070000000001</v>
      </c>
      <c r="JE220" s="727">
        <v>-203.27070000000001</v>
      </c>
      <c r="JF220" s="727">
        <v>-203.27070000000001</v>
      </c>
      <c r="JG220" s="727">
        <v>-203.27070000000001</v>
      </c>
      <c r="JH220" s="727">
        <v>-203.27070000000001</v>
      </c>
      <c r="JI220" s="727">
        <v>-203.27070000000001</v>
      </c>
      <c r="JJ220" s="727">
        <v>-203.27070000000001</v>
      </c>
      <c r="JK220" s="727">
        <v>-203.27070000000001</v>
      </c>
      <c r="JL220" s="727">
        <v>-203.27070000000001</v>
      </c>
      <c r="JM220" s="727">
        <v>-203.27070000000001</v>
      </c>
      <c r="JN220" s="727">
        <v>-203.27070000000001</v>
      </c>
      <c r="JO220" s="727">
        <v>-203.27070000000001</v>
      </c>
      <c r="JP220" s="727">
        <v>-203.27070000000001</v>
      </c>
      <c r="JQ220" s="727">
        <v>-203.27070000000001</v>
      </c>
      <c r="JR220" s="727">
        <v>-203.27070000000001</v>
      </c>
      <c r="JS220" s="727">
        <v>-203.27070000000001</v>
      </c>
      <c r="JT220" s="727">
        <v>-203.27070000000001</v>
      </c>
      <c r="JU220" s="727">
        <v>-203.27070000000001</v>
      </c>
      <c r="JV220" s="727">
        <v>-203.27070000000001</v>
      </c>
      <c r="JW220" s="727">
        <v>-203.27070000000001</v>
      </c>
      <c r="JX220" s="727">
        <v>-203.27070000000001</v>
      </c>
      <c r="JY220" s="727">
        <v>-203.27070000000001</v>
      </c>
      <c r="JZ220" s="727">
        <v>-203.27070000000001</v>
      </c>
      <c r="KA220" s="727">
        <v>-203.27070000000001</v>
      </c>
      <c r="KB220" s="727">
        <v>-203.27070000000001</v>
      </c>
      <c r="KC220" s="727">
        <v>-203.27070000000001</v>
      </c>
      <c r="KD220" s="727">
        <v>-203.27070000000001</v>
      </c>
      <c r="KE220" s="727">
        <v>-203.27070000000001</v>
      </c>
      <c r="KF220" s="727">
        <v>-203.27070000000001</v>
      </c>
      <c r="KG220" s="727">
        <v>-203.27070000000001</v>
      </c>
      <c r="KH220" s="727">
        <v>-203.27070000000001</v>
      </c>
      <c r="KI220" s="727">
        <v>-203.27070000000001</v>
      </c>
      <c r="KJ220" s="727">
        <v>-203.27070000000001</v>
      </c>
      <c r="KK220" s="727">
        <v>-203.27070000000001</v>
      </c>
      <c r="KL220" s="727">
        <v>-203.27070000000001</v>
      </c>
      <c r="KM220" s="727">
        <v>-203.27070000000001</v>
      </c>
      <c r="KN220" s="727">
        <v>-203.27070000000001</v>
      </c>
      <c r="KO220" s="727">
        <v>-203.27070000000001</v>
      </c>
      <c r="KP220" s="727">
        <v>-203.27070000000001</v>
      </c>
      <c r="KQ220" s="727">
        <v>-203.27070000000001</v>
      </c>
      <c r="KR220" s="727">
        <v>-203.27070000000001</v>
      </c>
      <c r="KS220" s="727">
        <v>-203.27070000000001</v>
      </c>
      <c r="KT220" s="727">
        <v>-203.27070000000001</v>
      </c>
      <c r="KU220" s="727">
        <v>-203.27070000000001</v>
      </c>
      <c r="KV220" s="727">
        <v>-203.27070000000001</v>
      </c>
      <c r="KW220" s="727">
        <v>-203.27070000000001</v>
      </c>
      <c r="KX220" s="727">
        <v>-203.27070000000001</v>
      </c>
      <c r="KY220" s="727">
        <v>-203.27070000000001</v>
      </c>
      <c r="KZ220" s="727">
        <v>-203.27070000000001</v>
      </c>
      <c r="LA220" s="727">
        <v>-203.27070000000001</v>
      </c>
      <c r="LB220" s="727">
        <v>-203.27070000000001</v>
      </c>
      <c r="LC220" s="727">
        <v>-203.27070000000001</v>
      </c>
      <c r="LD220" s="727">
        <v>-203.27070000000001</v>
      </c>
      <c r="LE220" s="727">
        <v>-203.27070000000001</v>
      </c>
      <c r="LF220" s="727">
        <v>-203.27070000000001</v>
      </c>
      <c r="LG220" s="727">
        <v>-203.27070000000001</v>
      </c>
      <c r="LH220" s="727">
        <v>-203.27070000000001</v>
      </c>
      <c r="LI220" s="727">
        <v>-203.27070000000001</v>
      </c>
      <c r="LJ220" s="727">
        <v>-203.27070000000001</v>
      </c>
      <c r="LK220" s="727">
        <v>-203.27070000000001</v>
      </c>
      <c r="LL220" s="727">
        <v>-203.27070000000001</v>
      </c>
      <c r="LM220" s="727">
        <v>-203.27070000000001</v>
      </c>
      <c r="LN220" s="727">
        <v>-203.27070000000001</v>
      </c>
      <c r="LO220" s="727">
        <v>-203.27070000000001</v>
      </c>
      <c r="LP220" s="727">
        <v>-203.27070000000001</v>
      </c>
      <c r="LQ220" s="727">
        <v>-203.27070000000001</v>
      </c>
      <c r="LR220" s="727">
        <v>-203.27070000000001</v>
      </c>
      <c r="LS220" s="727">
        <v>-203.27070000000001</v>
      </c>
      <c r="LT220" s="727">
        <v>-203.27070000000001</v>
      </c>
      <c r="LU220" s="727">
        <v>-203.27070000000001</v>
      </c>
      <c r="LV220" s="727">
        <v>-203.27070000000001</v>
      </c>
      <c r="LW220" s="727">
        <v>-203.27070000000001</v>
      </c>
      <c r="LX220" s="727">
        <v>-203.27070000000001</v>
      </c>
      <c r="LY220" s="727">
        <v>-203.27070000000001</v>
      </c>
      <c r="LZ220" s="727">
        <v>-203.27070000000001</v>
      </c>
      <c r="MA220" s="727">
        <v>-203.27070000000001</v>
      </c>
      <c r="MB220" s="727">
        <v>-203.27070000000001</v>
      </c>
      <c r="MC220" s="727">
        <v>-203.27070000000001</v>
      </c>
      <c r="MD220" s="727">
        <v>-203.27070000000001</v>
      </c>
      <c r="ME220" s="727">
        <v>-203.27070000000001</v>
      </c>
      <c r="MF220" s="727">
        <v>-203.27070000000001</v>
      </c>
      <c r="MG220" s="727">
        <v>-203.27070000000001</v>
      </c>
      <c r="MH220" s="727">
        <v>-203.27070000000001</v>
      </c>
      <c r="MI220" s="727">
        <v>-203.27070000000001</v>
      </c>
      <c r="MJ220" s="727">
        <v>-203.27070000000001</v>
      </c>
      <c r="MK220" s="727">
        <v>-203.27070000000001</v>
      </c>
      <c r="ML220" s="727">
        <v>-203.27070000000001</v>
      </c>
      <c r="MM220" s="727">
        <v>-203.27070000000001</v>
      </c>
      <c r="MN220" s="727">
        <v>-203.27070000000001</v>
      </c>
      <c r="MO220" s="727">
        <v>-203.27070000000001</v>
      </c>
      <c r="MP220" s="727">
        <v>-203.27070000000001</v>
      </c>
      <c r="MQ220" s="727">
        <v>-203.27070000000001</v>
      </c>
      <c r="MR220" s="727">
        <v>-203.27070000000001</v>
      </c>
      <c r="MS220" s="727">
        <v>-203.27070000000001</v>
      </c>
      <c r="MT220" s="727">
        <v>-203.27070000000001</v>
      </c>
      <c r="MU220" s="727">
        <v>-203.27070000000001</v>
      </c>
      <c r="MV220" s="727">
        <v>-203.27070000000001</v>
      </c>
      <c r="MW220" s="727">
        <v>-203.27070000000001</v>
      </c>
      <c r="MX220" s="727">
        <v>-203.27070000000001</v>
      </c>
      <c r="MY220" s="727">
        <v>-203.27070000000001</v>
      </c>
      <c r="MZ220" s="727">
        <v>-203.27070000000001</v>
      </c>
      <c r="NA220" s="727">
        <v>-203.27070000000001</v>
      </c>
      <c r="NB220" s="727">
        <v>-203.27070000000001</v>
      </c>
      <c r="NC220" s="727">
        <v>-203.27070000000001</v>
      </c>
      <c r="ND220" s="727">
        <v>-203.27070000000001</v>
      </c>
      <c r="NE220" s="727">
        <v>-203.27070000000001</v>
      </c>
      <c r="NF220" s="727">
        <v>-203.27070000000001</v>
      </c>
      <c r="NG220" s="727">
        <v>-203.27070000000001</v>
      </c>
      <c r="NH220" s="727">
        <v>-203.27070000000001</v>
      </c>
      <c r="NI220" s="727">
        <v>-203.27070000000001</v>
      </c>
      <c r="NJ220" s="727">
        <v>-203.27070000000001</v>
      </c>
      <c r="NK220" s="727">
        <v>-203.27070000000001</v>
      </c>
      <c r="NL220" s="727">
        <v>-203.27070000000001</v>
      </c>
      <c r="NM220" s="727">
        <v>-203.27070000000001</v>
      </c>
      <c r="NN220" s="727">
        <v>-203.27070000000001</v>
      </c>
      <c r="NO220" s="727">
        <v>-203.27070000000001</v>
      </c>
      <c r="NP220" s="727">
        <v>-203.27070000000001</v>
      </c>
      <c r="NQ220" s="727">
        <v>-203.27070000000001</v>
      </c>
      <c r="NR220" s="727">
        <v>-203.27070000000001</v>
      </c>
      <c r="NS220" s="727">
        <v>-203.27070000000001</v>
      </c>
      <c r="NT220" s="727">
        <v>-203.27070000000001</v>
      </c>
      <c r="NU220" s="727">
        <v>-203.27070000000001</v>
      </c>
      <c r="NV220" s="727">
        <v>-203.27070000000001</v>
      </c>
      <c r="NW220" s="727">
        <v>-203.27070000000001</v>
      </c>
      <c r="NX220" s="727">
        <v>-203.27070000000001</v>
      </c>
      <c r="NY220" s="727">
        <v>-203.27070000000001</v>
      </c>
      <c r="NZ220" s="727">
        <v>-203.27070000000001</v>
      </c>
      <c r="OA220" s="727">
        <v>-203.27070000000001</v>
      </c>
      <c r="OB220" s="727">
        <v>-203.27070000000001</v>
      </c>
      <c r="OC220" s="727">
        <v>-203.27070000000001</v>
      </c>
      <c r="OD220" s="727">
        <v>-203.27070000000001</v>
      </c>
      <c r="OE220" s="727">
        <v>-203.27070000000001</v>
      </c>
      <c r="OF220" s="727">
        <v>-203.27070000000001</v>
      </c>
      <c r="OG220" s="727">
        <v>-203.27070000000001</v>
      </c>
      <c r="OH220" s="727">
        <v>-203.27070000000001</v>
      </c>
      <c r="OI220" s="727">
        <v>-203.27070000000001</v>
      </c>
      <c r="OJ220" s="727">
        <v>-203.27070000000001</v>
      </c>
      <c r="OK220" s="727">
        <v>-203.27070000000001</v>
      </c>
      <c r="OL220" s="727">
        <v>-203.27070000000001</v>
      </c>
      <c r="OM220" s="727">
        <v>-203.27070000000001</v>
      </c>
      <c r="ON220" s="727">
        <v>-203.27070000000001</v>
      </c>
      <c r="OO220" s="727">
        <v>-203.27070000000001</v>
      </c>
      <c r="OP220" s="727">
        <v>-203.27070000000001</v>
      </c>
      <c r="OQ220" s="727">
        <v>-203.27070000000001</v>
      </c>
      <c r="OR220" s="727">
        <v>-203.27070000000001</v>
      </c>
      <c r="OS220" s="727">
        <v>-203.27070000000001</v>
      </c>
      <c r="OT220" s="727">
        <v>-203.27070000000001</v>
      </c>
      <c r="OU220" s="727">
        <v>-203.27070000000001</v>
      </c>
      <c r="OV220" s="727">
        <v>-203.27070000000001</v>
      </c>
      <c r="OW220" s="727">
        <v>-203.27070000000001</v>
      </c>
      <c r="OX220" s="727">
        <v>-203.27070000000001</v>
      </c>
      <c r="OY220" s="727">
        <v>-203.27070000000001</v>
      </c>
      <c r="OZ220" s="727">
        <v>-203.27070000000001</v>
      </c>
      <c r="PA220" s="727">
        <v>-203.27070000000001</v>
      </c>
      <c r="PB220" s="727">
        <v>-203.27070000000001</v>
      </c>
      <c r="PC220" s="727">
        <v>-203.27070000000001</v>
      </c>
      <c r="PD220" s="727">
        <v>-203.27070000000001</v>
      </c>
      <c r="PE220" s="727">
        <v>-203.27070000000001</v>
      </c>
      <c r="PF220" s="727">
        <v>-203.27070000000001</v>
      </c>
      <c r="PG220" s="727">
        <v>-203.27070000000001</v>
      </c>
      <c r="PH220" s="727">
        <v>-203.27070000000001</v>
      </c>
      <c r="PI220" s="727">
        <v>-203.27070000000001</v>
      </c>
      <c r="PJ220" s="727">
        <v>-203.27070000000001</v>
      </c>
      <c r="PK220" s="727">
        <v>-203.27070000000001</v>
      </c>
      <c r="PL220" s="727">
        <v>-203.27070000000001</v>
      </c>
      <c r="PM220" s="727">
        <v>-203.27070000000001</v>
      </c>
      <c r="PN220" s="727">
        <v>-203.27070000000001</v>
      </c>
      <c r="PO220" s="727">
        <v>-203.27070000000001</v>
      </c>
      <c r="PP220" s="727">
        <v>-203.27070000000001</v>
      </c>
      <c r="PQ220" s="727">
        <v>-203.27070000000001</v>
      </c>
      <c r="PR220" s="727">
        <v>-203.27070000000001</v>
      </c>
      <c r="PS220" s="727">
        <v>-203.27070000000001</v>
      </c>
      <c r="PT220" s="727">
        <v>-203.27070000000001</v>
      </c>
      <c r="PU220" s="727">
        <v>-203.27070000000001</v>
      </c>
      <c r="PV220" s="727">
        <v>-203.27070000000001</v>
      </c>
      <c r="PW220" s="727">
        <v>-203.27070000000001</v>
      </c>
      <c r="PX220" s="727">
        <v>-203.27070000000001</v>
      </c>
      <c r="PY220" s="727">
        <v>-203.27070000000001</v>
      </c>
      <c r="PZ220" s="727">
        <v>-203.27070000000001</v>
      </c>
      <c r="QA220" s="727">
        <v>-203.27070000000001</v>
      </c>
      <c r="QB220" s="727">
        <v>-203.27070000000001</v>
      </c>
      <c r="QC220" s="727">
        <v>-203.27070000000001</v>
      </c>
      <c r="QD220" s="727">
        <v>-203.27070000000001</v>
      </c>
      <c r="QE220" s="727">
        <v>-203.27070000000001</v>
      </c>
      <c r="QF220" s="727">
        <v>-203.27070000000001</v>
      </c>
      <c r="QG220" s="727">
        <v>-203.27070000000001</v>
      </c>
      <c r="QH220" s="727">
        <v>-203.27070000000001</v>
      </c>
      <c r="QI220" s="727">
        <v>-203.27070000000001</v>
      </c>
      <c r="QJ220" s="727">
        <v>-203.27070000000001</v>
      </c>
      <c r="QK220" s="727">
        <v>-203.27070000000001</v>
      </c>
      <c r="QL220" s="727">
        <v>-203.27070000000001</v>
      </c>
      <c r="QM220" s="727">
        <v>-203.27070000000001</v>
      </c>
      <c r="QN220" s="727">
        <v>-203.27070000000001</v>
      </c>
      <c r="QO220" s="727">
        <v>-203.27070000000001</v>
      </c>
      <c r="QP220" s="727">
        <v>-203.27070000000001</v>
      </c>
      <c r="QQ220" s="727">
        <v>-203.27070000000001</v>
      </c>
      <c r="QR220" s="727">
        <v>-203.27070000000001</v>
      </c>
      <c r="QS220" s="727">
        <v>-203.27070000000001</v>
      </c>
      <c r="QT220" s="727">
        <v>-203.27070000000001</v>
      </c>
      <c r="QU220" s="727">
        <v>-203.27070000000001</v>
      </c>
      <c r="QV220" s="727">
        <v>-203.27070000000001</v>
      </c>
      <c r="QW220" s="727">
        <v>-203.27070000000001</v>
      </c>
      <c r="QX220" s="727">
        <v>-203.27070000000001</v>
      </c>
      <c r="QY220" s="727">
        <v>-203.27070000000001</v>
      </c>
      <c r="QZ220" s="727">
        <v>-203.27070000000001</v>
      </c>
      <c r="RA220" s="727">
        <v>-203.27070000000001</v>
      </c>
      <c r="RB220" s="727">
        <v>-203.27070000000001</v>
      </c>
      <c r="RC220" s="727">
        <v>-203.27070000000001</v>
      </c>
      <c r="RD220" s="727">
        <v>-203.27070000000001</v>
      </c>
      <c r="RE220" s="727">
        <v>-203.27070000000001</v>
      </c>
      <c r="RF220" s="727">
        <v>-203.27070000000001</v>
      </c>
      <c r="RG220" s="727">
        <v>-203.27070000000001</v>
      </c>
      <c r="RH220" s="727">
        <v>-203.27070000000001</v>
      </c>
      <c r="RI220" s="727">
        <v>-203.27070000000001</v>
      </c>
      <c r="RJ220" s="727">
        <v>-203.27070000000001</v>
      </c>
      <c r="RK220" s="727">
        <v>-203.27070000000001</v>
      </c>
      <c r="RL220" s="727">
        <v>-203.27070000000001</v>
      </c>
      <c r="RM220" s="727">
        <v>-203.27070000000001</v>
      </c>
      <c r="RN220" s="727">
        <v>-203.27070000000001</v>
      </c>
      <c r="RO220" s="727">
        <v>-203.27070000000001</v>
      </c>
      <c r="RP220" s="727">
        <v>-203.27070000000001</v>
      </c>
      <c r="RQ220" s="727">
        <v>-203.27070000000001</v>
      </c>
      <c r="RR220" s="727">
        <v>-203.27070000000001</v>
      </c>
      <c r="RS220" s="727">
        <v>-203.27070000000001</v>
      </c>
      <c r="RT220" s="727">
        <v>-203.27070000000001</v>
      </c>
      <c r="RU220" s="727">
        <v>-203.27070000000001</v>
      </c>
      <c r="RV220" s="727">
        <v>-203.27070000000001</v>
      </c>
      <c r="RW220" s="727">
        <v>-203.27070000000001</v>
      </c>
      <c r="RX220" s="727">
        <v>-203.27070000000001</v>
      </c>
      <c r="RY220" s="727">
        <v>-203.27070000000001</v>
      </c>
      <c r="RZ220" s="727">
        <v>-203.27070000000001</v>
      </c>
      <c r="SA220" s="727">
        <v>-203.27070000000001</v>
      </c>
      <c r="SB220" s="727">
        <v>-203.27070000000001</v>
      </c>
      <c r="SC220" s="727">
        <v>-203.27070000000001</v>
      </c>
      <c r="SD220" s="727">
        <v>-203.27070000000001</v>
      </c>
      <c r="SE220" s="727">
        <v>-203.27070000000001</v>
      </c>
      <c r="SF220" s="727">
        <v>-203.27070000000001</v>
      </c>
      <c r="SG220" s="727">
        <v>-203.27070000000001</v>
      </c>
      <c r="SH220" s="727">
        <v>-203.27070000000001</v>
      </c>
      <c r="SI220" s="727">
        <v>-203.27070000000001</v>
      </c>
      <c r="SJ220" s="727">
        <v>-203.27070000000001</v>
      </c>
      <c r="SK220" s="727">
        <v>-203.27070000000001</v>
      </c>
      <c r="SL220" s="727">
        <v>-203.27070000000001</v>
      </c>
      <c r="SM220" s="727">
        <v>-203.27070000000001</v>
      </c>
      <c r="SN220" s="727">
        <v>-203.27070000000001</v>
      </c>
      <c r="SO220" s="727">
        <v>-203.27070000000001</v>
      </c>
      <c r="SP220" s="727">
        <v>-203.27070000000001</v>
      </c>
      <c r="SQ220" s="727">
        <v>-203.27070000000001</v>
      </c>
      <c r="SR220" s="727">
        <v>-203.27070000000001</v>
      </c>
      <c r="SS220" s="727">
        <v>-203.27070000000001</v>
      </c>
      <c r="ST220" s="727">
        <v>-203.27070000000001</v>
      </c>
      <c r="SU220" s="727">
        <v>-203.27070000000001</v>
      </c>
      <c r="SV220" s="727">
        <v>-203.27070000000001</v>
      </c>
      <c r="SW220" s="727">
        <v>-203.27070000000001</v>
      </c>
      <c r="SX220" s="727">
        <v>-203.27070000000001</v>
      </c>
      <c r="SY220" s="727">
        <v>-203.27070000000001</v>
      </c>
      <c r="SZ220" s="727">
        <v>-203.27070000000001</v>
      </c>
      <c r="TA220" s="727">
        <v>-203.27070000000001</v>
      </c>
      <c r="TB220" s="727">
        <v>-203.27070000000001</v>
      </c>
      <c r="TC220" s="727">
        <v>-203.27070000000001</v>
      </c>
      <c r="TD220" s="727">
        <v>-203.27070000000001</v>
      </c>
      <c r="TE220" s="727">
        <v>-203.27070000000001</v>
      </c>
      <c r="TF220" s="727">
        <v>-203.27070000000001</v>
      </c>
      <c r="TG220" s="727">
        <v>-203.27070000000001</v>
      </c>
      <c r="TH220" s="727">
        <v>-203.27070000000001</v>
      </c>
      <c r="TI220" s="727">
        <v>-203.27070000000001</v>
      </c>
      <c r="TJ220" s="727">
        <v>-203.27070000000001</v>
      </c>
      <c r="TK220" s="727">
        <v>-203.27070000000001</v>
      </c>
      <c r="TL220" s="727">
        <v>-203.27070000000001</v>
      </c>
      <c r="TM220" s="727">
        <v>-203.27070000000001</v>
      </c>
      <c r="TN220" s="727">
        <v>-203.27070000000001</v>
      </c>
      <c r="TO220" s="727">
        <v>-203.27070000000001</v>
      </c>
      <c r="TP220" s="727">
        <v>-203.27070000000001</v>
      </c>
      <c r="TQ220" s="727">
        <v>-203.27070000000001</v>
      </c>
      <c r="TR220" s="727">
        <v>-203.27070000000001</v>
      </c>
      <c r="TS220" s="727">
        <v>-203.27070000000001</v>
      </c>
      <c r="TT220" s="727">
        <v>-203.27070000000001</v>
      </c>
      <c r="TU220" s="727">
        <v>-203.27070000000001</v>
      </c>
      <c r="TV220" s="727">
        <v>-203.27070000000001</v>
      </c>
      <c r="TW220" s="727">
        <v>-203.27070000000001</v>
      </c>
      <c r="TX220" s="727">
        <v>-203.27070000000001</v>
      </c>
      <c r="TY220" s="727">
        <v>-203.27070000000001</v>
      </c>
      <c r="TZ220" s="727">
        <v>-203.27070000000001</v>
      </c>
      <c r="UA220" s="727">
        <v>-203.27070000000001</v>
      </c>
      <c r="UB220" s="727">
        <v>-203.27070000000001</v>
      </c>
      <c r="UC220" s="727">
        <v>-203.27070000000001</v>
      </c>
      <c r="UD220" s="727">
        <v>-203.27070000000001</v>
      </c>
      <c r="UE220" s="727">
        <v>-203.27070000000001</v>
      </c>
      <c r="UF220" s="727">
        <v>-203.27070000000001</v>
      </c>
      <c r="UG220" s="727">
        <v>-203.27070000000001</v>
      </c>
      <c r="UH220" s="727">
        <v>-203.27070000000001</v>
      </c>
      <c r="UI220" s="727">
        <v>-203.27070000000001</v>
      </c>
      <c r="UJ220" s="727">
        <v>-203.27070000000001</v>
      </c>
      <c r="UK220" s="727">
        <v>-203.27070000000001</v>
      </c>
      <c r="UL220" s="727">
        <v>-203.27070000000001</v>
      </c>
      <c r="UM220" s="727">
        <v>-203.27070000000001</v>
      </c>
      <c r="UN220" s="727">
        <v>-203.27070000000001</v>
      </c>
      <c r="UO220" s="727">
        <v>-203.27070000000001</v>
      </c>
      <c r="UP220" s="727">
        <v>-203.27070000000001</v>
      </c>
      <c r="UQ220" s="727">
        <v>-203.27070000000001</v>
      </c>
      <c r="UR220" s="727">
        <v>-203.27070000000001</v>
      </c>
      <c r="US220" s="727">
        <v>-203.27070000000001</v>
      </c>
      <c r="UT220" s="727">
        <v>-203.27070000000001</v>
      </c>
      <c r="UU220" s="727">
        <v>-203.27070000000001</v>
      </c>
      <c r="UV220" s="727">
        <v>-203.27070000000001</v>
      </c>
      <c r="UW220" s="727">
        <v>-203.27070000000001</v>
      </c>
      <c r="UX220" s="727">
        <v>-203.27070000000001</v>
      </c>
      <c r="UY220" s="727">
        <v>-203.27070000000001</v>
      </c>
      <c r="UZ220" s="727">
        <v>-203.27070000000001</v>
      </c>
      <c r="VA220" s="727">
        <v>-203.27070000000001</v>
      </c>
      <c r="VB220" s="727">
        <v>-203.27070000000001</v>
      </c>
      <c r="VC220" s="727">
        <v>-203.27070000000001</v>
      </c>
      <c r="VD220" s="727">
        <v>-203.27070000000001</v>
      </c>
      <c r="VE220" s="727">
        <v>-203.27070000000001</v>
      </c>
      <c r="VF220" s="727">
        <v>-203.27070000000001</v>
      </c>
      <c r="VG220" s="727">
        <v>-203.27070000000001</v>
      </c>
      <c r="VH220" s="727">
        <v>-203.27070000000001</v>
      </c>
      <c r="VI220" s="727">
        <v>-203.27070000000001</v>
      </c>
      <c r="VJ220" s="727">
        <v>-203.27070000000001</v>
      </c>
      <c r="VK220" s="727">
        <v>-203.27070000000001</v>
      </c>
      <c r="VL220" s="727">
        <v>-203.27070000000001</v>
      </c>
      <c r="VM220" s="727">
        <v>-203.27070000000001</v>
      </c>
      <c r="VN220" s="727">
        <v>-203.27070000000001</v>
      </c>
      <c r="VO220" s="727">
        <v>-203.27070000000001</v>
      </c>
      <c r="VP220" s="727">
        <v>-203.27070000000001</v>
      </c>
      <c r="VQ220" s="727">
        <v>-203.27070000000001</v>
      </c>
      <c r="VR220" s="727">
        <v>-203.27070000000001</v>
      </c>
      <c r="VS220" s="727">
        <v>-203.27070000000001</v>
      </c>
      <c r="VT220" s="727">
        <v>-203.27070000000001</v>
      </c>
      <c r="VU220" s="727">
        <v>-203.27070000000001</v>
      </c>
      <c r="VV220" s="727">
        <v>-203.27070000000001</v>
      </c>
      <c r="VW220" s="727">
        <v>-203.27070000000001</v>
      </c>
      <c r="VX220" s="727">
        <v>-203.27070000000001</v>
      </c>
      <c r="VY220" s="727">
        <v>-203.27070000000001</v>
      </c>
      <c r="VZ220" s="727">
        <v>-203.27070000000001</v>
      </c>
      <c r="WA220" s="727">
        <v>-203.27070000000001</v>
      </c>
      <c r="WB220" s="727">
        <v>-203.27070000000001</v>
      </c>
      <c r="WC220" s="727">
        <v>-203.27070000000001</v>
      </c>
      <c r="WD220" s="727">
        <v>-203.27070000000001</v>
      </c>
      <c r="WE220" s="727">
        <v>-203.27070000000001</v>
      </c>
      <c r="WF220" s="727">
        <v>-203.27070000000001</v>
      </c>
      <c r="WG220" s="727">
        <v>-203.27070000000001</v>
      </c>
      <c r="WH220" s="727">
        <v>-203.27070000000001</v>
      </c>
      <c r="WI220" s="727">
        <v>-203.27070000000001</v>
      </c>
      <c r="WJ220" s="727">
        <v>-203.27070000000001</v>
      </c>
      <c r="WK220" s="727">
        <v>-203.27070000000001</v>
      </c>
      <c r="WL220" s="727">
        <v>-203.27070000000001</v>
      </c>
      <c r="WM220" s="727">
        <v>-203.27070000000001</v>
      </c>
      <c r="WN220" s="727">
        <v>-203.27070000000001</v>
      </c>
      <c r="WO220" s="727">
        <v>-203.27070000000001</v>
      </c>
      <c r="WP220" s="727">
        <v>-203.27070000000001</v>
      </c>
      <c r="WQ220" s="727">
        <v>-203.27070000000001</v>
      </c>
      <c r="WR220" s="727">
        <v>-203.27070000000001</v>
      </c>
      <c r="WS220" s="727">
        <v>-203.27070000000001</v>
      </c>
      <c r="WT220" s="727">
        <v>-203.27070000000001</v>
      </c>
      <c r="WU220" s="727">
        <v>-203.27070000000001</v>
      </c>
      <c r="WV220" s="727">
        <v>-203.27070000000001</v>
      </c>
      <c r="WW220" s="727">
        <v>-203.27070000000001</v>
      </c>
      <c r="WX220" s="727">
        <v>-203.27070000000001</v>
      </c>
      <c r="WY220" s="727">
        <v>-203.27070000000001</v>
      </c>
      <c r="WZ220" s="727">
        <v>-203.27070000000001</v>
      </c>
      <c r="XA220" s="727">
        <v>-203.27070000000001</v>
      </c>
      <c r="XB220" s="727">
        <v>-203.27070000000001</v>
      </c>
      <c r="XC220" s="727">
        <v>-203.27070000000001</v>
      </c>
      <c r="XD220" s="727">
        <v>-203.27070000000001</v>
      </c>
      <c r="XE220" s="727">
        <v>-203.27070000000001</v>
      </c>
      <c r="XF220" s="727">
        <v>-203.27070000000001</v>
      </c>
      <c r="XG220" s="727">
        <v>-203.27070000000001</v>
      </c>
      <c r="XH220" s="727">
        <v>-203.27070000000001</v>
      </c>
      <c r="XI220" s="727">
        <v>-203.27070000000001</v>
      </c>
      <c r="XJ220" s="727">
        <v>-203.27070000000001</v>
      </c>
      <c r="XK220" s="727">
        <v>-203.27070000000001</v>
      </c>
      <c r="XL220" s="727">
        <v>-203.27070000000001</v>
      </c>
      <c r="XM220" s="727">
        <v>-203.27070000000001</v>
      </c>
      <c r="XN220" s="727">
        <v>-203.27070000000001</v>
      </c>
      <c r="XO220" s="727">
        <v>-203.27070000000001</v>
      </c>
      <c r="XP220" s="727">
        <v>-203.27070000000001</v>
      </c>
      <c r="XQ220" s="727">
        <v>-203.27070000000001</v>
      </c>
      <c r="XR220" s="727">
        <v>-203.27070000000001</v>
      </c>
      <c r="XS220" s="727">
        <v>-203.27070000000001</v>
      </c>
      <c r="XT220" s="727">
        <v>-203.27070000000001</v>
      </c>
      <c r="XU220" s="727">
        <v>-203.27070000000001</v>
      </c>
      <c r="XV220" s="727">
        <v>-203.27070000000001</v>
      </c>
      <c r="XW220" s="727">
        <v>-203.27070000000001</v>
      </c>
      <c r="XX220" s="727">
        <v>-203.27070000000001</v>
      </c>
      <c r="XY220" s="727">
        <v>-203.27070000000001</v>
      </c>
      <c r="XZ220" s="727">
        <v>-203.27070000000001</v>
      </c>
      <c r="YA220" s="727">
        <v>-203.27070000000001</v>
      </c>
      <c r="YB220" s="727">
        <v>-203.27070000000001</v>
      </c>
      <c r="YC220" s="727">
        <v>-203.27070000000001</v>
      </c>
      <c r="YD220" s="727">
        <v>-203.27070000000001</v>
      </c>
      <c r="YE220" s="727">
        <v>-203.27070000000001</v>
      </c>
      <c r="YF220" s="727">
        <v>-203.27070000000001</v>
      </c>
      <c r="YG220" s="727">
        <v>-203.27070000000001</v>
      </c>
      <c r="YH220" s="727">
        <v>-203.27070000000001</v>
      </c>
      <c r="YI220" s="727">
        <v>-203.27070000000001</v>
      </c>
      <c r="YJ220" s="727">
        <v>-203.27070000000001</v>
      </c>
      <c r="YK220" s="727">
        <v>-203.27070000000001</v>
      </c>
      <c r="YL220" s="727">
        <v>-203.27070000000001</v>
      </c>
      <c r="YM220" s="727">
        <v>-203.27070000000001</v>
      </c>
      <c r="YN220" s="727">
        <v>-203.27070000000001</v>
      </c>
      <c r="YO220" s="727">
        <v>-203.27070000000001</v>
      </c>
      <c r="YP220" s="727">
        <v>-203.27070000000001</v>
      </c>
      <c r="YQ220" s="727">
        <v>-203.27070000000001</v>
      </c>
      <c r="YR220" s="727">
        <v>-203.27070000000001</v>
      </c>
      <c r="YS220" s="727">
        <v>-203.27070000000001</v>
      </c>
      <c r="YT220" s="727">
        <v>-203.27070000000001</v>
      </c>
      <c r="YU220" s="727">
        <v>-203.27070000000001</v>
      </c>
      <c r="YV220" s="727">
        <v>-203.27070000000001</v>
      </c>
      <c r="YW220" s="727">
        <v>-203.27070000000001</v>
      </c>
      <c r="YX220" s="727">
        <v>-203.27070000000001</v>
      </c>
      <c r="YY220" s="727">
        <v>-203.27070000000001</v>
      </c>
      <c r="YZ220" s="727">
        <v>-203.27070000000001</v>
      </c>
      <c r="ZA220" s="727">
        <v>-203.27070000000001</v>
      </c>
      <c r="ZB220" s="727">
        <v>-203.27070000000001</v>
      </c>
      <c r="ZC220" s="727">
        <v>-203.27070000000001</v>
      </c>
      <c r="ZD220" s="727">
        <v>-203.27070000000001</v>
      </c>
      <c r="ZE220" s="727">
        <v>-203.27070000000001</v>
      </c>
      <c r="ZF220" s="727">
        <v>-203.27070000000001</v>
      </c>
      <c r="ZG220" s="727">
        <v>-203.27070000000001</v>
      </c>
      <c r="ZH220" s="727">
        <v>-203.27070000000001</v>
      </c>
      <c r="ZI220" s="727">
        <v>-203.27070000000001</v>
      </c>
      <c r="ZJ220" s="727">
        <v>-203.27070000000001</v>
      </c>
      <c r="ZK220" s="727">
        <v>-203.27070000000001</v>
      </c>
      <c r="ZL220" s="727">
        <v>-203.27070000000001</v>
      </c>
      <c r="ZM220" s="727">
        <v>-203.27070000000001</v>
      </c>
      <c r="ZN220" s="727">
        <v>-203.27070000000001</v>
      </c>
      <c r="ZO220" s="727">
        <v>-203.27070000000001</v>
      </c>
      <c r="ZP220" s="727">
        <v>-203.27070000000001</v>
      </c>
      <c r="ZQ220" s="727">
        <v>-203.27070000000001</v>
      </c>
      <c r="ZR220" s="727">
        <v>-203.27070000000001</v>
      </c>
      <c r="ZS220" s="727">
        <v>-203.27070000000001</v>
      </c>
      <c r="ZT220" s="727">
        <v>-203.27070000000001</v>
      </c>
      <c r="ZU220" s="727">
        <v>-203.27070000000001</v>
      </c>
      <c r="ZV220" s="727">
        <v>-203.27070000000001</v>
      </c>
      <c r="ZW220" s="727">
        <v>-203.27070000000001</v>
      </c>
      <c r="ZX220" s="727">
        <v>-203.27070000000001</v>
      </c>
      <c r="ZY220" s="727">
        <v>-203.27070000000001</v>
      </c>
      <c r="ZZ220" s="727">
        <v>-203.27070000000001</v>
      </c>
      <c r="AAA220" s="727">
        <v>-203.27070000000001</v>
      </c>
      <c r="AAB220" s="727">
        <v>-203.27070000000001</v>
      </c>
      <c r="AAC220" s="727">
        <v>-203.27070000000001</v>
      </c>
      <c r="AAD220" s="727">
        <v>-203.27070000000001</v>
      </c>
      <c r="AAE220" s="727">
        <v>-203.27070000000001</v>
      </c>
      <c r="AAF220" s="727">
        <v>-203.27070000000001</v>
      </c>
      <c r="AAG220" s="727">
        <v>-203.27070000000001</v>
      </c>
      <c r="AAH220" s="727">
        <v>-203.27070000000001</v>
      </c>
      <c r="AAI220" s="727">
        <v>-203.27070000000001</v>
      </c>
      <c r="AAJ220" s="727">
        <v>-203.27070000000001</v>
      </c>
      <c r="AAK220" s="727">
        <v>-203.27070000000001</v>
      </c>
      <c r="AAL220" s="727">
        <v>-203.27070000000001</v>
      </c>
      <c r="AAM220" s="727">
        <v>-203.27070000000001</v>
      </c>
      <c r="AAN220" s="727">
        <v>-203.27070000000001</v>
      </c>
      <c r="AAO220" s="727">
        <v>-203.27070000000001</v>
      </c>
      <c r="AAP220" s="727">
        <v>-203.27070000000001</v>
      </c>
      <c r="AAQ220" s="727">
        <v>-203.27070000000001</v>
      </c>
      <c r="AAR220" s="727">
        <v>-203.27070000000001</v>
      </c>
      <c r="AAS220" s="727">
        <v>-203.27070000000001</v>
      </c>
      <c r="AAT220" s="727">
        <v>-203.27070000000001</v>
      </c>
      <c r="AAU220" s="727">
        <v>-203.27070000000001</v>
      </c>
      <c r="AAV220" s="727">
        <v>-203.27070000000001</v>
      </c>
      <c r="AAW220" s="727">
        <v>-203.27070000000001</v>
      </c>
      <c r="AAX220" s="727">
        <v>-203.27070000000001</v>
      </c>
      <c r="AAY220" s="727">
        <v>-203.27070000000001</v>
      </c>
      <c r="AAZ220" s="727">
        <v>-203.27070000000001</v>
      </c>
      <c r="ABA220" s="727">
        <v>-203.27070000000001</v>
      </c>
      <c r="ABB220" s="727">
        <v>-203.27070000000001</v>
      </c>
      <c r="ABC220" s="727">
        <v>-203.27070000000001</v>
      </c>
      <c r="ABD220" s="727">
        <v>-203.27070000000001</v>
      </c>
      <c r="ABE220" s="727">
        <v>-203.27070000000001</v>
      </c>
      <c r="ABF220" s="727">
        <v>-203.27070000000001</v>
      </c>
      <c r="ABG220" s="727">
        <v>-203.27070000000001</v>
      </c>
      <c r="ABH220" s="727">
        <v>-203.27070000000001</v>
      </c>
      <c r="ABI220" s="727">
        <v>-203.27070000000001</v>
      </c>
      <c r="ABJ220" s="727">
        <v>-203.27070000000001</v>
      </c>
      <c r="ABK220" s="727">
        <v>-203.27070000000001</v>
      </c>
      <c r="ABL220" s="727">
        <v>-203.27070000000001</v>
      </c>
      <c r="ABM220" s="727">
        <v>-203.27070000000001</v>
      </c>
      <c r="ABN220" s="727">
        <v>-203.27070000000001</v>
      </c>
      <c r="ABO220" s="727">
        <v>-203.27070000000001</v>
      </c>
      <c r="ABP220" s="727">
        <v>-203.27070000000001</v>
      </c>
      <c r="ABQ220" s="727">
        <v>-203.27070000000001</v>
      </c>
      <c r="ABR220" s="727">
        <v>-203.27070000000001</v>
      </c>
      <c r="ABS220" s="727">
        <v>-203.27070000000001</v>
      </c>
      <c r="ABT220" s="727">
        <v>-203.27070000000001</v>
      </c>
      <c r="ABU220" s="727">
        <v>-203.27070000000001</v>
      </c>
      <c r="ABV220" s="727">
        <v>-203.27070000000001</v>
      </c>
      <c r="ABW220" s="727">
        <v>-203.27070000000001</v>
      </c>
      <c r="ABX220" s="727">
        <v>-203.27070000000001</v>
      </c>
      <c r="ABY220" s="727">
        <v>-203.27070000000001</v>
      </c>
      <c r="ABZ220" s="727">
        <v>-203.27070000000001</v>
      </c>
      <c r="ACA220" s="727">
        <v>-203.27070000000001</v>
      </c>
      <c r="ACB220" s="727">
        <v>-203.27070000000001</v>
      </c>
      <c r="ACC220" s="727">
        <v>-203.27070000000001</v>
      </c>
      <c r="ACD220" s="727">
        <v>-203.27070000000001</v>
      </c>
      <c r="ACE220" s="727">
        <v>-203.27070000000001</v>
      </c>
      <c r="ACF220" s="727">
        <v>-203.27070000000001</v>
      </c>
      <c r="ACG220" s="727">
        <v>-203.27070000000001</v>
      </c>
      <c r="ACH220" s="727">
        <v>-203.27070000000001</v>
      </c>
      <c r="ACI220" s="727">
        <v>-203.27070000000001</v>
      </c>
      <c r="ACJ220" s="727">
        <v>-203.27070000000001</v>
      </c>
      <c r="ACK220" s="727">
        <v>-203.27070000000001</v>
      </c>
      <c r="ACL220" s="727">
        <v>-203.27070000000001</v>
      </c>
      <c r="ACM220" s="727">
        <v>-203.27070000000001</v>
      </c>
      <c r="ACN220" s="727">
        <v>-203.27070000000001</v>
      </c>
      <c r="ACO220" s="727">
        <v>-203.27070000000001</v>
      </c>
      <c r="ACP220" s="727">
        <v>-203.27070000000001</v>
      </c>
      <c r="ACQ220" s="727">
        <v>-203.27070000000001</v>
      </c>
      <c r="ACR220" s="727">
        <v>-203.27070000000001</v>
      </c>
      <c r="ACS220" s="727">
        <v>-203.27070000000001</v>
      </c>
      <c r="ACT220" s="727">
        <v>-203.27070000000001</v>
      </c>
      <c r="ACU220" s="727">
        <v>-203.27070000000001</v>
      </c>
      <c r="ACV220" s="727">
        <v>-203.27070000000001</v>
      </c>
      <c r="ACW220" s="727">
        <v>-203.27070000000001</v>
      </c>
      <c r="ACX220" s="727">
        <v>-203.27070000000001</v>
      </c>
      <c r="ACY220" s="727">
        <v>-203.27070000000001</v>
      </c>
      <c r="ACZ220" s="727">
        <v>-203.27070000000001</v>
      </c>
      <c r="ADA220" s="727">
        <v>-203.27070000000001</v>
      </c>
      <c r="ADB220" s="727">
        <v>-203.27070000000001</v>
      </c>
      <c r="ADC220" s="727">
        <v>-203.27070000000001</v>
      </c>
      <c r="ADD220" s="727">
        <v>-203.27070000000001</v>
      </c>
      <c r="ADE220" s="727">
        <v>-203.27070000000001</v>
      </c>
      <c r="ADF220" s="727">
        <v>-203.27070000000001</v>
      </c>
      <c r="ADG220" s="727">
        <v>-203.27070000000001</v>
      </c>
      <c r="ADH220" s="727">
        <v>-203.27070000000001</v>
      </c>
      <c r="ADI220" s="727">
        <v>-203.27070000000001</v>
      </c>
      <c r="ADJ220" s="727">
        <v>-203.27070000000001</v>
      </c>
      <c r="ADK220" s="727">
        <v>-203.27070000000001</v>
      </c>
      <c r="ADL220" s="727">
        <v>-203.27070000000001</v>
      </c>
      <c r="ADM220" s="727">
        <v>-203.27070000000001</v>
      </c>
      <c r="ADN220" s="727">
        <v>-203.27070000000001</v>
      </c>
      <c r="ADO220" s="727">
        <v>-203.27070000000001</v>
      </c>
      <c r="ADP220" s="727">
        <v>-203.27070000000001</v>
      </c>
      <c r="ADQ220" s="727">
        <v>-203.27070000000001</v>
      </c>
      <c r="ADR220" s="727">
        <v>-203.27070000000001</v>
      </c>
      <c r="ADS220" s="727">
        <v>-203.27070000000001</v>
      </c>
      <c r="ADT220" s="727">
        <v>-203.27070000000001</v>
      </c>
      <c r="ADU220" s="727">
        <v>-203.27070000000001</v>
      </c>
      <c r="ADV220" s="727">
        <v>-203.27070000000001</v>
      </c>
      <c r="ADW220" s="727">
        <v>-203.27070000000001</v>
      </c>
      <c r="ADX220" s="727">
        <v>-203.27070000000001</v>
      </c>
      <c r="ADY220" s="727">
        <v>-203.27070000000001</v>
      </c>
      <c r="ADZ220" s="727">
        <v>-203.27070000000001</v>
      </c>
      <c r="AEA220" s="727">
        <v>-203.27070000000001</v>
      </c>
      <c r="AEB220" s="727">
        <v>-203.27070000000001</v>
      </c>
      <c r="AEC220" s="727">
        <v>-203.27070000000001</v>
      </c>
      <c r="AED220" s="727">
        <v>-203.27070000000001</v>
      </c>
      <c r="AEE220" s="727">
        <v>-203.27070000000001</v>
      </c>
      <c r="AEF220" s="727">
        <v>-203.27070000000001</v>
      </c>
      <c r="AEG220" s="727">
        <v>-203.27070000000001</v>
      </c>
      <c r="AEH220" s="727">
        <v>-203.27070000000001</v>
      </c>
      <c r="AEI220" s="727">
        <v>-203.27070000000001</v>
      </c>
      <c r="AEJ220" s="727">
        <v>-203.27070000000001</v>
      </c>
      <c r="AEK220" s="727">
        <v>-203.27070000000001</v>
      </c>
      <c r="AEL220" s="727">
        <v>-203.27070000000001</v>
      </c>
      <c r="AEM220" s="727">
        <v>-203.27070000000001</v>
      </c>
      <c r="AEN220" s="727">
        <v>-203.27070000000001</v>
      </c>
      <c r="AEO220" s="727">
        <v>-203.27070000000001</v>
      </c>
      <c r="AEP220" s="727">
        <v>-203.27070000000001</v>
      </c>
      <c r="AEQ220" s="727">
        <v>-203.27070000000001</v>
      </c>
      <c r="AER220" s="727">
        <v>-203.27070000000001</v>
      </c>
      <c r="AES220" s="727">
        <v>-203.27070000000001</v>
      </c>
      <c r="AET220" s="727">
        <v>-203.27070000000001</v>
      </c>
      <c r="AEU220" s="727">
        <v>-203.27070000000001</v>
      </c>
      <c r="AEV220" s="727">
        <v>-203.27070000000001</v>
      </c>
      <c r="AEW220" s="727">
        <v>-203.27070000000001</v>
      </c>
      <c r="AEX220" s="727">
        <v>-203.27070000000001</v>
      </c>
      <c r="AEY220" s="727">
        <v>-203.27070000000001</v>
      </c>
      <c r="AEZ220" s="727">
        <v>-203.27070000000001</v>
      </c>
      <c r="AFA220" s="727">
        <v>-203.27070000000001</v>
      </c>
      <c r="AFB220" s="727">
        <v>-203.27070000000001</v>
      </c>
      <c r="AFC220" s="727">
        <v>-203.27070000000001</v>
      </c>
      <c r="AFD220" s="727">
        <v>-203.27070000000001</v>
      </c>
      <c r="AFE220" s="727">
        <v>-203.27070000000001</v>
      </c>
      <c r="AFF220" s="727">
        <v>-203.27070000000001</v>
      </c>
      <c r="AFG220" s="727">
        <v>-203.27070000000001</v>
      </c>
      <c r="AFH220" s="727">
        <v>-203.27070000000001</v>
      </c>
      <c r="AFI220" s="727">
        <v>-203.27070000000001</v>
      </c>
      <c r="AFJ220" s="727">
        <v>-203.27070000000001</v>
      </c>
      <c r="AFK220" s="727">
        <v>-203.27070000000001</v>
      </c>
      <c r="AFL220" s="727">
        <v>-203.27070000000001</v>
      </c>
      <c r="AFM220" s="727">
        <v>-203.27070000000001</v>
      </c>
      <c r="AFN220" s="727">
        <v>-203.27070000000001</v>
      </c>
      <c r="AFO220" s="727">
        <v>-203.27070000000001</v>
      </c>
      <c r="AFP220" s="727">
        <v>-203.27070000000001</v>
      </c>
      <c r="AFQ220" s="727">
        <v>-203.27070000000001</v>
      </c>
      <c r="AFR220" s="727">
        <v>-203.27070000000001</v>
      </c>
      <c r="AFS220" s="727">
        <v>-203.27070000000001</v>
      </c>
      <c r="AFT220" s="727">
        <v>-203.27070000000001</v>
      </c>
      <c r="AFU220" s="727">
        <v>-203.27070000000001</v>
      </c>
      <c r="AFV220" s="727">
        <v>-203.27070000000001</v>
      </c>
      <c r="AFW220" s="727">
        <v>-203.27070000000001</v>
      </c>
      <c r="AFX220" s="727">
        <v>-203.27070000000001</v>
      </c>
      <c r="AFY220" s="727">
        <v>-203.27070000000001</v>
      </c>
      <c r="AFZ220" s="727">
        <v>-203.27070000000001</v>
      </c>
      <c r="AGA220" s="727">
        <v>-203.27070000000001</v>
      </c>
      <c r="AGB220" s="727">
        <v>-203.27070000000001</v>
      </c>
      <c r="AGC220" s="727">
        <v>-203.27070000000001</v>
      </c>
      <c r="AGD220" s="727">
        <v>-203.27070000000001</v>
      </c>
      <c r="AGE220" s="727">
        <v>-203.27070000000001</v>
      </c>
      <c r="AGF220" s="727">
        <v>-203.27070000000001</v>
      </c>
      <c r="AGG220" s="727">
        <v>-203.27070000000001</v>
      </c>
      <c r="AGH220" s="727">
        <v>-203.27070000000001</v>
      </c>
      <c r="AGI220" s="727">
        <v>-203.27070000000001</v>
      </c>
      <c r="AGJ220" s="727">
        <v>-203.27070000000001</v>
      </c>
      <c r="AGK220" s="727">
        <v>-203.27070000000001</v>
      </c>
      <c r="AGL220" s="727">
        <v>-203.27070000000001</v>
      </c>
      <c r="AGM220" s="727">
        <v>-203.27070000000001</v>
      </c>
      <c r="AGN220" s="727">
        <v>-203.27070000000001</v>
      </c>
      <c r="AGO220" s="727">
        <v>-203.27070000000001</v>
      </c>
      <c r="AGP220" s="727">
        <v>-203.27070000000001</v>
      </c>
      <c r="AGQ220" s="727">
        <v>-203.27070000000001</v>
      </c>
      <c r="AGR220" s="727">
        <v>-203.27070000000001</v>
      </c>
      <c r="AGS220" s="727">
        <v>-203.27070000000001</v>
      </c>
      <c r="AGT220" s="727">
        <v>-203.27070000000001</v>
      </c>
      <c r="AGU220" s="727">
        <v>-203.27070000000001</v>
      </c>
      <c r="AGV220" s="727">
        <v>-203.27070000000001</v>
      </c>
      <c r="AGW220" s="727">
        <v>-203.27070000000001</v>
      </c>
      <c r="AGX220" s="727">
        <v>-203.27070000000001</v>
      </c>
      <c r="AGY220" s="727">
        <v>-203.27070000000001</v>
      </c>
      <c r="AGZ220" s="727">
        <v>-203.27070000000001</v>
      </c>
      <c r="AHA220" s="727">
        <v>-203.27070000000001</v>
      </c>
      <c r="AHB220" s="727">
        <v>-203.27070000000001</v>
      </c>
      <c r="AHC220" s="727">
        <v>-203.27070000000001</v>
      </c>
      <c r="AHD220" s="727">
        <v>-203.27070000000001</v>
      </c>
      <c r="AHE220" s="727">
        <v>-203.27070000000001</v>
      </c>
      <c r="AHF220" s="727">
        <v>-203.27070000000001</v>
      </c>
      <c r="AHG220" s="727">
        <v>-203.27070000000001</v>
      </c>
      <c r="AHH220" s="727">
        <v>-203.27070000000001</v>
      </c>
      <c r="AHI220" s="727">
        <v>-203.27070000000001</v>
      </c>
      <c r="AHJ220" s="727">
        <v>-203.27070000000001</v>
      </c>
      <c r="AHK220" s="727">
        <v>-203.27070000000001</v>
      </c>
      <c r="AHL220" s="727">
        <v>-203.27070000000001</v>
      </c>
      <c r="AHM220" s="727">
        <v>-203.27070000000001</v>
      </c>
      <c r="AHN220" s="727">
        <v>-203.27070000000001</v>
      </c>
      <c r="AHO220" s="727">
        <v>-203.27070000000001</v>
      </c>
      <c r="AHP220" s="727">
        <v>-203.27070000000001</v>
      </c>
      <c r="AHQ220" s="727">
        <v>-203.27070000000001</v>
      </c>
      <c r="AHR220" s="727">
        <v>-203.27070000000001</v>
      </c>
      <c r="AHS220" s="727">
        <v>-203.27070000000001</v>
      </c>
      <c r="AHT220" s="727">
        <v>-203.27070000000001</v>
      </c>
      <c r="AHU220" s="727">
        <v>-203.27070000000001</v>
      </c>
      <c r="AHV220" s="727">
        <v>-203.27070000000001</v>
      </c>
      <c r="AHW220" s="727">
        <v>-203.27070000000001</v>
      </c>
      <c r="AHX220" s="727">
        <v>-203.27070000000001</v>
      </c>
      <c r="AHY220" s="727">
        <v>-203.27070000000001</v>
      </c>
      <c r="AHZ220" s="727">
        <v>-203.27070000000001</v>
      </c>
      <c r="AIA220" s="727">
        <v>-203.27070000000001</v>
      </c>
      <c r="AIB220" s="727">
        <v>-203.27070000000001</v>
      </c>
      <c r="AIC220" s="727">
        <v>-203.27070000000001</v>
      </c>
      <c r="AID220" s="727">
        <v>-203.27070000000001</v>
      </c>
      <c r="AIE220" s="727">
        <v>-203.27070000000001</v>
      </c>
      <c r="AIF220" s="727">
        <v>-203.27070000000001</v>
      </c>
      <c r="AIG220" s="727">
        <v>-203.27070000000001</v>
      </c>
      <c r="AIH220" s="727">
        <v>-203.27070000000001</v>
      </c>
      <c r="AII220" s="727">
        <v>-203.27070000000001</v>
      </c>
      <c r="AIJ220" s="727">
        <v>-203.27070000000001</v>
      </c>
      <c r="AIK220" s="727">
        <v>-203.27070000000001</v>
      </c>
      <c r="AIL220" s="727">
        <v>-203.27070000000001</v>
      </c>
      <c r="AIM220" s="727">
        <v>-203.27070000000001</v>
      </c>
      <c r="AIN220" s="727">
        <v>-203.27070000000001</v>
      </c>
      <c r="AIO220" s="727">
        <v>-203.27070000000001</v>
      </c>
      <c r="AIP220" s="727">
        <v>-203.27070000000001</v>
      </c>
      <c r="AIQ220" s="727">
        <v>-203.27070000000001</v>
      </c>
      <c r="AIR220" s="727">
        <v>-203.27070000000001</v>
      </c>
      <c r="AIS220" s="727">
        <v>-203.27070000000001</v>
      </c>
      <c r="AIT220" s="727">
        <v>-203.27070000000001</v>
      </c>
      <c r="AIU220" s="727">
        <v>-203.27070000000001</v>
      </c>
      <c r="AIV220" s="727">
        <v>-203.27070000000001</v>
      </c>
      <c r="AIW220" s="727">
        <v>-203.27070000000001</v>
      </c>
      <c r="AIX220" s="727">
        <v>-203.27070000000001</v>
      </c>
      <c r="AIY220" s="727">
        <v>-203.27070000000001</v>
      </c>
      <c r="AIZ220" s="727">
        <v>-203.27070000000001</v>
      </c>
      <c r="AJA220" s="727">
        <v>-203.27070000000001</v>
      </c>
      <c r="AJB220" s="727">
        <v>-203.27070000000001</v>
      </c>
      <c r="AJC220" s="727">
        <v>-203.27070000000001</v>
      </c>
      <c r="AJD220" s="727">
        <v>-203.27070000000001</v>
      </c>
      <c r="AJE220" s="727">
        <v>-203.27070000000001</v>
      </c>
      <c r="AJF220" s="727">
        <v>-203.27070000000001</v>
      </c>
      <c r="AJG220" s="727">
        <v>-203.27070000000001</v>
      </c>
      <c r="AJH220" s="727">
        <v>-203.27070000000001</v>
      </c>
      <c r="AJI220" s="727">
        <v>-203.27070000000001</v>
      </c>
      <c r="AJJ220" s="727">
        <v>-203.27070000000001</v>
      </c>
      <c r="AJK220" s="727">
        <v>-203.27070000000001</v>
      </c>
      <c r="AJL220" s="727">
        <v>-203.27070000000001</v>
      </c>
      <c r="AJM220" s="727">
        <v>-203.27070000000001</v>
      </c>
      <c r="AJN220" s="727">
        <v>-203.27070000000001</v>
      </c>
      <c r="AJO220" s="727">
        <v>-203.27070000000001</v>
      </c>
      <c r="AJP220" s="727">
        <v>-203.27070000000001</v>
      </c>
      <c r="AJQ220" s="727">
        <v>-203.27070000000001</v>
      </c>
      <c r="AJR220" s="727">
        <v>-203.27070000000001</v>
      </c>
      <c r="AJS220" s="727">
        <v>-203.27070000000001</v>
      </c>
      <c r="AJT220" s="727">
        <v>-203.27070000000001</v>
      </c>
      <c r="AJU220" s="727">
        <v>-203.27070000000001</v>
      </c>
      <c r="AJV220" s="727">
        <v>-203.27070000000001</v>
      </c>
      <c r="AJW220" s="727">
        <v>-203.27070000000001</v>
      </c>
      <c r="AJX220" s="727">
        <v>-203.27070000000001</v>
      </c>
      <c r="AJY220" s="727">
        <v>-203.27070000000001</v>
      </c>
      <c r="AJZ220" s="727">
        <v>-203.27070000000001</v>
      </c>
      <c r="AKA220" s="727">
        <v>-203.27070000000001</v>
      </c>
      <c r="AKB220" s="727">
        <v>-203.27070000000001</v>
      </c>
      <c r="AKC220" s="727">
        <v>-203.27070000000001</v>
      </c>
      <c r="AKD220" s="727">
        <v>-203.27070000000001</v>
      </c>
      <c r="AKE220" s="727">
        <v>-203.27070000000001</v>
      </c>
      <c r="AKF220" s="727">
        <v>-203.27070000000001</v>
      </c>
      <c r="AKG220" s="727">
        <v>-203.27070000000001</v>
      </c>
      <c r="AKH220" s="727">
        <v>-203.27070000000001</v>
      </c>
      <c r="AKI220" s="727">
        <v>-203.27070000000001</v>
      </c>
      <c r="AKJ220" s="727">
        <v>-203.27070000000001</v>
      </c>
      <c r="AKK220" s="727">
        <v>-203.27070000000001</v>
      </c>
      <c r="AKL220" s="727">
        <v>-203.27070000000001</v>
      </c>
      <c r="AKM220" s="727">
        <v>-203.27070000000001</v>
      </c>
      <c r="AKN220" s="727">
        <v>-203.27070000000001</v>
      </c>
      <c r="AKO220" s="727">
        <v>-203.27070000000001</v>
      </c>
      <c r="AKP220" s="727">
        <v>-203.27070000000001</v>
      </c>
      <c r="AKQ220" s="727">
        <v>-203.27070000000001</v>
      </c>
      <c r="AKR220" s="727">
        <v>-203.27070000000001</v>
      </c>
      <c r="AKS220" s="727">
        <v>-203.27070000000001</v>
      </c>
      <c r="AKT220" s="727">
        <v>-203.27070000000001</v>
      </c>
      <c r="AKU220" s="727">
        <v>-203.27070000000001</v>
      </c>
      <c r="AKV220" s="727">
        <v>-203.27070000000001</v>
      </c>
      <c r="AKW220" s="727">
        <v>-203.27070000000001</v>
      </c>
      <c r="AKX220" s="727">
        <v>-203.27070000000001</v>
      </c>
      <c r="AKY220" s="727">
        <v>-203.27070000000001</v>
      </c>
      <c r="AKZ220" s="727">
        <v>-203.27070000000001</v>
      </c>
      <c r="ALA220" s="727">
        <v>-203.27070000000001</v>
      </c>
      <c r="ALB220" s="727">
        <v>-203.27070000000001</v>
      </c>
      <c r="ALC220" s="727">
        <v>-203.27070000000001</v>
      </c>
      <c r="ALD220" s="727">
        <v>-203.27070000000001</v>
      </c>
      <c r="ALE220" s="727">
        <v>-203.27070000000001</v>
      </c>
      <c r="ALF220" s="727">
        <v>-203.27070000000001</v>
      </c>
      <c r="ALG220" s="727">
        <v>-203.27070000000001</v>
      </c>
      <c r="ALH220" s="727">
        <v>-203.27070000000001</v>
      </c>
      <c r="ALI220" s="727">
        <v>-203.27070000000001</v>
      </c>
      <c r="ALJ220" s="727">
        <v>-203.27070000000001</v>
      </c>
      <c r="ALK220" s="727">
        <v>-203.27070000000001</v>
      </c>
      <c r="ALL220" s="727">
        <v>-203.27070000000001</v>
      </c>
      <c r="ALM220" s="727">
        <v>-203.27070000000001</v>
      </c>
      <c r="ALN220" s="727">
        <v>-203.27070000000001</v>
      </c>
      <c r="ALO220" s="727">
        <v>-203.27070000000001</v>
      </c>
      <c r="ALP220" s="727">
        <v>-203.27070000000001</v>
      </c>
      <c r="ALQ220" s="727">
        <v>-203.27070000000001</v>
      </c>
      <c r="ALR220" s="727">
        <v>-203.27070000000001</v>
      </c>
      <c r="ALS220" s="727">
        <v>-203.27070000000001</v>
      </c>
      <c r="ALT220" s="727">
        <v>-203.27070000000001</v>
      </c>
      <c r="ALU220" s="727">
        <v>-203.27070000000001</v>
      </c>
      <c r="ALV220" s="727">
        <v>-203.27070000000001</v>
      </c>
      <c r="ALW220" s="727">
        <v>-203.27070000000001</v>
      </c>
      <c r="ALX220" s="727">
        <v>-203.27070000000001</v>
      </c>
      <c r="ALY220" s="727">
        <v>-203.27070000000001</v>
      </c>
      <c r="ALZ220" s="727">
        <v>-203.27070000000001</v>
      </c>
      <c r="AMA220" s="727">
        <v>-203.27070000000001</v>
      </c>
      <c r="AMB220" s="727">
        <v>-203.27070000000001</v>
      </c>
      <c r="AMC220" s="727">
        <v>-203.27070000000001</v>
      </c>
      <c r="AMD220" s="727">
        <v>-203.27070000000001</v>
      </c>
      <c r="AME220" s="727">
        <v>-203.27070000000001</v>
      </c>
      <c r="AMF220" s="727">
        <v>-203.27070000000001</v>
      </c>
      <c r="AMG220" s="727">
        <v>-203.27070000000001</v>
      </c>
      <c r="AMH220" s="727">
        <v>-203.27070000000001</v>
      </c>
      <c r="AMI220" s="727">
        <v>-203.27070000000001</v>
      </c>
      <c r="AMJ220" s="727">
        <v>-203.27070000000001</v>
      </c>
      <c r="AMK220" s="732">
        <v>-203.27070000000001</v>
      </c>
    </row>
    <row r="221" spans="2:1025" ht="77.25" x14ac:dyDescent="0.25">
      <c r="B221" s="737" t="s">
        <v>2891</v>
      </c>
      <c r="C221" s="737" t="s">
        <v>2892</v>
      </c>
      <c r="D221" s="738">
        <v>4681.0496000000003</v>
      </c>
      <c r="E221" s="738">
        <v>1775.7597000000001</v>
      </c>
      <c r="F221" s="738">
        <v>53811.344299999997</v>
      </c>
      <c r="G221" s="738">
        <v>251.93393432003509</v>
      </c>
      <c r="N221" s="729" t="s">
        <v>4902</v>
      </c>
      <c r="O221" s="727">
        <v>2473.6741000000002</v>
      </c>
      <c r="P221" s="727">
        <v>2841.1641</v>
      </c>
      <c r="Q221" s="727">
        <v>1835.6547</v>
      </c>
      <c r="R221" s="727">
        <v>2978.4180999999999</v>
      </c>
      <c r="S221" s="727">
        <v>1784.3297</v>
      </c>
      <c r="T221" s="727">
        <v>1775.1977999999999</v>
      </c>
      <c r="U221" s="727">
        <v>1777.0931</v>
      </c>
      <c r="V221" s="727">
        <v>1775.7597000000001</v>
      </c>
      <c r="W221" s="727">
        <v>1777.8295000000001</v>
      </c>
      <c r="X221" s="727">
        <v>1790.4453000000001</v>
      </c>
      <c r="Y221" s="727">
        <v>1775.2487000000001</v>
      </c>
      <c r="Z221" s="727">
        <v>1783.5742</v>
      </c>
      <c r="AA221" s="727">
        <v>1806.2153000000001</v>
      </c>
      <c r="AB221" s="727">
        <v>1801.57</v>
      </c>
      <c r="AC221" s="727">
        <v>1782.8504</v>
      </c>
      <c r="AD221" s="727">
        <v>1786.0894000000001</v>
      </c>
      <c r="AE221" s="727">
        <v>1782.4881</v>
      </c>
      <c r="AF221" s="727">
        <v>1774.7435</v>
      </c>
      <c r="AG221" s="727">
        <v>1775.6324999999999</v>
      </c>
      <c r="AH221" s="727">
        <v>1779.4870000000001</v>
      </c>
      <c r="AI221" s="727">
        <v>1780.3063</v>
      </c>
      <c r="AJ221" s="727">
        <v>1798.8397</v>
      </c>
      <c r="AK221" s="727">
        <v>1777.2739999999999</v>
      </c>
      <c r="AL221" s="727">
        <v>1778.9788000000001</v>
      </c>
      <c r="AM221" s="727">
        <v>1792.7746999999999</v>
      </c>
      <c r="AN221" s="727">
        <v>1783.1190999999999</v>
      </c>
      <c r="AO221" s="727">
        <v>1796.7079000000001</v>
      </c>
      <c r="AP221" s="727">
        <v>1782.3572999999999</v>
      </c>
      <c r="AQ221" s="727">
        <v>1796.9238</v>
      </c>
      <c r="AR221" s="727">
        <v>1820.8530000000001</v>
      </c>
      <c r="AS221" s="727">
        <v>1796.3099</v>
      </c>
      <c r="AT221" s="727">
        <v>1789.9917</v>
      </c>
      <c r="AU221" s="727">
        <v>1780.1966</v>
      </c>
      <c r="AV221" s="727">
        <v>1793.7311999999999</v>
      </c>
      <c r="AW221" s="727">
        <v>1793.7678000000001</v>
      </c>
      <c r="AX221" s="727">
        <v>1810.5853</v>
      </c>
      <c r="AY221" s="727">
        <v>1810.8162</v>
      </c>
      <c r="AZ221" s="727">
        <v>1787.9629</v>
      </c>
      <c r="BA221" s="727">
        <v>1804.5998999999999</v>
      </c>
      <c r="BB221" s="727">
        <v>1806.3893</v>
      </c>
      <c r="BC221" s="727">
        <v>1780.3792000000001</v>
      </c>
      <c r="BD221" s="727">
        <v>1813.8338000000001</v>
      </c>
      <c r="BE221" s="727">
        <v>1785.5056999999999</v>
      </c>
      <c r="BF221" s="727">
        <v>1792.9204999999999</v>
      </c>
      <c r="BG221" s="727">
        <v>1810.7380000000001</v>
      </c>
      <c r="BH221" s="727">
        <v>1799.2328</v>
      </c>
      <c r="BI221" s="727">
        <v>1785.9717000000001</v>
      </c>
      <c r="BJ221" s="727">
        <v>1790.3933999999999</v>
      </c>
      <c r="BK221" s="727">
        <v>1781.5544</v>
      </c>
      <c r="BL221" s="727">
        <v>1788.9018000000001</v>
      </c>
      <c r="BM221" s="727">
        <v>1789.0835999999999</v>
      </c>
      <c r="BN221" s="727">
        <v>1794.9965999999999</v>
      </c>
      <c r="BO221" s="727">
        <v>1789.9869000000001</v>
      </c>
      <c r="BP221" s="727">
        <v>1830.7111</v>
      </c>
      <c r="BQ221" s="727">
        <v>1778.3488</v>
      </c>
      <c r="BR221" s="727">
        <v>1781.8703</v>
      </c>
      <c r="BS221" s="727">
        <v>1780.0518999999999</v>
      </c>
      <c r="BT221" s="727">
        <v>1788.5030999999999</v>
      </c>
      <c r="BU221" s="727">
        <v>1797.53</v>
      </c>
      <c r="BV221" s="727">
        <v>1777.0429999999999</v>
      </c>
      <c r="BW221" s="727">
        <v>1797.9621</v>
      </c>
      <c r="BX221" s="727">
        <v>1860.4350999999999</v>
      </c>
      <c r="BY221" s="727">
        <v>1794.82</v>
      </c>
      <c r="BZ221" s="727">
        <v>1778.8562999999999</v>
      </c>
      <c r="CA221" s="727">
        <v>1797.5306</v>
      </c>
      <c r="CB221" s="727">
        <v>1784.9248</v>
      </c>
      <c r="CC221" s="727">
        <v>1796.1084000000001</v>
      </c>
      <c r="CD221" s="727">
        <v>1797.3244</v>
      </c>
      <c r="CE221" s="727">
        <v>1785.4242999999999</v>
      </c>
      <c r="CF221" s="727">
        <v>1805.0626999999999</v>
      </c>
      <c r="CG221" s="727">
        <v>1809.3955000000001</v>
      </c>
      <c r="CH221" s="727">
        <v>1790.2090000000001</v>
      </c>
      <c r="CI221" s="727">
        <v>1800.2227</v>
      </c>
      <c r="CJ221" s="727">
        <v>1804.3643999999999</v>
      </c>
      <c r="CK221" s="727">
        <v>2118.6895</v>
      </c>
      <c r="CL221" s="727">
        <v>1857.6561999999999</v>
      </c>
      <c r="CM221" s="727">
        <v>1814.4042999999999</v>
      </c>
      <c r="CN221" s="727">
        <v>1777.8689999999999</v>
      </c>
      <c r="CO221" s="727">
        <v>1776.826</v>
      </c>
      <c r="CP221" s="727">
        <v>1779.4812999999999</v>
      </c>
      <c r="CQ221" s="727">
        <v>4902.8608000000004</v>
      </c>
      <c r="CR221" s="727">
        <v>4937.8617999999997</v>
      </c>
      <c r="CS221" s="727">
        <v>5254.9839000000002</v>
      </c>
      <c r="CT221" s="727">
        <v>4515.2464</v>
      </c>
      <c r="CU221" s="727">
        <v>4518.4895999999999</v>
      </c>
      <c r="CV221" s="727">
        <v>4693.4463999999998</v>
      </c>
      <c r="CW221" s="727">
        <v>4559.1719000000003</v>
      </c>
      <c r="CX221" s="727">
        <v>4275.2029000000002</v>
      </c>
      <c r="CY221" s="727">
        <v>4389.0621000000001</v>
      </c>
      <c r="CZ221" s="727">
        <v>4052.4661999999998</v>
      </c>
      <c r="DA221" s="727">
        <v>4406.6187</v>
      </c>
      <c r="DB221" s="727">
        <v>4157.9441999999999</v>
      </c>
      <c r="DC221" s="727">
        <v>4323.2203</v>
      </c>
      <c r="DD221" s="727">
        <v>3996.2089000000001</v>
      </c>
      <c r="DE221" s="727">
        <v>3992.6698000000001</v>
      </c>
      <c r="DF221" s="727">
        <v>3535.6907999999999</v>
      </c>
      <c r="DG221" s="727">
        <v>3816.2687000000001</v>
      </c>
      <c r="DH221" s="727">
        <v>3720.5309999999999</v>
      </c>
      <c r="DI221" s="727">
        <v>3599.7775999999999</v>
      </c>
      <c r="DJ221" s="727">
        <v>3825.4169000000002</v>
      </c>
      <c r="DK221" s="727">
        <v>3720.1498000000001</v>
      </c>
      <c r="DL221" s="727">
        <v>3764.7804999999998</v>
      </c>
      <c r="DM221" s="727">
        <v>3389.3395</v>
      </c>
      <c r="DN221" s="727">
        <v>3394.0538000000001</v>
      </c>
      <c r="DO221" s="727">
        <v>3275.9126999999999</v>
      </c>
      <c r="DP221" s="727">
        <v>3983.6999000000001</v>
      </c>
      <c r="DQ221" s="727">
        <v>4327.9489999999996</v>
      </c>
      <c r="DR221" s="727">
        <v>4493.9417999999996</v>
      </c>
      <c r="DS221" s="727">
        <v>4254.4032999999999</v>
      </c>
      <c r="DT221" s="727">
        <v>4077.6145000000001</v>
      </c>
      <c r="DU221" s="727">
        <v>4230.0397999999996</v>
      </c>
      <c r="DV221" s="727">
        <v>4163.6701999999996</v>
      </c>
      <c r="DW221" s="727">
        <v>3999.1057999999998</v>
      </c>
      <c r="DX221" s="727">
        <v>3364.3229000000001</v>
      </c>
      <c r="DY221" s="727">
        <v>3667.6886</v>
      </c>
      <c r="DZ221" s="727">
        <v>3768.7345999999998</v>
      </c>
      <c r="EA221" s="727">
        <v>3481.4998000000001</v>
      </c>
      <c r="EB221" s="727">
        <v>3689.0164</v>
      </c>
      <c r="EC221" s="727">
        <v>3382.1997000000001</v>
      </c>
      <c r="ED221" s="727">
        <v>3715.7685000000001</v>
      </c>
      <c r="EE221" s="727">
        <v>3201.0313000000001</v>
      </c>
      <c r="EF221" s="727">
        <v>3179.7015000000001</v>
      </c>
      <c r="EG221" s="727">
        <v>3045.7226000000001</v>
      </c>
      <c r="EH221" s="727">
        <v>2867.9582999999998</v>
      </c>
      <c r="EI221" s="727">
        <v>2965.6158</v>
      </c>
      <c r="EJ221" s="727">
        <v>2925.6925000000001</v>
      </c>
      <c r="EK221" s="727">
        <v>3501.0266999999999</v>
      </c>
      <c r="EL221" s="727">
        <v>3600.3524000000002</v>
      </c>
      <c r="EM221" s="727">
        <v>3861.8463999999999</v>
      </c>
      <c r="EN221" s="727">
        <v>3761.7786000000001</v>
      </c>
      <c r="EO221" s="727">
        <v>3515.7237</v>
      </c>
      <c r="EP221" s="727">
        <v>3528.8557999999998</v>
      </c>
      <c r="EQ221" s="727">
        <v>3528.1293999999998</v>
      </c>
      <c r="ER221" s="727">
        <v>3910.7147</v>
      </c>
      <c r="ES221" s="727">
        <v>3010.7375999999999</v>
      </c>
      <c r="ET221" s="727">
        <v>3287.1785</v>
      </c>
      <c r="EU221" s="727">
        <v>3201.89</v>
      </c>
      <c r="EV221" s="727">
        <v>3270.1967</v>
      </c>
      <c r="EW221" s="727">
        <v>3336.6145000000001</v>
      </c>
      <c r="EX221" s="727">
        <v>3332.6151</v>
      </c>
      <c r="EY221" s="727">
        <v>3365.9315000000001</v>
      </c>
      <c r="EZ221" s="727">
        <v>2794.7175999999999</v>
      </c>
      <c r="FA221" s="727">
        <v>3024.7102</v>
      </c>
      <c r="FB221" s="727">
        <v>2838.0612999999998</v>
      </c>
      <c r="FC221" s="727">
        <v>2753.5551999999998</v>
      </c>
      <c r="FD221" s="727">
        <v>3196.5329000000002</v>
      </c>
      <c r="FE221" s="727">
        <v>3042.2258999999999</v>
      </c>
      <c r="FF221" s="727">
        <v>3791.1671000000001</v>
      </c>
      <c r="FG221" s="727">
        <v>3672.4499000000001</v>
      </c>
      <c r="FH221" s="727">
        <v>3897.2469000000001</v>
      </c>
      <c r="FI221" s="727">
        <v>3731.9068000000002</v>
      </c>
      <c r="FJ221" s="727">
        <v>3545.6783999999998</v>
      </c>
      <c r="FK221" s="727">
        <v>3517.3663000000001</v>
      </c>
      <c r="FL221" s="727">
        <v>3177.0417000000002</v>
      </c>
      <c r="FM221" s="727">
        <v>3267.2492999999999</v>
      </c>
      <c r="FN221" s="727">
        <v>3114.7615000000001</v>
      </c>
      <c r="FO221" s="727">
        <v>3240.0934000000002</v>
      </c>
      <c r="FP221" s="727">
        <v>3203.8890000000001</v>
      </c>
      <c r="FQ221" s="727">
        <v>3238.5322000000001</v>
      </c>
      <c r="FR221" s="727">
        <v>3505.2811999999999</v>
      </c>
      <c r="FS221" s="727">
        <v>3224.2031000000002</v>
      </c>
      <c r="FT221" s="727">
        <v>3510.4621000000002</v>
      </c>
      <c r="FU221" s="727">
        <v>3727.6151</v>
      </c>
      <c r="FV221" s="727">
        <v>3700.9072000000001</v>
      </c>
      <c r="FW221" s="727">
        <v>3664.2593000000002</v>
      </c>
      <c r="FX221" s="727">
        <v>3806.8222999999998</v>
      </c>
      <c r="FY221" s="727">
        <v>3854.8182999999999</v>
      </c>
      <c r="FZ221" s="727">
        <v>4075.6904</v>
      </c>
      <c r="GA221" s="727">
        <v>3902.3092999999999</v>
      </c>
      <c r="GB221" s="727">
        <v>3693.4621000000002</v>
      </c>
      <c r="GC221" s="727">
        <v>3767.3195999999998</v>
      </c>
      <c r="GD221" s="727">
        <v>3836.6383999999998</v>
      </c>
      <c r="GE221" s="727">
        <v>3525.9996999999998</v>
      </c>
      <c r="GF221" s="727">
        <v>3462.8625000000002</v>
      </c>
      <c r="GG221" s="727">
        <v>3220.5526</v>
      </c>
      <c r="GH221" s="727">
        <v>3172.6158999999998</v>
      </c>
      <c r="GI221" s="727">
        <v>3333.9326000000001</v>
      </c>
      <c r="GJ221" s="727">
        <v>3287.6581000000001</v>
      </c>
      <c r="GK221" s="727">
        <v>3305.1179000000002</v>
      </c>
      <c r="GL221" s="727">
        <v>3347.1471000000001</v>
      </c>
      <c r="GM221" s="727">
        <v>3548.8474999999999</v>
      </c>
      <c r="GN221" s="727">
        <v>3235.5328</v>
      </c>
      <c r="GO221" s="727">
        <v>4382.6988000000001</v>
      </c>
      <c r="GP221" s="727">
        <v>4335.3666999999996</v>
      </c>
      <c r="GQ221" s="727">
        <v>4148.3494000000001</v>
      </c>
      <c r="GR221" s="727">
        <v>4125.9934999999996</v>
      </c>
      <c r="GS221" s="727">
        <v>4514.1106</v>
      </c>
      <c r="GT221" s="727">
        <v>4043.7183</v>
      </c>
      <c r="GU221" s="727">
        <v>4143.7709000000004</v>
      </c>
      <c r="GV221" s="727">
        <v>3527.8593000000001</v>
      </c>
      <c r="GW221" s="727">
        <v>3543.7455</v>
      </c>
      <c r="GX221" s="727">
        <v>4502.7658000000001</v>
      </c>
      <c r="GY221" s="727">
        <v>3772.0074</v>
      </c>
      <c r="GZ221" s="727">
        <v>3539.4960000000001</v>
      </c>
      <c r="HA221" s="727">
        <v>3489.8562000000002</v>
      </c>
      <c r="HB221" s="727">
        <v>3537.9684999999999</v>
      </c>
      <c r="HC221" s="727">
        <v>3466.2559999999999</v>
      </c>
      <c r="HD221" s="727">
        <v>3632.5079999999998</v>
      </c>
      <c r="HE221" s="727">
        <v>3483.1655999999998</v>
      </c>
      <c r="HF221" s="727">
        <v>3023.6397000000002</v>
      </c>
      <c r="HG221" s="727">
        <v>3848.9616000000001</v>
      </c>
      <c r="HH221" s="727">
        <v>4099.0591999999997</v>
      </c>
      <c r="HI221" s="727">
        <v>3271.7631000000001</v>
      </c>
      <c r="HJ221" s="727">
        <v>3033.7694999999999</v>
      </c>
      <c r="HK221" s="727">
        <v>3231.8325</v>
      </c>
      <c r="HL221" s="727">
        <v>3083.6115</v>
      </c>
      <c r="HM221" s="727">
        <v>3130.7773999999999</v>
      </c>
      <c r="HN221" s="727">
        <v>3235.1867000000002</v>
      </c>
      <c r="HO221" s="727">
        <v>3369.3869</v>
      </c>
      <c r="HP221" s="727">
        <v>2912.6201000000001</v>
      </c>
      <c r="HQ221" s="727">
        <v>3174.1662999999999</v>
      </c>
      <c r="HR221" s="727">
        <v>3225.3569000000002</v>
      </c>
      <c r="HS221" s="727">
        <v>3194.7548000000002</v>
      </c>
      <c r="HT221" s="727">
        <v>3121.7276999999999</v>
      </c>
      <c r="HU221" s="727">
        <v>3242.1716999999999</v>
      </c>
      <c r="HV221" s="727">
        <v>3053.9742000000001</v>
      </c>
      <c r="HW221" s="727">
        <v>3091.0239999999999</v>
      </c>
      <c r="HX221" s="727">
        <v>3272.5527000000002</v>
      </c>
      <c r="HY221" s="727">
        <v>3387.0922999999998</v>
      </c>
      <c r="HZ221" s="727">
        <v>3566.0810999999999</v>
      </c>
      <c r="IA221" s="727">
        <v>2741.2312999999999</v>
      </c>
      <c r="IB221" s="727">
        <v>2144.6842999999999</v>
      </c>
      <c r="IC221" s="727">
        <v>2133.7361000000001</v>
      </c>
      <c r="ID221" s="727">
        <v>2490.8267999999998</v>
      </c>
      <c r="IE221" s="727">
        <v>2719.2273</v>
      </c>
      <c r="IF221" s="727">
        <v>2657.2939999999999</v>
      </c>
      <c r="IG221" s="727">
        <v>2422.6685000000002</v>
      </c>
      <c r="IH221" s="727">
        <v>2348.4189999999999</v>
      </c>
      <c r="II221" s="727">
        <v>2017.7973</v>
      </c>
      <c r="IJ221" s="727">
        <v>2336.6093000000001</v>
      </c>
      <c r="IK221" s="727">
        <v>2481.9203000000002</v>
      </c>
      <c r="IL221" s="727">
        <v>2151.9227999999998</v>
      </c>
      <c r="IM221" s="727">
        <v>2418.9056999999998</v>
      </c>
      <c r="IN221" s="727">
        <v>2388.1282999999999</v>
      </c>
      <c r="IO221" s="727">
        <v>2251.2044999999998</v>
      </c>
      <c r="IP221" s="727">
        <v>2355.3362000000002</v>
      </c>
      <c r="IQ221" s="727">
        <v>2426.7080999999998</v>
      </c>
      <c r="IR221" s="727">
        <v>2648.3301999999999</v>
      </c>
      <c r="IS221" s="727">
        <v>2797.8672000000001</v>
      </c>
      <c r="IT221" s="727">
        <v>2581.6808999999998</v>
      </c>
      <c r="IU221" s="727">
        <v>2716.2174</v>
      </c>
      <c r="IV221" s="727">
        <v>2929.9576000000002</v>
      </c>
      <c r="IW221" s="727">
        <v>2767.5763000000002</v>
      </c>
      <c r="IX221" s="727">
        <v>3046.3047999999999</v>
      </c>
      <c r="IY221" s="727">
        <v>2813.9049</v>
      </c>
      <c r="IZ221" s="727">
        <v>2962.0515999999998</v>
      </c>
      <c r="JA221" s="727">
        <v>2337.9079000000002</v>
      </c>
      <c r="JB221" s="727">
        <v>2738.8478</v>
      </c>
      <c r="JC221" s="727">
        <v>2286.0637999999999</v>
      </c>
      <c r="JD221" s="727">
        <v>2357.3207000000002</v>
      </c>
      <c r="JE221" s="727">
        <v>2314.7440000000001</v>
      </c>
      <c r="JF221" s="727">
        <v>2317.6457</v>
      </c>
      <c r="JG221" s="727">
        <v>1875.2379000000001</v>
      </c>
      <c r="JH221" s="727">
        <v>1954.1432</v>
      </c>
      <c r="JI221" s="727">
        <v>2283.3177000000001</v>
      </c>
      <c r="JJ221" s="727">
        <v>2410.0942</v>
      </c>
      <c r="JK221" s="727">
        <v>2255.1961000000001</v>
      </c>
      <c r="JL221" s="727">
        <v>2212.9526999999998</v>
      </c>
      <c r="JM221" s="727">
        <v>2458.5104000000001</v>
      </c>
      <c r="JN221" s="727">
        <v>2257.1174000000001</v>
      </c>
      <c r="JO221" s="727">
        <v>2264.6545000000001</v>
      </c>
      <c r="JP221" s="727">
        <v>2323.7858000000001</v>
      </c>
      <c r="JQ221" s="727">
        <v>2306.8998000000001</v>
      </c>
      <c r="JR221" s="727">
        <v>2274.4256</v>
      </c>
      <c r="JS221" s="727">
        <v>2325.8294999999998</v>
      </c>
      <c r="JT221" s="727">
        <v>2379.9747000000002</v>
      </c>
      <c r="JU221" s="727">
        <v>2412.5122000000001</v>
      </c>
      <c r="JV221" s="727">
        <v>3195.6095999999998</v>
      </c>
      <c r="JW221" s="727">
        <v>2838.2950000000001</v>
      </c>
      <c r="JX221" s="727">
        <v>2808.6734000000001</v>
      </c>
      <c r="JY221" s="727">
        <v>3202.6136000000001</v>
      </c>
      <c r="JZ221" s="727">
        <v>2949.2696000000001</v>
      </c>
      <c r="KA221" s="727">
        <v>2876.0653000000002</v>
      </c>
      <c r="KB221" s="727">
        <v>2717.1046999999999</v>
      </c>
      <c r="KC221" s="727">
        <v>2897.5812999999998</v>
      </c>
      <c r="KD221" s="727">
        <v>2972.2737999999999</v>
      </c>
      <c r="KE221" s="727">
        <v>2739.1536000000001</v>
      </c>
      <c r="KF221" s="727">
        <v>2821.6934000000001</v>
      </c>
      <c r="KG221" s="727">
        <v>2941.7307000000001</v>
      </c>
      <c r="KH221" s="727">
        <v>2837.6388999999999</v>
      </c>
      <c r="KI221" s="727">
        <v>2832.5304000000001</v>
      </c>
      <c r="KJ221" s="727">
        <v>2865.4303</v>
      </c>
      <c r="KK221" s="727">
        <v>2904.7910999999999</v>
      </c>
      <c r="KL221" s="727">
        <v>3012.2053999999998</v>
      </c>
      <c r="KM221" s="727">
        <v>3192.8083000000001</v>
      </c>
      <c r="KN221" s="727">
        <v>3161.3148000000001</v>
      </c>
      <c r="KO221" s="727">
        <v>3069.5652</v>
      </c>
      <c r="KP221" s="727">
        <v>3242.8036999999999</v>
      </c>
      <c r="KQ221" s="727">
        <v>2917.8481000000002</v>
      </c>
      <c r="KR221" s="727">
        <v>2747.93</v>
      </c>
      <c r="KS221" s="727">
        <v>2750.4695000000002</v>
      </c>
      <c r="KT221" s="727">
        <v>2809.6988999999999</v>
      </c>
      <c r="KU221" s="727">
        <v>2806.7773000000002</v>
      </c>
      <c r="KV221" s="727">
        <v>2514.2071000000001</v>
      </c>
      <c r="KW221" s="727">
        <v>2671.3696</v>
      </c>
      <c r="KX221" s="727">
        <v>2498.0230000000001</v>
      </c>
      <c r="KY221" s="727">
        <v>2725.1255000000001</v>
      </c>
      <c r="KZ221" s="727">
        <v>2453.9362999999998</v>
      </c>
      <c r="LA221" s="727">
        <v>2713.6595000000002</v>
      </c>
      <c r="LB221" s="727">
        <v>2905.0156999999999</v>
      </c>
      <c r="LC221" s="727">
        <v>2855.5216999999998</v>
      </c>
      <c r="LD221" s="727">
        <v>3026.4429</v>
      </c>
      <c r="LE221" s="727">
        <v>2915.1866</v>
      </c>
      <c r="LF221" s="727">
        <v>2757.8427999999999</v>
      </c>
      <c r="LG221" s="727">
        <v>2585.6016</v>
      </c>
      <c r="LH221" s="727">
        <v>2865.7307000000001</v>
      </c>
      <c r="LI221" s="727">
        <v>2937.2557999999999</v>
      </c>
      <c r="LJ221" s="727">
        <v>3125.9025999999999</v>
      </c>
      <c r="LK221" s="727">
        <v>3012.2365</v>
      </c>
      <c r="LL221" s="727">
        <v>2972.5798</v>
      </c>
      <c r="LM221" s="727">
        <v>3016.8670999999999</v>
      </c>
      <c r="LN221" s="727">
        <v>2814.1188999999999</v>
      </c>
      <c r="LO221" s="727">
        <v>2829.7873</v>
      </c>
      <c r="LP221" s="727">
        <v>3128.0819999999999</v>
      </c>
      <c r="LQ221" s="727">
        <v>3147.8751999999999</v>
      </c>
      <c r="LR221" s="727">
        <v>2824.1570999999999</v>
      </c>
      <c r="LS221" s="727">
        <v>2951.3629000000001</v>
      </c>
      <c r="LT221" s="727">
        <v>3088.4382000000001</v>
      </c>
      <c r="LU221" s="727">
        <v>3163.4485</v>
      </c>
      <c r="LV221" s="727">
        <v>3337.0277999999998</v>
      </c>
      <c r="LW221" s="727">
        <v>3326.4807000000001</v>
      </c>
      <c r="LX221" s="727">
        <v>3368.1368000000002</v>
      </c>
      <c r="LY221" s="727">
        <v>2677.0342999999998</v>
      </c>
      <c r="LZ221" s="727">
        <v>3008.5372000000002</v>
      </c>
      <c r="MA221" s="727">
        <v>2662.4639999999999</v>
      </c>
      <c r="MB221" s="727">
        <v>2726.027</v>
      </c>
      <c r="MC221" s="727">
        <v>2884.7691</v>
      </c>
      <c r="MD221" s="727">
        <v>2783.1278000000002</v>
      </c>
      <c r="ME221" s="727">
        <v>2613.5255000000002</v>
      </c>
      <c r="MF221" s="727">
        <v>2685.5509999999999</v>
      </c>
      <c r="MG221" s="727">
        <v>2670.2293</v>
      </c>
      <c r="MH221" s="727">
        <v>2738.567</v>
      </c>
      <c r="MI221" s="727">
        <v>2858.5781000000002</v>
      </c>
      <c r="MJ221" s="727">
        <v>2861.0594999999998</v>
      </c>
      <c r="MK221" s="727">
        <v>2767.4848999999999</v>
      </c>
      <c r="ML221" s="727">
        <v>2752.4238999999998</v>
      </c>
      <c r="MM221" s="727">
        <v>2720.5706</v>
      </c>
      <c r="MN221" s="727">
        <v>2571.7795999999998</v>
      </c>
      <c r="MO221" s="727">
        <v>2775.1284999999998</v>
      </c>
      <c r="MP221" s="727">
        <v>2578.3353000000002</v>
      </c>
      <c r="MQ221" s="727">
        <v>2839.6550999999999</v>
      </c>
      <c r="MR221" s="727">
        <v>2740.3150000000001</v>
      </c>
      <c r="MS221" s="727">
        <v>2891.5196999999998</v>
      </c>
      <c r="MT221" s="727">
        <v>2886.3654000000001</v>
      </c>
      <c r="MU221" s="727">
        <v>2717.6547</v>
      </c>
      <c r="MV221" s="727">
        <v>2946.9324999999999</v>
      </c>
      <c r="MW221" s="727">
        <v>2670.9776000000002</v>
      </c>
      <c r="MX221" s="727">
        <v>3092.4186</v>
      </c>
      <c r="MY221" s="727">
        <v>2919.6338999999998</v>
      </c>
      <c r="MZ221" s="727">
        <v>2087.3027999999999</v>
      </c>
      <c r="NA221" s="727">
        <v>2581.0034999999998</v>
      </c>
      <c r="NB221" s="727">
        <v>1991.7732000000001</v>
      </c>
      <c r="NC221" s="727">
        <v>2270.0565999999999</v>
      </c>
      <c r="ND221" s="727">
        <v>2085.4416999999999</v>
      </c>
      <c r="NE221" s="727">
        <v>1988.6207999999999</v>
      </c>
      <c r="NF221" s="727">
        <v>2136.8640999999998</v>
      </c>
      <c r="NG221" s="727">
        <v>1928.6899000000001</v>
      </c>
      <c r="NH221" s="727">
        <v>2210.4614999999999</v>
      </c>
      <c r="NI221" s="727">
        <v>1954.1079</v>
      </c>
      <c r="NJ221" s="727">
        <v>2502.1068</v>
      </c>
      <c r="NK221" s="727">
        <v>2338.0837000000001</v>
      </c>
      <c r="NL221" s="727">
        <v>2115.8191999999999</v>
      </c>
      <c r="NM221" s="727">
        <v>2188.9355999999998</v>
      </c>
      <c r="NN221" s="727">
        <v>2000.8844999999999</v>
      </c>
      <c r="NO221" s="727">
        <v>1881.7345</v>
      </c>
      <c r="NP221" s="727">
        <v>1994.7887000000001</v>
      </c>
      <c r="NQ221" s="727">
        <v>2923.5324000000001</v>
      </c>
      <c r="NR221" s="727">
        <v>2351.9034999999999</v>
      </c>
      <c r="NS221" s="727">
        <v>2463.7078999999999</v>
      </c>
      <c r="NT221" s="727">
        <v>2288.1570000000002</v>
      </c>
      <c r="NU221" s="727">
        <v>2281.3888000000002</v>
      </c>
      <c r="NV221" s="727">
        <v>1978.8315</v>
      </c>
      <c r="NW221" s="727">
        <v>2242.3126999999999</v>
      </c>
      <c r="NX221" s="727">
        <v>2658.1581000000001</v>
      </c>
      <c r="NY221" s="727">
        <v>2898.1169</v>
      </c>
      <c r="NZ221" s="727">
        <v>2481.8096999999998</v>
      </c>
      <c r="OA221" s="727">
        <v>2198.8708000000001</v>
      </c>
      <c r="OB221" s="727">
        <v>2117.8312999999998</v>
      </c>
      <c r="OC221" s="727">
        <v>2184.8098</v>
      </c>
      <c r="OD221" s="727">
        <v>2181.1122</v>
      </c>
      <c r="OE221" s="727">
        <v>2143.6556</v>
      </c>
      <c r="OF221" s="727">
        <v>2131.9762000000001</v>
      </c>
      <c r="OG221" s="727">
        <v>2189.7768999999998</v>
      </c>
      <c r="OH221" s="727">
        <v>1914.2493999999999</v>
      </c>
      <c r="OI221" s="727">
        <v>2038.3388</v>
      </c>
      <c r="OJ221" s="727">
        <v>2735.76</v>
      </c>
      <c r="OK221" s="727">
        <v>2928.1131999999998</v>
      </c>
      <c r="OL221" s="727">
        <v>2570.9402</v>
      </c>
      <c r="OM221" s="727">
        <v>2613.7076999999999</v>
      </c>
      <c r="ON221" s="727">
        <v>2808.9290999999998</v>
      </c>
      <c r="OO221" s="727">
        <v>2550.8181</v>
      </c>
      <c r="OP221" s="727">
        <v>2621.721</v>
      </c>
      <c r="OQ221" s="727">
        <v>2683.3516</v>
      </c>
      <c r="OR221" s="727">
        <v>2431.8962999999999</v>
      </c>
      <c r="OS221" s="727">
        <v>2712.3112999999998</v>
      </c>
      <c r="OT221" s="727">
        <v>2881.8159000000001</v>
      </c>
      <c r="OU221" s="727">
        <v>2721.7543000000001</v>
      </c>
      <c r="OV221" s="727">
        <v>2653.0583000000001</v>
      </c>
      <c r="OW221" s="727">
        <v>2398.7586000000001</v>
      </c>
      <c r="OX221" s="727">
        <v>2467.6945000000001</v>
      </c>
      <c r="OY221" s="727">
        <v>2232.1044000000002</v>
      </c>
      <c r="OZ221" s="727">
        <v>2284.7206000000001</v>
      </c>
      <c r="PA221" s="727">
        <v>2531.6907000000001</v>
      </c>
      <c r="PB221" s="727">
        <v>2452.7262999999998</v>
      </c>
      <c r="PC221" s="727">
        <v>2449.0050000000001</v>
      </c>
      <c r="PD221" s="727">
        <v>2625.4517999999998</v>
      </c>
      <c r="PE221" s="727">
        <v>2494.2882</v>
      </c>
      <c r="PF221" s="727">
        <v>2232.9911999999999</v>
      </c>
      <c r="PG221" s="727">
        <v>2494.4187000000002</v>
      </c>
      <c r="PH221" s="727">
        <v>2403.5875000000001</v>
      </c>
      <c r="PI221" s="727">
        <v>2506.7846</v>
      </c>
      <c r="PJ221" s="727">
        <v>2496.7665000000002</v>
      </c>
      <c r="PK221" s="727">
        <v>2262.2811000000002</v>
      </c>
      <c r="PL221" s="727">
        <v>2510.4004</v>
      </c>
      <c r="PM221" s="727">
        <v>2461.6642000000002</v>
      </c>
      <c r="PN221" s="727">
        <v>2592.6957000000002</v>
      </c>
      <c r="PO221" s="727">
        <v>2523.1896000000002</v>
      </c>
      <c r="PP221" s="727">
        <v>2810.7953000000002</v>
      </c>
      <c r="PQ221" s="727">
        <v>2319.9566</v>
      </c>
      <c r="PR221" s="727">
        <v>2494.6289000000002</v>
      </c>
      <c r="PS221" s="727">
        <v>2317.7426999999998</v>
      </c>
      <c r="PT221" s="727">
        <v>2010.5237</v>
      </c>
      <c r="PU221" s="727">
        <v>2195.0309000000002</v>
      </c>
      <c r="PV221" s="727">
        <v>2311.7570999999998</v>
      </c>
      <c r="PW221" s="727">
        <v>2341.9214999999999</v>
      </c>
      <c r="PX221" s="727">
        <v>2261.8234000000002</v>
      </c>
      <c r="PY221" s="727">
        <v>2242.6723999999999</v>
      </c>
      <c r="PZ221" s="727">
        <v>2563.9022</v>
      </c>
      <c r="QA221" s="727">
        <v>2254.8995</v>
      </c>
      <c r="QB221" s="727">
        <v>2401.9068000000002</v>
      </c>
      <c r="QC221" s="727">
        <v>2356.9036999999998</v>
      </c>
      <c r="QD221" s="727">
        <v>2408.5295000000001</v>
      </c>
      <c r="QE221" s="727">
        <v>2436.8674999999998</v>
      </c>
      <c r="QF221" s="727">
        <v>2638.8184000000001</v>
      </c>
      <c r="QG221" s="727">
        <v>2714.0821999999998</v>
      </c>
      <c r="QH221" s="727">
        <v>2809.5776999999998</v>
      </c>
      <c r="QI221" s="727">
        <v>2543.3710999999998</v>
      </c>
      <c r="QJ221" s="727">
        <v>2281.1405</v>
      </c>
      <c r="QK221" s="727">
        <v>2555.7779999999998</v>
      </c>
      <c r="QL221" s="727">
        <v>2556.5623999999998</v>
      </c>
      <c r="QM221" s="727">
        <v>2550.8586</v>
      </c>
      <c r="QN221" s="727">
        <v>2561.1410000000001</v>
      </c>
      <c r="QO221" s="727">
        <v>2297.0113000000001</v>
      </c>
      <c r="QP221" s="727">
        <v>2340.8759</v>
      </c>
      <c r="QQ221" s="727">
        <v>2385.8685</v>
      </c>
      <c r="QR221" s="727">
        <v>2543.7473</v>
      </c>
      <c r="QS221" s="727">
        <v>2428.0315000000001</v>
      </c>
      <c r="QT221" s="727">
        <v>2533.8526000000002</v>
      </c>
      <c r="QU221" s="727">
        <v>2668.4872999999998</v>
      </c>
      <c r="QV221" s="727">
        <v>2612.5695000000001</v>
      </c>
      <c r="QW221" s="727">
        <v>2922.0718000000002</v>
      </c>
      <c r="QX221" s="727">
        <v>2558.9603000000002</v>
      </c>
      <c r="QY221" s="727">
        <v>2623.3829000000001</v>
      </c>
      <c r="QZ221" s="727">
        <v>2553.6386000000002</v>
      </c>
      <c r="RA221" s="727">
        <v>2605.0682000000002</v>
      </c>
      <c r="RB221" s="727">
        <v>2777.4137999999998</v>
      </c>
      <c r="RC221" s="727">
        <v>2634.2557000000002</v>
      </c>
      <c r="RD221" s="727">
        <v>2666.1556999999998</v>
      </c>
      <c r="RE221" s="727">
        <v>2684.6977999999999</v>
      </c>
      <c r="RF221" s="727">
        <v>2663.9459999999999</v>
      </c>
      <c r="RG221" s="727">
        <v>2497.83</v>
      </c>
      <c r="RH221" s="727">
        <v>2515.0428999999999</v>
      </c>
      <c r="RI221" s="727">
        <v>2541.5844999999999</v>
      </c>
      <c r="RJ221" s="727">
        <v>2538.2907</v>
      </c>
      <c r="RK221" s="727">
        <v>2299.0457999999999</v>
      </c>
      <c r="RL221" s="727">
        <v>2571.0192999999999</v>
      </c>
      <c r="RM221" s="727">
        <v>2541.2051000000001</v>
      </c>
      <c r="RN221" s="727">
        <v>2532.0493999999999</v>
      </c>
      <c r="RO221" s="727">
        <v>2620.0259000000001</v>
      </c>
      <c r="RP221" s="727">
        <v>2518.7615999999998</v>
      </c>
      <c r="RQ221" s="727">
        <v>2635.2593999999999</v>
      </c>
      <c r="RR221" s="727">
        <v>2777.8820999999998</v>
      </c>
      <c r="RS221" s="727">
        <v>2736.0057000000002</v>
      </c>
      <c r="RT221" s="727">
        <v>2598.4821999999999</v>
      </c>
      <c r="RU221" s="727">
        <v>2922.4863</v>
      </c>
      <c r="RV221" s="727">
        <v>2523.0158000000001</v>
      </c>
      <c r="RW221" s="727">
        <v>2676.2134000000001</v>
      </c>
      <c r="RX221" s="727">
        <v>2718.0585000000001</v>
      </c>
      <c r="RY221" s="727">
        <v>2689.7186000000002</v>
      </c>
      <c r="RZ221" s="727">
        <v>2540.7226000000001</v>
      </c>
      <c r="SA221" s="727">
        <v>2617.0328</v>
      </c>
      <c r="SB221" s="727">
        <v>2494.5680000000002</v>
      </c>
      <c r="SC221" s="727">
        <v>2616.6305000000002</v>
      </c>
      <c r="SD221" s="727">
        <v>2928.3427999999999</v>
      </c>
      <c r="SE221" s="727">
        <v>2476.6635999999999</v>
      </c>
      <c r="SF221" s="727">
        <v>2347.9877999999999</v>
      </c>
      <c r="SG221" s="727">
        <v>2366.3984999999998</v>
      </c>
      <c r="SH221" s="727">
        <v>2448.8447000000001</v>
      </c>
      <c r="SI221" s="727">
        <v>2345.3249999999998</v>
      </c>
      <c r="SJ221" s="727">
        <v>2267.0639999999999</v>
      </c>
      <c r="SK221" s="727">
        <v>2643.6473000000001</v>
      </c>
      <c r="SL221" s="727">
        <v>2774.6983</v>
      </c>
      <c r="SM221" s="727">
        <v>2711.2689</v>
      </c>
      <c r="SN221" s="727">
        <v>2641.8854000000001</v>
      </c>
      <c r="SO221" s="727">
        <v>2778.3957999999998</v>
      </c>
      <c r="SP221" s="727">
        <v>2511.4485</v>
      </c>
      <c r="SQ221" s="727">
        <v>2411.6313</v>
      </c>
      <c r="SR221" s="727">
        <v>2608.3218000000002</v>
      </c>
      <c r="SS221" s="727">
        <v>1866.2353000000001</v>
      </c>
      <c r="ST221" s="727">
        <v>1922.6515999999999</v>
      </c>
      <c r="SU221" s="727">
        <v>2149.6929</v>
      </c>
      <c r="SV221" s="727">
        <v>2219.8615</v>
      </c>
      <c r="SW221" s="727">
        <v>2124.3784999999998</v>
      </c>
      <c r="SX221" s="727">
        <v>2025.5802000000001</v>
      </c>
      <c r="SY221" s="727">
        <v>2114.3461000000002</v>
      </c>
      <c r="SZ221" s="727">
        <v>2333.5962</v>
      </c>
      <c r="TA221" s="727">
        <v>1967.5307</v>
      </c>
      <c r="TB221" s="727">
        <v>1981.0922</v>
      </c>
      <c r="TC221" s="727">
        <v>1945.4742000000001</v>
      </c>
      <c r="TD221" s="727">
        <v>1784.7455</v>
      </c>
      <c r="TE221" s="727">
        <v>1917.145</v>
      </c>
      <c r="TF221" s="727">
        <v>1858.3581999999999</v>
      </c>
      <c r="TG221" s="727">
        <v>1838.1624999999999</v>
      </c>
      <c r="TH221" s="727">
        <v>2052.2593000000002</v>
      </c>
      <c r="TI221" s="727">
        <v>2051.2759000000001</v>
      </c>
      <c r="TJ221" s="727">
        <v>1978.5218</v>
      </c>
      <c r="TK221" s="727">
        <v>2130.9155000000001</v>
      </c>
      <c r="TL221" s="727">
        <v>2335.8714</v>
      </c>
      <c r="TM221" s="727">
        <v>2583.5558000000001</v>
      </c>
      <c r="TN221" s="727">
        <v>2050.4063000000001</v>
      </c>
      <c r="TO221" s="727">
        <v>1880.7782</v>
      </c>
      <c r="TP221" s="727">
        <v>2123.5610000000001</v>
      </c>
      <c r="TQ221" s="727">
        <v>2049.3996000000002</v>
      </c>
      <c r="TR221" s="727">
        <v>2094.2815000000001</v>
      </c>
      <c r="TS221" s="727">
        <v>1962.2544</v>
      </c>
      <c r="TT221" s="727">
        <v>1954.8344999999999</v>
      </c>
      <c r="TU221" s="727">
        <v>2176.9688999999998</v>
      </c>
      <c r="TV221" s="727">
        <v>2053.3285999999998</v>
      </c>
      <c r="TW221" s="727">
        <v>2326.9427999999998</v>
      </c>
      <c r="TX221" s="727">
        <v>2158.7328000000002</v>
      </c>
      <c r="TY221" s="727">
        <v>2107.4439000000002</v>
      </c>
      <c r="TZ221" s="727">
        <v>2208.8341999999998</v>
      </c>
      <c r="UA221" s="727">
        <v>2182.2865000000002</v>
      </c>
      <c r="UB221" s="727">
        <v>2159.1837</v>
      </c>
      <c r="UC221" s="727">
        <v>2122.5495999999998</v>
      </c>
      <c r="UD221" s="727">
        <v>1960.5263</v>
      </c>
      <c r="UE221" s="727">
        <v>2086.9396999999999</v>
      </c>
      <c r="UF221" s="727">
        <v>2149.3748000000001</v>
      </c>
      <c r="UG221" s="727">
        <v>1911.5658000000001</v>
      </c>
      <c r="UH221" s="727">
        <v>1929.3395</v>
      </c>
      <c r="UI221" s="727">
        <v>2119.9373999999998</v>
      </c>
      <c r="UJ221" s="727">
        <v>2088.0147000000002</v>
      </c>
      <c r="UK221" s="727">
        <v>1967.2170000000001</v>
      </c>
      <c r="UL221" s="727">
        <v>1987.5617999999999</v>
      </c>
      <c r="UM221" s="727">
        <v>2045.8185000000001</v>
      </c>
      <c r="UN221" s="727">
        <v>1945.2583999999999</v>
      </c>
      <c r="UO221" s="727">
        <v>1894.6679999999999</v>
      </c>
      <c r="UP221" s="727">
        <v>1992.2385999999999</v>
      </c>
      <c r="UQ221" s="727">
        <v>1995.9626000000001</v>
      </c>
      <c r="UR221" s="727">
        <v>1989.3368</v>
      </c>
      <c r="US221" s="727">
        <v>2408.4382999999998</v>
      </c>
      <c r="UT221" s="727">
        <v>2212.7728999999999</v>
      </c>
      <c r="UU221" s="727">
        <v>2287.4776000000002</v>
      </c>
      <c r="UV221" s="727">
        <v>2468.5776999999998</v>
      </c>
      <c r="UW221" s="727">
        <v>2438.6052</v>
      </c>
      <c r="UX221" s="727">
        <v>2496.7217000000001</v>
      </c>
      <c r="UY221" s="727">
        <v>2336.4731999999999</v>
      </c>
      <c r="UZ221" s="727">
        <v>2282.8753000000002</v>
      </c>
      <c r="VA221" s="727">
        <v>2237.1925000000001</v>
      </c>
      <c r="VB221" s="727">
        <v>2327.5637999999999</v>
      </c>
      <c r="VC221" s="727">
        <v>2323.9443000000001</v>
      </c>
      <c r="VD221" s="727">
        <v>2295.3483000000001</v>
      </c>
      <c r="VE221" s="727">
        <v>2166.8195000000001</v>
      </c>
      <c r="VF221" s="727">
        <v>2275.9214000000002</v>
      </c>
      <c r="VG221" s="727">
        <v>2319.4843000000001</v>
      </c>
      <c r="VH221" s="727">
        <v>2241.2305000000001</v>
      </c>
      <c r="VI221" s="727">
        <v>2240.1062999999999</v>
      </c>
      <c r="VJ221" s="727">
        <v>2286.7972</v>
      </c>
      <c r="VK221" s="727">
        <v>2279.4128000000001</v>
      </c>
      <c r="VL221" s="727">
        <v>2253.5880999999999</v>
      </c>
      <c r="VM221" s="727">
        <v>2281.3578000000002</v>
      </c>
      <c r="VN221" s="727">
        <v>2193.6459</v>
      </c>
      <c r="VO221" s="727">
        <v>2139.1199000000001</v>
      </c>
      <c r="VP221" s="727">
        <v>2265.8031000000001</v>
      </c>
      <c r="VQ221" s="727">
        <v>2233.9701</v>
      </c>
      <c r="VR221" s="727">
        <v>2221.8366000000001</v>
      </c>
      <c r="VS221" s="727">
        <v>2164.3391999999999</v>
      </c>
      <c r="VT221" s="727">
        <v>2216.3685</v>
      </c>
      <c r="VU221" s="727">
        <v>2103.9693000000002</v>
      </c>
      <c r="VV221" s="727">
        <v>2342.0990999999999</v>
      </c>
      <c r="VW221" s="727">
        <v>2487.6296000000002</v>
      </c>
      <c r="VX221" s="727">
        <v>2489.5551999999998</v>
      </c>
      <c r="VY221" s="727">
        <v>2387.5367000000001</v>
      </c>
      <c r="VZ221" s="727">
        <v>2242.7339000000002</v>
      </c>
      <c r="WA221" s="727">
        <v>2428.0191</v>
      </c>
      <c r="WB221" s="727">
        <v>2180.7512000000002</v>
      </c>
      <c r="WC221" s="727">
        <v>2105.4225000000001</v>
      </c>
      <c r="WD221" s="727">
        <v>2273.3699000000001</v>
      </c>
      <c r="WE221" s="727">
        <v>2215.8162000000002</v>
      </c>
      <c r="WF221" s="727">
        <v>2163.5976999999998</v>
      </c>
      <c r="WG221" s="727">
        <v>2202.8409999999999</v>
      </c>
      <c r="WH221" s="727">
        <v>2335.0077999999999</v>
      </c>
      <c r="WI221" s="727">
        <v>2107.0895</v>
      </c>
      <c r="WJ221" s="727">
        <v>2089.4486000000002</v>
      </c>
      <c r="WK221" s="727">
        <v>2164.0576999999998</v>
      </c>
      <c r="WL221" s="727">
        <v>2123.6462000000001</v>
      </c>
      <c r="WM221" s="727">
        <v>2286.0250999999998</v>
      </c>
      <c r="WN221" s="727">
        <v>2177.4747000000002</v>
      </c>
      <c r="WO221" s="727">
        <v>2251.7869999999998</v>
      </c>
      <c r="WP221" s="727">
        <v>2206.8128000000002</v>
      </c>
      <c r="WQ221" s="727">
        <v>2198.2579000000001</v>
      </c>
      <c r="WR221" s="727">
        <v>2254.2388999999998</v>
      </c>
      <c r="WS221" s="727">
        <v>2283.1795999999999</v>
      </c>
      <c r="WT221" s="727">
        <v>2298.6095999999998</v>
      </c>
      <c r="WU221" s="727">
        <v>2035.5024000000001</v>
      </c>
      <c r="WV221" s="727">
        <v>2300.0594000000001</v>
      </c>
      <c r="WW221" s="727">
        <v>2352.4431</v>
      </c>
      <c r="WX221" s="727">
        <v>2328.9180000000001</v>
      </c>
      <c r="WY221" s="727">
        <v>2265.4088000000002</v>
      </c>
      <c r="WZ221" s="727">
        <v>2204.7249999999999</v>
      </c>
      <c r="XA221" s="727">
        <v>2031.1516999999999</v>
      </c>
      <c r="XB221" s="727">
        <v>2034.3515</v>
      </c>
      <c r="XC221" s="727">
        <v>2095.7678999999998</v>
      </c>
      <c r="XD221" s="727">
        <v>2224.7748000000001</v>
      </c>
      <c r="XE221" s="727">
        <v>2271.3136</v>
      </c>
      <c r="XF221" s="727">
        <v>2323.8027000000002</v>
      </c>
      <c r="XG221" s="727">
        <v>2319.7507000000001</v>
      </c>
      <c r="XH221" s="727">
        <v>2752.3283000000001</v>
      </c>
      <c r="XI221" s="727">
        <v>2570.433</v>
      </c>
      <c r="XJ221" s="727">
        <v>2620.4985999999999</v>
      </c>
      <c r="XK221" s="727">
        <v>2377.5203999999999</v>
      </c>
      <c r="XL221" s="727">
        <v>2239.3008</v>
      </c>
      <c r="XM221" s="727">
        <v>2302.2876999999999</v>
      </c>
      <c r="XN221" s="727">
        <v>2311.2541999999999</v>
      </c>
      <c r="XO221" s="727">
        <v>2438.5073000000002</v>
      </c>
      <c r="XP221" s="727">
        <v>2349.0990999999999</v>
      </c>
      <c r="XQ221" s="727">
        <v>2311.1622000000002</v>
      </c>
      <c r="XR221" s="727">
        <v>2383.2015000000001</v>
      </c>
      <c r="XS221" s="727">
        <v>2230.6804999999999</v>
      </c>
      <c r="XT221" s="727">
        <v>2222.5895999999998</v>
      </c>
      <c r="XU221" s="727">
        <v>2288.2873</v>
      </c>
      <c r="XV221" s="727">
        <v>2280.2703000000001</v>
      </c>
      <c r="XW221" s="727">
        <v>2275.6408000000001</v>
      </c>
      <c r="XX221" s="727">
        <v>2355.973</v>
      </c>
      <c r="XY221" s="727">
        <v>2156.6565999999998</v>
      </c>
      <c r="XZ221" s="727">
        <v>2363.9524000000001</v>
      </c>
      <c r="YA221" s="727">
        <v>2334.4520000000002</v>
      </c>
      <c r="YB221" s="727">
        <v>2246.9209000000001</v>
      </c>
      <c r="YC221" s="727">
        <v>2348.5012000000002</v>
      </c>
      <c r="YD221" s="727">
        <v>2230.4276</v>
      </c>
      <c r="YE221" s="727">
        <v>2272.9758000000002</v>
      </c>
      <c r="YF221" s="727">
        <v>2407.2294000000002</v>
      </c>
      <c r="YG221" s="727">
        <v>2414.4416999999999</v>
      </c>
      <c r="YH221" s="727">
        <v>2544.4430000000002</v>
      </c>
      <c r="YI221" s="727">
        <v>2537.9650000000001</v>
      </c>
      <c r="YJ221" s="727">
        <v>2682.3451</v>
      </c>
      <c r="YK221" s="727">
        <v>2563.1628000000001</v>
      </c>
      <c r="YL221" s="727">
        <v>2292.3182000000002</v>
      </c>
      <c r="YM221" s="727">
        <v>2458.0421999999999</v>
      </c>
      <c r="YN221" s="727">
        <v>2456.8422</v>
      </c>
      <c r="YO221" s="727">
        <v>2425.6084999999998</v>
      </c>
      <c r="YP221" s="727">
        <v>2417.9906000000001</v>
      </c>
      <c r="YQ221" s="727">
        <v>2678.6984000000002</v>
      </c>
      <c r="YR221" s="727">
        <v>2445.2361000000001</v>
      </c>
      <c r="YS221" s="727">
        <v>2659.2763</v>
      </c>
      <c r="YT221" s="727">
        <v>2255.3703999999998</v>
      </c>
      <c r="YU221" s="727">
        <v>2455.6997000000001</v>
      </c>
      <c r="YV221" s="727">
        <v>2583.5014999999999</v>
      </c>
      <c r="YW221" s="727">
        <v>2402.7892000000002</v>
      </c>
      <c r="YX221" s="727">
        <v>2441.9371000000001</v>
      </c>
      <c r="YY221" s="727">
        <v>2504.2739000000001</v>
      </c>
      <c r="YZ221" s="727">
        <v>2496.2975000000001</v>
      </c>
      <c r="ZA221" s="727">
        <v>2814.9245999999998</v>
      </c>
      <c r="ZB221" s="727">
        <v>2308.2507000000001</v>
      </c>
      <c r="ZC221" s="727">
        <v>2599.0027</v>
      </c>
      <c r="ZD221" s="727">
        <v>2574.9962</v>
      </c>
      <c r="ZE221" s="727">
        <v>2300.5122000000001</v>
      </c>
      <c r="ZF221" s="727">
        <v>2422.9479999999999</v>
      </c>
      <c r="ZG221" s="727">
        <v>2527.2604999999999</v>
      </c>
      <c r="ZH221" s="727">
        <v>2334.6401999999998</v>
      </c>
      <c r="ZI221" s="727">
        <v>2442.2328000000002</v>
      </c>
      <c r="ZJ221" s="727">
        <v>2338.3991999999998</v>
      </c>
      <c r="ZK221" s="727">
        <v>2635.7449000000001</v>
      </c>
      <c r="ZL221" s="727">
        <v>2551.2246</v>
      </c>
      <c r="ZM221" s="727">
        <v>2501.4463999999998</v>
      </c>
      <c r="ZN221" s="727">
        <v>2321.3775999999998</v>
      </c>
      <c r="ZO221" s="727">
        <v>2576.6844000000001</v>
      </c>
      <c r="ZP221" s="727">
        <v>2628.1705000000002</v>
      </c>
      <c r="ZQ221" s="727">
        <v>2509.8472000000002</v>
      </c>
      <c r="ZR221" s="727">
        <v>2404.3874000000001</v>
      </c>
      <c r="ZS221" s="727">
        <v>2299.6154999999999</v>
      </c>
      <c r="ZT221" s="727">
        <v>2266.2012</v>
      </c>
      <c r="ZU221" s="727">
        <v>2357.5693000000001</v>
      </c>
      <c r="ZV221" s="727">
        <v>2316.0183999999999</v>
      </c>
      <c r="ZW221" s="727">
        <v>2505.7846</v>
      </c>
      <c r="ZX221" s="727">
        <v>2457.0169000000001</v>
      </c>
      <c r="ZY221" s="727">
        <v>2464.1695</v>
      </c>
      <c r="ZZ221" s="727">
        <v>2472.5327000000002</v>
      </c>
      <c r="AAA221" s="727">
        <v>2287.4748</v>
      </c>
      <c r="AAB221" s="727">
        <v>2139.8836000000001</v>
      </c>
      <c r="AAC221" s="727">
        <v>2257.3467000000001</v>
      </c>
      <c r="AAD221" s="727">
        <v>2323.1152000000002</v>
      </c>
      <c r="AAE221" s="727">
        <v>2377.5864000000001</v>
      </c>
      <c r="AAF221" s="727">
        <v>2186.598</v>
      </c>
      <c r="AAG221" s="727">
        <v>2351.0502000000001</v>
      </c>
      <c r="AAH221" s="727">
        <v>1983.1658</v>
      </c>
      <c r="AAI221" s="727">
        <v>2167.9524000000001</v>
      </c>
      <c r="AAJ221" s="727">
        <v>2321.8807000000002</v>
      </c>
      <c r="AAK221" s="727">
        <v>2161.9454000000001</v>
      </c>
      <c r="AAL221" s="727">
        <v>2280.2015000000001</v>
      </c>
      <c r="AAM221" s="727">
        <v>2042.6069</v>
      </c>
      <c r="AAN221" s="727">
        <v>2066.2723000000001</v>
      </c>
      <c r="AAO221" s="727">
        <v>1886.8496</v>
      </c>
      <c r="AAP221" s="727">
        <v>1878.4499000000001</v>
      </c>
      <c r="AAQ221" s="727">
        <v>2053.2959999999998</v>
      </c>
      <c r="AAR221" s="727">
        <v>2024.9953</v>
      </c>
      <c r="AAS221" s="727">
        <v>2114.3085999999998</v>
      </c>
      <c r="AAT221" s="727">
        <v>1963.6478999999999</v>
      </c>
      <c r="AAU221" s="727">
        <v>1907.8317</v>
      </c>
      <c r="AAV221" s="727">
        <v>2008.5479</v>
      </c>
      <c r="AAW221" s="727">
        <v>1888.5862999999999</v>
      </c>
      <c r="AAX221" s="727">
        <v>2073.7280999999998</v>
      </c>
      <c r="AAY221" s="727">
        <v>2031.5284999999999</v>
      </c>
      <c r="AAZ221" s="727">
        <v>2006.2485999999999</v>
      </c>
      <c r="ABA221" s="727">
        <v>1903.1116999999999</v>
      </c>
      <c r="ABB221" s="727">
        <v>1912.5650000000001</v>
      </c>
      <c r="ABC221" s="727">
        <v>2041.5315000000001</v>
      </c>
      <c r="ABD221" s="727">
        <v>2070.9533000000001</v>
      </c>
      <c r="ABE221" s="727">
        <v>1948.2509</v>
      </c>
      <c r="ABF221" s="727">
        <v>2010.0978</v>
      </c>
      <c r="ABG221" s="727">
        <v>1874.3516999999999</v>
      </c>
      <c r="ABH221" s="727">
        <v>1846.4059</v>
      </c>
      <c r="ABI221" s="727">
        <v>1969.6061999999999</v>
      </c>
      <c r="ABJ221" s="727">
        <v>1914.7440999999999</v>
      </c>
      <c r="ABK221" s="727">
        <v>2025.8173999999999</v>
      </c>
      <c r="ABL221" s="727">
        <v>2088.7678000000001</v>
      </c>
      <c r="ABM221" s="727">
        <v>2121.2159000000001</v>
      </c>
      <c r="ABN221" s="727">
        <v>2035.8173999999999</v>
      </c>
      <c r="ABO221" s="727">
        <v>2070.9079999999999</v>
      </c>
      <c r="ABP221" s="727">
        <v>1889.9340999999999</v>
      </c>
      <c r="ABQ221" s="727">
        <v>1911.7523000000001</v>
      </c>
      <c r="ABR221" s="727">
        <v>1850.0322000000001</v>
      </c>
      <c r="ABS221" s="727">
        <v>2039.2743</v>
      </c>
      <c r="ABT221" s="727">
        <v>1950.0953</v>
      </c>
      <c r="ABU221" s="727">
        <v>1941.9009000000001</v>
      </c>
      <c r="ABV221" s="727">
        <v>1917.9213</v>
      </c>
      <c r="ABW221" s="727">
        <v>1895.1957</v>
      </c>
      <c r="ABX221" s="727">
        <v>2001.1729</v>
      </c>
      <c r="ABY221" s="727">
        <v>2271.8852000000002</v>
      </c>
      <c r="ABZ221" s="727">
        <v>2216.5322000000001</v>
      </c>
      <c r="ACA221" s="727">
        <v>1852.0675000000001</v>
      </c>
      <c r="ACB221" s="727">
        <v>1861.9007999999999</v>
      </c>
      <c r="ACC221" s="727">
        <v>1956.3297</v>
      </c>
      <c r="ACD221" s="727">
        <v>1988.57</v>
      </c>
      <c r="ACE221" s="727">
        <v>1925.6039000000001</v>
      </c>
      <c r="ACF221" s="727">
        <v>1846.1545000000001</v>
      </c>
      <c r="ACG221" s="727">
        <v>1932.5689</v>
      </c>
      <c r="ACH221" s="727">
        <v>2129.2487000000001</v>
      </c>
      <c r="ACI221" s="727">
        <v>2154.2829999999999</v>
      </c>
      <c r="ACJ221" s="727">
        <v>2099.4938000000002</v>
      </c>
      <c r="ACK221" s="727">
        <v>1952.1063999999999</v>
      </c>
      <c r="ACL221" s="727">
        <v>2058.5142000000001</v>
      </c>
      <c r="ACM221" s="727">
        <v>1919.1262999999999</v>
      </c>
      <c r="ACN221" s="727">
        <v>1971.0364999999999</v>
      </c>
      <c r="ACO221" s="727">
        <v>1967.4947999999999</v>
      </c>
      <c r="ACP221" s="727">
        <v>2058.1596</v>
      </c>
      <c r="ACQ221" s="727">
        <v>2106.2730000000001</v>
      </c>
      <c r="ACR221" s="727">
        <v>2139.3148000000001</v>
      </c>
      <c r="ACS221" s="727">
        <v>1786.2086999999999</v>
      </c>
      <c r="ACT221" s="727">
        <v>2058.9340000000002</v>
      </c>
      <c r="ACU221" s="727">
        <v>2050.2651999999998</v>
      </c>
      <c r="ACV221" s="727">
        <v>2020.6216999999999</v>
      </c>
      <c r="ACW221" s="727">
        <v>2098.8645999999999</v>
      </c>
      <c r="ACX221" s="727">
        <v>2095.2015000000001</v>
      </c>
      <c r="ACY221" s="727">
        <v>2017.2239</v>
      </c>
      <c r="ACZ221" s="727">
        <v>2145.1484999999998</v>
      </c>
      <c r="ADA221" s="727">
        <v>2041.2106000000001</v>
      </c>
      <c r="ADB221" s="727">
        <v>2133.0066999999999</v>
      </c>
      <c r="ADC221" s="727">
        <v>2160.9456</v>
      </c>
      <c r="ADD221" s="727">
        <v>2007.9404</v>
      </c>
      <c r="ADE221" s="727">
        <v>2198.9949000000001</v>
      </c>
      <c r="ADF221" s="727">
        <v>2374.0196000000001</v>
      </c>
      <c r="ADG221" s="727">
        <v>2247.7817</v>
      </c>
      <c r="ADH221" s="727">
        <v>2212.9038</v>
      </c>
      <c r="ADI221" s="727">
        <v>2185.6704</v>
      </c>
      <c r="ADJ221" s="727">
        <v>2287.6640000000002</v>
      </c>
      <c r="ADK221" s="727">
        <v>2192.6689000000001</v>
      </c>
      <c r="ADL221" s="727">
        <v>2098.8047000000001</v>
      </c>
      <c r="ADM221" s="727">
        <v>2076.6075999999998</v>
      </c>
      <c r="ADN221" s="727">
        <v>2226.5868999999998</v>
      </c>
      <c r="ADO221" s="727">
        <v>2061.8559</v>
      </c>
      <c r="ADP221" s="727">
        <v>2042.6581000000001</v>
      </c>
      <c r="ADQ221" s="727">
        <v>2121.4463000000001</v>
      </c>
      <c r="ADR221" s="727">
        <v>2213.6203999999998</v>
      </c>
      <c r="ADS221" s="727">
        <v>2067.5747999999999</v>
      </c>
      <c r="ADT221" s="727">
        <v>2312.9016000000001</v>
      </c>
      <c r="ADU221" s="727">
        <v>2084.7278000000001</v>
      </c>
      <c r="ADV221" s="727">
        <v>2251.0261</v>
      </c>
      <c r="ADW221" s="727">
        <v>2306.6878999999999</v>
      </c>
      <c r="ADX221" s="727">
        <v>2173.7617</v>
      </c>
      <c r="ADY221" s="727">
        <v>2163.0545000000002</v>
      </c>
      <c r="ADZ221" s="727">
        <v>2223.6509999999998</v>
      </c>
      <c r="AEA221" s="727">
        <v>2109.7763</v>
      </c>
      <c r="AEB221" s="727">
        <v>2159.2950000000001</v>
      </c>
      <c r="AEC221" s="727">
        <v>2200.8899000000001</v>
      </c>
      <c r="AED221" s="727">
        <v>2060.2786000000001</v>
      </c>
      <c r="AEE221" s="727">
        <v>2174.3582999999999</v>
      </c>
      <c r="AEF221" s="727">
        <v>2425.33</v>
      </c>
      <c r="AEG221" s="727">
        <v>2086.0513000000001</v>
      </c>
      <c r="AEH221" s="727">
        <v>2247.0477999999998</v>
      </c>
      <c r="AEI221" s="727">
        <v>2102.8022999999998</v>
      </c>
      <c r="AEJ221" s="727">
        <v>1980.9818</v>
      </c>
      <c r="AEK221" s="727">
        <v>2026.1902</v>
      </c>
      <c r="AEL221" s="727">
        <v>2589.1894000000002</v>
      </c>
      <c r="AEM221" s="727">
        <v>2259.9522000000002</v>
      </c>
      <c r="AEN221" s="727">
        <v>2241.3923</v>
      </c>
      <c r="AEO221" s="727">
        <v>2232.0264999999999</v>
      </c>
      <c r="AEP221" s="727">
        <v>2090.3452000000002</v>
      </c>
      <c r="AEQ221" s="727">
        <v>2289.3188</v>
      </c>
      <c r="AER221" s="727">
        <v>2147.3697000000002</v>
      </c>
      <c r="AES221" s="727">
        <v>1984.2147</v>
      </c>
      <c r="AET221" s="727">
        <v>2332.0457000000001</v>
      </c>
      <c r="AEU221" s="727">
        <v>2123.2132000000001</v>
      </c>
      <c r="AEV221" s="727">
        <v>2189.4169000000002</v>
      </c>
      <c r="AEW221" s="727">
        <v>2108.5884999999998</v>
      </c>
      <c r="AEX221" s="727">
        <v>2072.4652000000001</v>
      </c>
      <c r="AEY221" s="727">
        <v>2247.4627</v>
      </c>
      <c r="AEZ221" s="727">
        <v>2186.5671000000002</v>
      </c>
      <c r="AFA221" s="727">
        <v>2139.7653</v>
      </c>
      <c r="AFB221" s="727">
        <v>2209.0151000000001</v>
      </c>
      <c r="AFC221" s="727">
        <v>2206.8377</v>
      </c>
      <c r="AFD221" s="727">
        <v>2269.9648999999999</v>
      </c>
      <c r="AFE221" s="727">
        <v>2316.1993000000002</v>
      </c>
      <c r="AFF221" s="727">
        <v>2179.6961000000001</v>
      </c>
      <c r="AFG221" s="727">
        <v>2301.0255999999999</v>
      </c>
      <c r="AFH221" s="727">
        <v>2293.9582999999998</v>
      </c>
      <c r="AFI221" s="727">
        <v>2263.7687999999998</v>
      </c>
      <c r="AFJ221" s="727">
        <v>2301.0282000000002</v>
      </c>
      <c r="AFK221" s="727">
        <v>2123.8764999999999</v>
      </c>
      <c r="AFL221" s="727">
        <v>2158.3361</v>
      </c>
      <c r="AFM221" s="727">
        <v>2256.3559</v>
      </c>
      <c r="AFN221" s="727">
        <v>2116.3526999999999</v>
      </c>
      <c r="AFO221" s="727">
        <v>2304.8499000000002</v>
      </c>
      <c r="AFP221" s="727">
        <v>2198.6655999999998</v>
      </c>
      <c r="AFQ221" s="727">
        <v>2117.8528999999999</v>
      </c>
      <c r="AFR221" s="727">
        <v>2222.8355000000001</v>
      </c>
      <c r="AFS221" s="727">
        <v>2237.4375</v>
      </c>
      <c r="AFT221" s="727">
        <v>2233.7420999999999</v>
      </c>
      <c r="AFU221" s="727">
        <v>2194.3688000000002</v>
      </c>
      <c r="AFV221" s="727">
        <v>2245.0488</v>
      </c>
      <c r="AFW221" s="727">
        <v>2389.5475999999999</v>
      </c>
      <c r="AFX221" s="727">
        <v>2215.9476</v>
      </c>
      <c r="AFY221" s="727">
        <v>2338.6772000000001</v>
      </c>
      <c r="AFZ221" s="727">
        <v>1998.0201</v>
      </c>
      <c r="AGA221" s="727">
        <v>2025.1126999999999</v>
      </c>
      <c r="AGB221" s="727">
        <v>2307.5590000000002</v>
      </c>
      <c r="AGC221" s="727">
        <v>2006.7360000000001</v>
      </c>
      <c r="AGD221" s="727">
        <v>1934.9095</v>
      </c>
      <c r="AGE221" s="727">
        <v>1971.6164000000001</v>
      </c>
      <c r="AGF221" s="727">
        <v>1928.4006999999999</v>
      </c>
      <c r="AGG221" s="727">
        <v>2179.8317000000002</v>
      </c>
      <c r="AGH221" s="727">
        <v>2128.5565999999999</v>
      </c>
      <c r="AGI221" s="727">
        <v>1920.2401</v>
      </c>
      <c r="AGJ221" s="727">
        <v>1929.9349</v>
      </c>
      <c r="AGK221" s="727">
        <v>1844.8572999999999</v>
      </c>
      <c r="AGL221" s="727">
        <v>1870.3005000000001</v>
      </c>
      <c r="AGM221" s="727">
        <v>1929.5980999999999</v>
      </c>
      <c r="AGN221" s="727">
        <v>1937.4429</v>
      </c>
      <c r="AGO221" s="727">
        <v>2002.085</v>
      </c>
      <c r="AGP221" s="727">
        <v>1943.1590000000001</v>
      </c>
      <c r="AGQ221" s="727">
        <v>2112.1610999999998</v>
      </c>
      <c r="AGR221" s="727">
        <v>1914.3860999999999</v>
      </c>
      <c r="AGS221" s="727">
        <v>1895.6985</v>
      </c>
      <c r="AGT221" s="727">
        <v>1909.2725</v>
      </c>
      <c r="AGU221" s="727">
        <v>1907.8792000000001</v>
      </c>
      <c r="AGV221" s="727">
        <v>1893.1001000000001</v>
      </c>
      <c r="AGW221" s="727">
        <v>1890.0036</v>
      </c>
      <c r="AGX221" s="727">
        <v>1966.7627</v>
      </c>
      <c r="AGY221" s="727">
        <v>1846.4733000000001</v>
      </c>
      <c r="AGZ221" s="727">
        <v>1941.9168</v>
      </c>
      <c r="AHA221" s="727">
        <v>1922.5992000000001</v>
      </c>
      <c r="AHB221" s="727">
        <v>1945.3666000000001</v>
      </c>
      <c r="AHC221" s="727">
        <v>1976.8956000000001</v>
      </c>
      <c r="AHD221" s="727">
        <v>1987.9241999999999</v>
      </c>
      <c r="AHE221" s="727">
        <v>1948.9715000000001</v>
      </c>
      <c r="AHF221" s="727">
        <v>1966.7596000000001</v>
      </c>
      <c r="AHG221" s="727">
        <v>1972.3308</v>
      </c>
      <c r="AHH221" s="727">
        <v>2022.5716</v>
      </c>
      <c r="AHI221" s="727">
        <v>1960.0315000000001</v>
      </c>
      <c r="AHJ221" s="727">
        <v>1901.7370000000001</v>
      </c>
      <c r="AHK221" s="727">
        <v>2143.3618999999999</v>
      </c>
      <c r="AHL221" s="727">
        <v>1974.0997</v>
      </c>
      <c r="AHM221" s="727">
        <v>1931.6388999999999</v>
      </c>
      <c r="AHN221" s="727">
        <v>2155.8226</v>
      </c>
      <c r="AHO221" s="727">
        <v>2127.9132</v>
      </c>
      <c r="AHP221" s="727">
        <v>2147.3393000000001</v>
      </c>
      <c r="AHQ221" s="727">
        <v>2020.0733</v>
      </c>
      <c r="AHR221" s="727">
        <v>2054.9870000000001</v>
      </c>
      <c r="AHS221" s="727">
        <v>2021.8241</v>
      </c>
      <c r="AHT221" s="727">
        <v>1965.3726999999999</v>
      </c>
      <c r="AHU221" s="727">
        <v>2056.8793999999998</v>
      </c>
      <c r="AHV221" s="727">
        <v>2043.6839</v>
      </c>
      <c r="AHW221" s="727">
        <v>2042.3565000000001</v>
      </c>
      <c r="AHX221" s="727">
        <v>2105.5381000000002</v>
      </c>
      <c r="AHY221" s="727">
        <v>1976.8263999999999</v>
      </c>
      <c r="AHZ221" s="727">
        <v>2035.3132000000001</v>
      </c>
      <c r="AIA221" s="727">
        <v>2016.0325</v>
      </c>
      <c r="AIB221" s="727">
        <v>1960.6244999999999</v>
      </c>
      <c r="AIC221" s="727">
        <v>2051.2779</v>
      </c>
      <c r="AID221" s="727">
        <v>2127.1545000000001</v>
      </c>
      <c r="AIE221" s="727">
        <v>1979.8444</v>
      </c>
      <c r="AIF221" s="727">
        <v>2078.0356999999999</v>
      </c>
      <c r="AIG221" s="727">
        <v>2130.6194999999998</v>
      </c>
      <c r="AIH221" s="727">
        <v>2165.8159000000001</v>
      </c>
      <c r="AII221" s="727">
        <v>2084.8825999999999</v>
      </c>
      <c r="AIJ221" s="727">
        <v>2054.4178000000002</v>
      </c>
      <c r="AIK221" s="727">
        <v>2225.6066000000001</v>
      </c>
      <c r="AIL221" s="727">
        <v>2094.3074000000001</v>
      </c>
      <c r="AIM221" s="727">
        <v>2157.1170000000002</v>
      </c>
      <c r="AIN221" s="727">
        <v>2159.8744999999999</v>
      </c>
      <c r="AIO221" s="727">
        <v>2004.0220999999999</v>
      </c>
      <c r="AIP221" s="727">
        <v>2065.7141000000001</v>
      </c>
      <c r="AIQ221" s="727">
        <v>1918.423</v>
      </c>
      <c r="AIR221" s="727">
        <v>2292.9769000000001</v>
      </c>
      <c r="AIS221" s="727">
        <v>1930.9866999999999</v>
      </c>
      <c r="AIT221" s="727">
        <v>2090.0268000000001</v>
      </c>
      <c r="AIU221" s="727">
        <v>2128.9319999999998</v>
      </c>
      <c r="AIV221" s="727">
        <v>2002.0577000000001</v>
      </c>
      <c r="AIW221" s="727">
        <v>2005.7679000000001</v>
      </c>
      <c r="AIX221" s="727">
        <v>1969.2630999999999</v>
      </c>
      <c r="AIY221" s="727">
        <v>1977.9293</v>
      </c>
      <c r="AIZ221" s="727">
        <v>1928.1891000000001</v>
      </c>
      <c r="AJA221" s="727">
        <v>1933.3208999999999</v>
      </c>
      <c r="AJB221" s="727">
        <v>1960.6331</v>
      </c>
      <c r="AJC221" s="727">
        <v>1978.8955000000001</v>
      </c>
      <c r="AJD221" s="727">
        <v>1880.779</v>
      </c>
      <c r="AJE221" s="727">
        <v>1890.8915999999999</v>
      </c>
      <c r="AJF221" s="727">
        <v>1903.6709000000001</v>
      </c>
      <c r="AJG221" s="727">
        <v>1932.4471000000001</v>
      </c>
      <c r="AJH221" s="727">
        <v>1869.3071</v>
      </c>
      <c r="AJI221" s="727">
        <v>1841.4756</v>
      </c>
      <c r="AJJ221" s="727">
        <v>1892.1513</v>
      </c>
      <c r="AJK221" s="727">
        <v>1804.4333999999999</v>
      </c>
      <c r="AJL221" s="727">
        <v>1912.4690000000001</v>
      </c>
      <c r="AJM221" s="727">
        <v>1933.3671999999999</v>
      </c>
      <c r="AJN221" s="727">
        <v>1925.9254000000001</v>
      </c>
      <c r="AJO221" s="727">
        <v>1962.8015</v>
      </c>
      <c r="AJP221" s="727">
        <v>1893.2005999999999</v>
      </c>
      <c r="AJQ221" s="727">
        <v>2020.1811</v>
      </c>
      <c r="AJR221" s="727">
        <v>1992.4621</v>
      </c>
      <c r="AJS221" s="727">
        <v>1940.5225</v>
      </c>
      <c r="AJT221" s="727">
        <v>1885.0038</v>
      </c>
      <c r="AJU221" s="727">
        <v>1925.9135000000001</v>
      </c>
      <c r="AJV221" s="727">
        <v>1914.0319</v>
      </c>
      <c r="AJW221" s="727">
        <v>1923.1269</v>
      </c>
      <c r="AJX221" s="727">
        <v>1831.6025</v>
      </c>
      <c r="AJY221" s="727">
        <v>1915.7588000000001</v>
      </c>
      <c r="AJZ221" s="727">
        <v>1901.3557000000001</v>
      </c>
      <c r="AKA221" s="727">
        <v>1909.9341999999999</v>
      </c>
      <c r="AKB221" s="727">
        <v>1919.0966000000001</v>
      </c>
      <c r="AKC221" s="727">
        <v>1903.9093</v>
      </c>
      <c r="AKD221" s="727">
        <v>1865.3824999999999</v>
      </c>
      <c r="AKE221" s="727">
        <v>1869.0938000000001</v>
      </c>
      <c r="AKF221" s="727">
        <v>1924.1215</v>
      </c>
      <c r="AKG221" s="727">
        <v>1900.8593000000001</v>
      </c>
      <c r="AKH221" s="727">
        <v>1884.7773999999999</v>
      </c>
      <c r="AKI221" s="727">
        <v>1880.5844</v>
      </c>
      <c r="AKJ221" s="727">
        <v>1857.3991000000001</v>
      </c>
      <c r="AKK221" s="727">
        <v>1908.8154</v>
      </c>
      <c r="AKL221" s="727">
        <v>1876.7588000000001</v>
      </c>
      <c r="AKM221" s="727">
        <v>1883.5563999999999</v>
      </c>
      <c r="AKN221" s="727">
        <v>1954.559</v>
      </c>
      <c r="AKO221" s="727">
        <v>2114.0025000000001</v>
      </c>
      <c r="AKP221" s="727">
        <v>2139.3211000000001</v>
      </c>
      <c r="AKQ221" s="727">
        <v>2193.2673</v>
      </c>
      <c r="AKR221" s="727">
        <v>2349.7725</v>
      </c>
      <c r="AKS221" s="727">
        <v>2481.7948000000001</v>
      </c>
      <c r="AKT221" s="727">
        <v>2421.0097000000001</v>
      </c>
      <c r="AKU221" s="727">
        <v>2327.8445000000002</v>
      </c>
      <c r="AKV221" s="727">
        <v>2212.1206000000002</v>
      </c>
      <c r="AKW221" s="727">
        <v>2232.8998000000001</v>
      </c>
      <c r="AKX221" s="727">
        <v>2236.7357999999999</v>
      </c>
      <c r="AKY221" s="727">
        <v>2053.1817000000001</v>
      </c>
      <c r="AKZ221" s="727">
        <v>2085.8303000000001</v>
      </c>
      <c r="ALA221" s="727">
        <v>2312.4528</v>
      </c>
      <c r="ALB221" s="727">
        <v>2519.8152</v>
      </c>
      <c r="ALC221" s="727">
        <v>2455.1251999999999</v>
      </c>
      <c r="ALD221" s="727">
        <v>2753.5761000000002</v>
      </c>
      <c r="ALE221" s="727">
        <v>2551.3054999999999</v>
      </c>
      <c r="ALF221" s="727">
        <v>2601.6441</v>
      </c>
      <c r="ALG221" s="727">
        <v>2858.6307000000002</v>
      </c>
      <c r="ALH221" s="727">
        <v>2813.9081999999999</v>
      </c>
      <c r="ALI221" s="727">
        <v>2950.5810000000001</v>
      </c>
      <c r="ALJ221" s="727">
        <v>3070.6734000000001</v>
      </c>
      <c r="ALK221" s="727">
        <v>2242.5699</v>
      </c>
      <c r="ALL221" s="727">
        <v>2861.3164999999999</v>
      </c>
      <c r="ALM221" s="727">
        <v>2835.3663000000001</v>
      </c>
      <c r="ALN221" s="727">
        <v>3075.9859000000001</v>
      </c>
      <c r="ALO221" s="727">
        <v>2334.0082000000002</v>
      </c>
      <c r="ALP221" s="727">
        <v>3442.0454</v>
      </c>
      <c r="ALQ221" s="727">
        <v>3801.0245</v>
      </c>
      <c r="ALR221" s="727">
        <v>3707.2784999999999</v>
      </c>
      <c r="ALS221" s="727">
        <v>3554.1419000000001</v>
      </c>
      <c r="ALT221" s="727">
        <v>3677.7903000000001</v>
      </c>
      <c r="ALU221" s="727">
        <v>3400.9</v>
      </c>
      <c r="ALV221" s="727">
        <v>3266.0738999999999</v>
      </c>
      <c r="ALW221" s="727">
        <v>4048.0659999999998</v>
      </c>
      <c r="ALX221" s="727">
        <v>2903.4508999999998</v>
      </c>
      <c r="ALY221" s="727">
        <v>3183.0733</v>
      </c>
      <c r="ALZ221" s="727">
        <v>3190.7399</v>
      </c>
      <c r="AMA221" s="727">
        <v>3995.8218999999999</v>
      </c>
      <c r="AMB221" s="727">
        <v>4449.5599000000002</v>
      </c>
      <c r="AMC221" s="727">
        <v>4229.7139999999999</v>
      </c>
      <c r="AMD221" s="727">
        <v>3962.6134999999999</v>
      </c>
      <c r="AME221" s="727">
        <v>4082.1507000000001</v>
      </c>
      <c r="AMF221" s="727">
        <v>3833.1374000000001</v>
      </c>
      <c r="AMG221" s="727">
        <v>4102.3705</v>
      </c>
      <c r="AMH221" s="727">
        <v>3743.4573999999998</v>
      </c>
      <c r="AMI221" s="727">
        <v>3593.2397000000001</v>
      </c>
      <c r="AMJ221" s="727">
        <v>4212.0864000000001</v>
      </c>
      <c r="AMK221" s="732">
        <v>4200.2232999999997</v>
      </c>
    </row>
    <row r="222" spans="2:1025" ht="66" x14ac:dyDescent="0.25">
      <c r="B222" s="737" t="s">
        <v>2893</v>
      </c>
      <c r="C222" s="737" t="s">
        <v>2894</v>
      </c>
      <c r="D222" s="738">
        <v>4585.1413000000002</v>
      </c>
      <c r="E222" s="738">
        <v>1777.8295000000001</v>
      </c>
      <c r="F222" s="738">
        <v>52066.029300000002</v>
      </c>
      <c r="G222" s="738">
        <v>251.93393432003509</v>
      </c>
      <c r="N222" s="730" t="s">
        <v>4900</v>
      </c>
      <c r="O222" s="727">
        <v>237.61611909057012</v>
      </c>
      <c r="P222" s="727">
        <v>446.34082781772616</v>
      </c>
      <c r="Q222" s="727">
        <v>306.55245831338061</v>
      </c>
      <c r="R222" s="727">
        <v>489.61063262108257</v>
      </c>
      <c r="S222" s="727">
        <v>251.93393432003509</v>
      </c>
      <c r="T222" s="727">
        <v>251.93393432003509</v>
      </c>
      <c r="U222" s="727">
        <v>251.93393432003509</v>
      </c>
      <c r="V222" s="727">
        <v>251.93393432003509</v>
      </c>
      <c r="W222" s="727">
        <v>251.93393432003509</v>
      </c>
      <c r="X222" s="727">
        <v>251.93393432003509</v>
      </c>
      <c r="Y222" s="727">
        <v>251.93393432003509</v>
      </c>
      <c r="Z222" s="727">
        <v>251.93393432003509</v>
      </c>
      <c r="AA222" s="727">
        <v>251.93393432003509</v>
      </c>
      <c r="AB222" s="727">
        <v>251.93393432003509</v>
      </c>
      <c r="AC222" s="727">
        <v>251.93393432003509</v>
      </c>
      <c r="AD222" s="727">
        <v>251.93393432003509</v>
      </c>
      <c r="AE222" s="727">
        <v>251.93393432003509</v>
      </c>
      <c r="AF222" s="727">
        <v>251.93393432003509</v>
      </c>
      <c r="AG222" s="727">
        <v>251.93393432003509</v>
      </c>
      <c r="AH222" s="727">
        <v>251.93393432003509</v>
      </c>
      <c r="AI222" s="727">
        <v>251.93393432003509</v>
      </c>
      <c r="AJ222" s="727">
        <v>251.93393432003509</v>
      </c>
      <c r="AK222" s="727">
        <v>251.93393432003509</v>
      </c>
      <c r="AL222" s="727">
        <v>251.93393432003509</v>
      </c>
      <c r="AM222" s="727">
        <v>251.93393432003509</v>
      </c>
      <c r="AN222" s="727">
        <v>251.93393432003509</v>
      </c>
      <c r="AO222" s="727">
        <v>499.59520894476304</v>
      </c>
      <c r="AP222" s="727">
        <v>251.93393432003509</v>
      </c>
      <c r="AQ222" s="727">
        <v>499.59520894476304</v>
      </c>
      <c r="AR222" s="727">
        <v>499.59520894476304</v>
      </c>
      <c r="AS222" s="727">
        <v>499.59520894476304</v>
      </c>
      <c r="AT222" s="727">
        <v>499.59520894476304</v>
      </c>
      <c r="AU222" s="727">
        <v>499.59520894476304</v>
      </c>
      <c r="AV222" s="727">
        <v>499.59520894476304</v>
      </c>
      <c r="AW222" s="727">
        <v>499.59520894476304</v>
      </c>
      <c r="AX222" s="727">
        <v>251.93393432003509</v>
      </c>
      <c r="AY222" s="727">
        <v>499.59520894476304</v>
      </c>
      <c r="AZ222" s="727">
        <v>499.59520894476304</v>
      </c>
      <c r="BA222" s="727">
        <v>499.59520894476304</v>
      </c>
      <c r="BB222" s="727">
        <v>251.93393432003509</v>
      </c>
      <c r="BC222" s="727">
        <v>251.93393432003509</v>
      </c>
      <c r="BD222" s="727">
        <v>499.59520894476304</v>
      </c>
      <c r="BE222" s="727">
        <v>499.59520894476304</v>
      </c>
      <c r="BF222" s="727">
        <v>499.59520894476304</v>
      </c>
      <c r="BG222" s="727">
        <v>499.59520894476304</v>
      </c>
      <c r="BH222" s="727">
        <v>251.93393432003509</v>
      </c>
      <c r="BI222" s="727">
        <v>499.59520894476304</v>
      </c>
      <c r="BJ222" s="727">
        <v>251.93393432003509</v>
      </c>
      <c r="BK222" s="727">
        <v>251.93393432003509</v>
      </c>
      <c r="BL222" s="727">
        <v>251.93393432003509</v>
      </c>
      <c r="BM222" s="727">
        <v>499.59520894476304</v>
      </c>
      <c r="BN222" s="727">
        <v>251.93393432003509</v>
      </c>
      <c r="BO222" s="727">
        <v>251.93393432003509</v>
      </c>
      <c r="BP222" s="727">
        <v>251.93393432003509</v>
      </c>
      <c r="BQ222" s="727">
        <v>251.93393432003509</v>
      </c>
      <c r="BR222" s="727">
        <v>251.93393432003509</v>
      </c>
      <c r="BS222" s="727">
        <v>251.93393432003509</v>
      </c>
      <c r="BT222" s="727">
        <v>251.93393432003509</v>
      </c>
      <c r="BU222" s="727">
        <v>251.93393432003509</v>
      </c>
      <c r="BV222" s="727">
        <v>251.93393432003509</v>
      </c>
      <c r="BW222" s="727">
        <v>251.93393432003509</v>
      </c>
      <c r="BX222" s="727">
        <v>251.93393432003509</v>
      </c>
      <c r="BY222" s="727">
        <v>499.59520894476304</v>
      </c>
      <c r="BZ222" s="727">
        <v>251.93393432003509</v>
      </c>
      <c r="CA222" s="727">
        <v>251.93393432003509</v>
      </c>
      <c r="CB222" s="727">
        <v>251.93393432003509</v>
      </c>
      <c r="CC222" s="727">
        <v>251.93393432003509</v>
      </c>
      <c r="CD222" s="727">
        <v>251.93393432003509</v>
      </c>
      <c r="CE222" s="727">
        <v>251.93393432003509</v>
      </c>
      <c r="CF222" s="727">
        <v>251.93393432003509</v>
      </c>
      <c r="CG222" s="727">
        <v>251.93393432003509</v>
      </c>
      <c r="CH222" s="727">
        <v>251.93393432003509</v>
      </c>
      <c r="CI222" s="727">
        <v>251.93393432003509</v>
      </c>
      <c r="CJ222" s="727">
        <v>251.93393432003509</v>
      </c>
      <c r="CK222" s="727">
        <v>251.93393432003509</v>
      </c>
      <c r="CL222" s="727">
        <v>251.93393432003509</v>
      </c>
      <c r="CM222" s="727">
        <v>251.93393432003509</v>
      </c>
      <c r="CN222" s="727">
        <v>251.93393432003509</v>
      </c>
      <c r="CO222" s="727">
        <v>251.93393432003509</v>
      </c>
      <c r="CP222" s="727">
        <v>251.93393432003509</v>
      </c>
      <c r="CQ222" s="727">
        <v>446.42209074422249</v>
      </c>
      <c r="CR222" s="727">
        <v>446.42209074422249</v>
      </c>
      <c r="CS222" s="727">
        <v>446.42209074422249</v>
      </c>
      <c r="CT222" s="727">
        <v>446.42209074422249</v>
      </c>
      <c r="CU222" s="727">
        <v>446.42209074422249</v>
      </c>
      <c r="CV222" s="727">
        <v>446.42209074422249</v>
      </c>
      <c r="CW222" s="727">
        <v>446.42209074422249</v>
      </c>
      <c r="CX222" s="727">
        <v>446.42209074422249</v>
      </c>
      <c r="CY222" s="727">
        <v>446.42209074422249</v>
      </c>
      <c r="CZ222" s="727">
        <v>446.42209074422249</v>
      </c>
      <c r="DA222" s="727">
        <v>446.42209074422249</v>
      </c>
      <c r="DB222" s="727">
        <v>446.42209074422249</v>
      </c>
      <c r="DC222" s="727">
        <v>446.42209074422249</v>
      </c>
      <c r="DD222" s="727">
        <v>446.42209074422249</v>
      </c>
      <c r="DE222" s="727">
        <v>446.42209074422249</v>
      </c>
      <c r="DF222" s="727">
        <v>446.42209074422249</v>
      </c>
      <c r="DG222" s="727">
        <v>446.42209074422249</v>
      </c>
      <c r="DH222" s="727">
        <v>446.42209074422249</v>
      </c>
      <c r="DI222" s="727">
        <v>446.42209074422249</v>
      </c>
      <c r="DJ222" s="727">
        <v>446.42209074422249</v>
      </c>
      <c r="DK222" s="727">
        <v>446.42209074422249</v>
      </c>
      <c r="DL222" s="727">
        <v>446.42209074422249</v>
      </c>
      <c r="DM222" s="727">
        <v>492.83421322927796</v>
      </c>
      <c r="DN222" s="727">
        <v>356.46862005190007</v>
      </c>
      <c r="DO222" s="727">
        <v>356.46862005190007</v>
      </c>
      <c r="DP222" s="727">
        <v>446.42209074422249</v>
      </c>
      <c r="DQ222" s="727">
        <v>446.42209074422249</v>
      </c>
      <c r="DR222" s="727">
        <v>446.42209074422249</v>
      </c>
      <c r="DS222" s="727">
        <v>446.42209074422249</v>
      </c>
      <c r="DT222" s="727">
        <v>446.42209074422249</v>
      </c>
      <c r="DU222" s="727">
        <v>446.42209074422249</v>
      </c>
      <c r="DV222" s="727">
        <v>446.42209074422249</v>
      </c>
      <c r="DW222" s="727">
        <v>446.42209074422249</v>
      </c>
      <c r="DX222" s="727">
        <v>492.83421322927796</v>
      </c>
      <c r="DY222" s="727">
        <v>492.83421322927796</v>
      </c>
      <c r="DZ222" s="727">
        <v>492.83421322927796</v>
      </c>
      <c r="EA222" s="727">
        <v>446.42209074422249</v>
      </c>
      <c r="EB222" s="727">
        <v>446.42209074422249</v>
      </c>
      <c r="EC222" s="727">
        <v>492.83421322927796</v>
      </c>
      <c r="ED222" s="727">
        <v>492.83421322927796</v>
      </c>
      <c r="EE222" s="727">
        <v>492.83421322927796</v>
      </c>
      <c r="EF222" s="727">
        <v>492.83421322927796</v>
      </c>
      <c r="EG222" s="727">
        <v>492.83421322927796</v>
      </c>
      <c r="EH222" s="727">
        <v>492.83421322927796</v>
      </c>
      <c r="EI222" s="727">
        <v>492.83421322927796</v>
      </c>
      <c r="EJ222" s="727">
        <v>492.83421322927796</v>
      </c>
      <c r="EK222" s="727">
        <v>492.83421322927796</v>
      </c>
      <c r="EL222" s="727">
        <v>492.83421322927796</v>
      </c>
      <c r="EM222" s="727">
        <v>492.83421322927796</v>
      </c>
      <c r="EN222" s="727">
        <v>492.83421322927796</v>
      </c>
      <c r="EO222" s="727">
        <v>492.83421322927796</v>
      </c>
      <c r="EP222" s="727">
        <v>492.83421322927796</v>
      </c>
      <c r="EQ222" s="727">
        <v>492.83421322927796</v>
      </c>
      <c r="ER222" s="727">
        <v>492.83421322927796</v>
      </c>
      <c r="ES222" s="727">
        <v>492.83421322927796</v>
      </c>
      <c r="ET222" s="727">
        <v>492.83421322927796</v>
      </c>
      <c r="EU222" s="727">
        <v>492.83421322927796</v>
      </c>
      <c r="EV222" s="727">
        <v>492.83421322927796</v>
      </c>
      <c r="EW222" s="727">
        <v>492.83421322927796</v>
      </c>
      <c r="EX222" s="727">
        <v>492.83421322927796</v>
      </c>
      <c r="EY222" s="727">
        <v>492.83421322927796</v>
      </c>
      <c r="EZ222" s="727">
        <v>492.83421322927796</v>
      </c>
      <c r="FA222" s="727">
        <v>492.83421322927796</v>
      </c>
      <c r="FB222" s="727">
        <v>492.83421322927796</v>
      </c>
      <c r="FC222" s="727">
        <v>492.83421322927796</v>
      </c>
      <c r="FD222" s="727">
        <v>492.83421322927796</v>
      </c>
      <c r="FE222" s="727">
        <v>492.83421322927796</v>
      </c>
      <c r="FF222" s="727">
        <v>409.33283156992513</v>
      </c>
      <c r="FG222" s="727">
        <v>559.25496480859351</v>
      </c>
      <c r="FH222" s="727">
        <v>409.33283156992513</v>
      </c>
      <c r="FI222" s="727">
        <v>409.33283156992513</v>
      </c>
      <c r="FJ222" s="727">
        <v>409.33283156992513</v>
      </c>
      <c r="FK222" s="727">
        <v>559.25496480859351</v>
      </c>
      <c r="FL222" s="727">
        <v>495.05453300292947</v>
      </c>
      <c r="FM222" s="727">
        <v>495.05453300292947</v>
      </c>
      <c r="FN222" s="727">
        <v>492.83421322927796</v>
      </c>
      <c r="FO222" s="727">
        <v>409.33283156992513</v>
      </c>
      <c r="FP222" s="727">
        <v>409.33283156992513</v>
      </c>
      <c r="FQ222" s="727">
        <v>409.33283156992513</v>
      </c>
      <c r="FR222" s="727">
        <v>409.33283156992513</v>
      </c>
      <c r="FS222" s="727">
        <v>409.33283156992513</v>
      </c>
      <c r="FT222" s="727">
        <v>409.33283156992513</v>
      </c>
      <c r="FU222" s="727">
        <v>409.33283156992513</v>
      </c>
      <c r="FV222" s="727">
        <v>409.33283156992513</v>
      </c>
      <c r="FW222" s="727">
        <v>559.25496480859351</v>
      </c>
      <c r="FX222" s="727">
        <v>409.33283156992513</v>
      </c>
      <c r="FY222" s="727">
        <v>409.33283156992513</v>
      </c>
      <c r="FZ222" s="727">
        <v>446.34082781772616</v>
      </c>
      <c r="GA222" s="727">
        <v>446.34082781772616</v>
      </c>
      <c r="GB222" s="727">
        <v>446.34082781772616</v>
      </c>
      <c r="GC222" s="727">
        <v>446.34082781772616</v>
      </c>
      <c r="GD222" s="727">
        <v>446.34082781772616</v>
      </c>
      <c r="GE222" s="727">
        <v>446.34082781772616</v>
      </c>
      <c r="GF222" s="727">
        <v>409.33283156992513</v>
      </c>
      <c r="GG222" s="727">
        <v>446.34082781772616</v>
      </c>
      <c r="GH222" s="727">
        <v>559.25496480859351</v>
      </c>
      <c r="GI222" s="727">
        <v>559.25496480859351</v>
      </c>
      <c r="GJ222" s="727">
        <v>559.25496480859351</v>
      </c>
      <c r="GK222" s="727">
        <v>559.25496480859351</v>
      </c>
      <c r="GL222" s="727">
        <v>409.33283156992513</v>
      </c>
      <c r="GM222" s="727">
        <v>559.25496480859351</v>
      </c>
      <c r="GN222" s="727">
        <v>446.34082781772616</v>
      </c>
      <c r="GO222" s="727">
        <v>446.34082781772616</v>
      </c>
      <c r="GP222" s="727">
        <v>446.34082781772616</v>
      </c>
      <c r="GQ222" s="727">
        <v>446.34082781772616</v>
      </c>
      <c r="GR222" s="727">
        <v>446.34082781772616</v>
      </c>
      <c r="GS222" s="727">
        <v>446.34082781772616</v>
      </c>
      <c r="GT222" s="727">
        <v>446.34082781772616</v>
      </c>
      <c r="GU222" s="727">
        <v>446.34082781772616</v>
      </c>
      <c r="GV222" s="727">
        <v>446.34082781772616</v>
      </c>
      <c r="GW222" s="727">
        <v>446.34082781772616</v>
      </c>
      <c r="GX222" s="727">
        <v>446.34082781772616</v>
      </c>
      <c r="GY222" s="727">
        <v>446.34082781772616</v>
      </c>
      <c r="GZ222" s="727">
        <v>446.34082781772616</v>
      </c>
      <c r="HA222" s="727">
        <v>446.34082781772616</v>
      </c>
      <c r="HB222" s="727">
        <v>446.34082781772616</v>
      </c>
      <c r="HC222" s="727">
        <v>446.34082781772616</v>
      </c>
      <c r="HD222" s="727">
        <v>446.34082781772616</v>
      </c>
      <c r="HE222" s="727">
        <v>446.34082781772616</v>
      </c>
      <c r="HF222" s="727">
        <v>446.34082781772616</v>
      </c>
      <c r="HG222" s="727">
        <v>446.34082781772616</v>
      </c>
      <c r="HH222" s="727">
        <v>446.34082781772616</v>
      </c>
      <c r="HI222" s="727">
        <v>446.34082781772616</v>
      </c>
      <c r="HJ222" s="727">
        <v>446.34082781772616</v>
      </c>
      <c r="HK222" s="727">
        <v>446.34082781772616</v>
      </c>
      <c r="HL222" s="727">
        <v>446.34082781772616</v>
      </c>
      <c r="HM222" s="727">
        <v>446.34082781772616</v>
      </c>
      <c r="HN222" s="727">
        <v>446.34082781772616</v>
      </c>
      <c r="HO222" s="727">
        <v>446.34082781772616</v>
      </c>
      <c r="HP222" s="727">
        <v>446.34082781772616</v>
      </c>
      <c r="HQ222" s="727">
        <v>446.34082781772616</v>
      </c>
      <c r="HR222" s="727">
        <v>446.34082781772616</v>
      </c>
      <c r="HS222" s="727">
        <v>446.34082781772616</v>
      </c>
      <c r="HT222" s="727">
        <v>446.34082781772616</v>
      </c>
      <c r="HU222" s="727">
        <v>446.34082781772616</v>
      </c>
      <c r="HV222" s="727">
        <v>446.34082781772616</v>
      </c>
      <c r="HW222" s="727">
        <v>446.34082781772616</v>
      </c>
      <c r="HX222" s="727">
        <v>446.34082781772616</v>
      </c>
      <c r="HY222" s="727">
        <v>446.34082781772616</v>
      </c>
      <c r="HZ222" s="727">
        <v>446.34082781772616</v>
      </c>
      <c r="IA222" s="727">
        <v>446.34082781772616</v>
      </c>
      <c r="IB222" s="727">
        <v>559.25496480859351</v>
      </c>
      <c r="IC222" s="727">
        <v>446.34082781772616</v>
      </c>
      <c r="ID222" s="727">
        <v>446.34082781772616</v>
      </c>
      <c r="IE222" s="727">
        <v>446.34082781772616</v>
      </c>
      <c r="IF222" s="727">
        <v>446.34082781772616</v>
      </c>
      <c r="IG222" s="727">
        <v>559.25496480859351</v>
      </c>
      <c r="IH222" s="727">
        <v>559.25496480859351</v>
      </c>
      <c r="II222" s="727">
        <v>489.61063262108257</v>
      </c>
      <c r="IJ222" s="727">
        <v>559.25496480859351</v>
      </c>
      <c r="IK222" s="727">
        <v>559.25496480859351</v>
      </c>
      <c r="IL222" s="727">
        <v>559.25496480859351</v>
      </c>
      <c r="IM222" s="727">
        <v>489.61063262108257</v>
      </c>
      <c r="IN222" s="727">
        <v>489.61063262108257</v>
      </c>
      <c r="IO222" s="727">
        <v>489.61063262108257</v>
      </c>
      <c r="IP222" s="727">
        <v>489.61063262108257</v>
      </c>
      <c r="IQ222" s="727">
        <v>489.61063262108257</v>
      </c>
      <c r="IR222" s="727">
        <v>489.61063262108257</v>
      </c>
      <c r="IS222" s="727">
        <v>489.61063262108257</v>
      </c>
      <c r="IT222" s="727">
        <v>489.61063262108257</v>
      </c>
      <c r="IU222" s="727">
        <v>489.61063262108257</v>
      </c>
      <c r="IV222" s="727">
        <v>489.61063262108257</v>
      </c>
      <c r="IW222" s="727">
        <v>489.61063262108257</v>
      </c>
      <c r="IX222" s="727">
        <v>489.61063262108257</v>
      </c>
      <c r="IY222" s="727">
        <v>489.61063262108257</v>
      </c>
      <c r="IZ222" s="727">
        <v>489.61063262108257</v>
      </c>
      <c r="JA222" s="727">
        <v>237.61611909057012</v>
      </c>
      <c r="JB222" s="727">
        <v>237.61611909057012</v>
      </c>
      <c r="JC222" s="727">
        <v>237.61611909057012</v>
      </c>
      <c r="JD222" s="727">
        <v>237.61611909057012</v>
      </c>
      <c r="JE222" s="727">
        <v>237.61611909057012</v>
      </c>
      <c r="JF222" s="727">
        <v>237.61611909057012</v>
      </c>
      <c r="JG222" s="727">
        <v>237.61611909057012</v>
      </c>
      <c r="JH222" s="727">
        <v>237.61611909057012</v>
      </c>
      <c r="JI222" s="727">
        <v>237.61611909057012</v>
      </c>
      <c r="JJ222" s="727">
        <v>237.61611909057012</v>
      </c>
      <c r="JK222" s="727">
        <v>237.61611909057012</v>
      </c>
      <c r="JL222" s="727">
        <v>237.61611909057012</v>
      </c>
      <c r="JM222" s="727">
        <v>237.61611909057012</v>
      </c>
      <c r="JN222" s="727">
        <v>237.61611909057012</v>
      </c>
      <c r="JO222" s="727">
        <v>237.61611909057012</v>
      </c>
      <c r="JP222" s="727">
        <v>237.61611909057012</v>
      </c>
      <c r="JQ222" s="727">
        <v>237.61611909057012</v>
      </c>
      <c r="JR222" s="727">
        <v>237.61611909057012</v>
      </c>
      <c r="JS222" s="727">
        <v>237.61611909057012</v>
      </c>
      <c r="JT222" s="727">
        <v>237.61611909057012</v>
      </c>
      <c r="JU222" s="727">
        <v>237.61611909057012</v>
      </c>
      <c r="JV222" s="727">
        <v>356.46862005190007</v>
      </c>
      <c r="JW222" s="727">
        <v>356.46862005190007</v>
      </c>
      <c r="JX222" s="727">
        <v>356.46862005190007</v>
      </c>
      <c r="JY222" s="727">
        <v>356.46862005190007</v>
      </c>
      <c r="JZ222" s="727">
        <v>356.46862005190007</v>
      </c>
      <c r="KA222" s="727">
        <v>356.46862005190007</v>
      </c>
      <c r="KB222" s="727">
        <v>356.46862005190007</v>
      </c>
      <c r="KC222" s="727">
        <v>356.46862005190007</v>
      </c>
      <c r="KD222" s="727">
        <v>356.46862005190007</v>
      </c>
      <c r="KE222" s="727">
        <v>356.46862005190007</v>
      </c>
      <c r="KF222" s="727">
        <v>356.46862005190007</v>
      </c>
      <c r="KG222" s="727">
        <v>356.46862005190007</v>
      </c>
      <c r="KH222" s="727">
        <v>356.46862005190007</v>
      </c>
      <c r="KI222" s="727">
        <v>356.46862005190007</v>
      </c>
      <c r="KJ222" s="727">
        <v>356.46862005190007</v>
      </c>
      <c r="KK222" s="727">
        <v>356.46862005190007</v>
      </c>
      <c r="KL222" s="727">
        <v>356.46862005190007</v>
      </c>
      <c r="KM222" s="727">
        <v>356.46862005190007</v>
      </c>
      <c r="KN222" s="727">
        <v>356.46862005190007</v>
      </c>
      <c r="KO222" s="727">
        <v>356.46862005190007</v>
      </c>
      <c r="KP222" s="727">
        <v>356.46862005190007</v>
      </c>
      <c r="KQ222" s="727">
        <v>492.83421322927796</v>
      </c>
      <c r="KR222" s="727">
        <v>356.46862005190007</v>
      </c>
      <c r="KS222" s="727">
        <v>356.46862005190007</v>
      </c>
      <c r="KT222" s="727">
        <v>356.46862005190007</v>
      </c>
      <c r="KU222" s="727">
        <v>356.46862005190007</v>
      </c>
      <c r="KV222" s="727">
        <v>356.46862005190007</v>
      </c>
      <c r="KW222" s="727">
        <v>356.46862005190007</v>
      </c>
      <c r="KX222" s="727">
        <v>356.46862005190007</v>
      </c>
      <c r="KY222" s="727">
        <v>356.46862005190007</v>
      </c>
      <c r="KZ222" s="727">
        <v>495.05453300292947</v>
      </c>
      <c r="LA222" s="727">
        <v>356.46862005190007</v>
      </c>
      <c r="LB222" s="727">
        <v>492.83421322927796</v>
      </c>
      <c r="LC222" s="727">
        <v>495.05453300292947</v>
      </c>
      <c r="LD222" s="727">
        <v>495.05453300292947</v>
      </c>
      <c r="LE222" s="727">
        <v>495.05453300292947</v>
      </c>
      <c r="LF222" s="727">
        <v>495.05453300292947</v>
      </c>
      <c r="LG222" s="727">
        <v>495.05453300292947</v>
      </c>
      <c r="LH222" s="727">
        <v>495.05453300292947</v>
      </c>
      <c r="LI222" s="727">
        <v>559.25496480859351</v>
      </c>
      <c r="LJ222" s="727">
        <v>495.05453300292947</v>
      </c>
      <c r="LK222" s="727">
        <v>495.05453300292947</v>
      </c>
      <c r="LL222" s="727">
        <v>495.05453300292947</v>
      </c>
      <c r="LM222" s="727">
        <v>495.05453300292947</v>
      </c>
      <c r="LN222" s="727">
        <v>495.05453300292947</v>
      </c>
      <c r="LO222" s="727">
        <v>495.05453300292947</v>
      </c>
      <c r="LP222" s="727">
        <v>409.33283156992513</v>
      </c>
      <c r="LQ222" s="727">
        <v>409.33283156992513</v>
      </c>
      <c r="LR222" s="727">
        <v>559.25496480859351</v>
      </c>
      <c r="LS222" s="727">
        <v>559.25496480859351</v>
      </c>
      <c r="LT222" s="727">
        <v>409.33283156992513</v>
      </c>
      <c r="LU222" s="727">
        <v>409.33283156992513</v>
      </c>
      <c r="LV222" s="727">
        <v>409.33283156992513</v>
      </c>
      <c r="LW222" s="727">
        <v>409.33283156992513</v>
      </c>
      <c r="LX222" s="727">
        <v>409.33283156992513</v>
      </c>
      <c r="LY222" s="727">
        <v>559.25496480859351</v>
      </c>
      <c r="LZ222" s="727">
        <v>409.33283156992513</v>
      </c>
      <c r="MA222" s="727">
        <v>559.25496480859351</v>
      </c>
      <c r="MB222" s="727">
        <v>559.25496480859351</v>
      </c>
      <c r="MC222" s="727">
        <v>559.25496480859351</v>
      </c>
      <c r="MD222" s="727">
        <v>559.25496480859351</v>
      </c>
      <c r="ME222" s="727">
        <v>409.33283156992513</v>
      </c>
      <c r="MF222" s="727">
        <v>409.33283156992513</v>
      </c>
      <c r="MG222" s="727">
        <v>559.25496480859351</v>
      </c>
      <c r="MH222" s="727">
        <v>799.61173339843594</v>
      </c>
      <c r="MI222" s="727">
        <v>558.70703795723489</v>
      </c>
      <c r="MJ222" s="727">
        <v>446.34082781772616</v>
      </c>
      <c r="MK222" s="727">
        <v>559.25496480859351</v>
      </c>
      <c r="ML222" s="727">
        <v>559.25496480859351</v>
      </c>
      <c r="MM222" s="727">
        <v>559.25496480859351</v>
      </c>
      <c r="MN222" s="727">
        <v>799.61173339843594</v>
      </c>
      <c r="MO222" s="727">
        <v>559.25496480859351</v>
      </c>
      <c r="MP222" s="727">
        <v>559.25496480859351</v>
      </c>
      <c r="MQ222" s="727">
        <v>559.25496480859351</v>
      </c>
      <c r="MR222" s="727">
        <v>559.25496480859351</v>
      </c>
      <c r="MS222" s="727">
        <v>559.25496480859351</v>
      </c>
      <c r="MT222" s="727">
        <v>559.25496480859351</v>
      </c>
      <c r="MU222" s="727">
        <v>559.25496480859351</v>
      </c>
      <c r="MV222" s="727">
        <v>559.25496480859351</v>
      </c>
      <c r="MW222" s="727">
        <v>559.25496480859351</v>
      </c>
      <c r="MX222" s="727">
        <v>446.34082781772616</v>
      </c>
      <c r="MY222" s="727">
        <v>559.25496480859351</v>
      </c>
      <c r="MZ222" s="727">
        <v>489.61063262108257</v>
      </c>
      <c r="NA222" s="727">
        <v>446.34082781772616</v>
      </c>
      <c r="NB222" s="727">
        <v>489.61063262108257</v>
      </c>
      <c r="NC222" s="727">
        <v>559.25496480859351</v>
      </c>
      <c r="ND222" s="727">
        <v>489.61063262108257</v>
      </c>
      <c r="NE222" s="727">
        <v>489.61063262108257</v>
      </c>
      <c r="NF222" s="727">
        <v>489.61063262108257</v>
      </c>
      <c r="NG222" s="727">
        <v>489.61063262108257</v>
      </c>
      <c r="NH222" s="727">
        <v>559.25496480859351</v>
      </c>
      <c r="NI222" s="727">
        <v>489.61063262108257</v>
      </c>
      <c r="NJ222" s="727">
        <v>489.61063262108257</v>
      </c>
      <c r="NK222" s="727">
        <v>610.82636803808782</v>
      </c>
      <c r="NL222" s="727">
        <v>489.61063262108257</v>
      </c>
      <c r="NM222" s="727">
        <v>489.61063262108257</v>
      </c>
      <c r="NN222" s="727">
        <v>489.61063262108257</v>
      </c>
      <c r="NO222" s="727">
        <v>489.61063262108257</v>
      </c>
      <c r="NP222" s="727">
        <v>489.61063262108257</v>
      </c>
      <c r="NQ222" s="727">
        <v>237.61611909057012</v>
      </c>
      <c r="NR222" s="727">
        <v>237.61611909057012</v>
      </c>
      <c r="NS222" s="727">
        <v>237.61611909057012</v>
      </c>
      <c r="NT222" s="727">
        <v>237.61611909057012</v>
      </c>
      <c r="NU222" s="727">
        <v>237.61611909057012</v>
      </c>
      <c r="NV222" s="727">
        <v>237.61611909057012</v>
      </c>
      <c r="NW222" s="727">
        <v>237.61611909057012</v>
      </c>
      <c r="NX222" s="727">
        <v>489.61063262108257</v>
      </c>
      <c r="NY222" s="727">
        <v>489.61063262108257</v>
      </c>
      <c r="NZ222" s="727">
        <v>306.55245831338061</v>
      </c>
      <c r="OA222" s="727">
        <v>237.61611909057012</v>
      </c>
      <c r="OB222" s="727">
        <v>237.61611909057012</v>
      </c>
      <c r="OC222" s="727">
        <v>237.61611909057012</v>
      </c>
      <c r="OD222" s="727">
        <v>237.61611909057012</v>
      </c>
      <c r="OE222" s="727">
        <v>237.61611909057012</v>
      </c>
      <c r="OF222" s="727">
        <v>237.61611909057012</v>
      </c>
      <c r="OG222" s="727">
        <v>237.61611909057012</v>
      </c>
      <c r="OH222" s="727">
        <v>237.61611909057012</v>
      </c>
      <c r="OI222" s="727">
        <v>237.61611909057012</v>
      </c>
      <c r="OJ222" s="727">
        <v>356.46862005190007</v>
      </c>
      <c r="OK222" s="727">
        <v>356.46862005190007</v>
      </c>
      <c r="OL222" s="727">
        <v>356.46862005190007</v>
      </c>
      <c r="OM222" s="727">
        <v>356.46862005190007</v>
      </c>
      <c r="ON222" s="727">
        <v>343.33840427704536</v>
      </c>
      <c r="OO222" s="727">
        <v>356.46862005190007</v>
      </c>
      <c r="OP222" s="727">
        <v>356.46862005190007</v>
      </c>
      <c r="OQ222" s="727">
        <v>343.33840427704536</v>
      </c>
      <c r="OR222" s="727">
        <v>356.46862005190007</v>
      </c>
      <c r="OS222" s="727">
        <v>356.46862005190007</v>
      </c>
      <c r="OT222" s="727">
        <v>343.33840427704536</v>
      </c>
      <c r="OU222" s="727">
        <v>343.33840427704536</v>
      </c>
      <c r="OV222" s="727">
        <v>343.33840427704536</v>
      </c>
      <c r="OW222" s="727">
        <v>356.46862005190007</v>
      </c>
      <c r="OX222" s="727">
        <v>356.46862005190007</v>
      </c>
      <c r="OY222" s="727">
        <v>559.86250076040449</v>
      </c>
      <c r="OZ222" s="727">
        <v>559.86250076040449</v>
      </c>
      <c r="PA222" s="727">
        <v>343.33840427704536</v>
      </c>
      <c r="PB222" s="727">
        <v>559.86250076040449</v>
      </c>
      <c r="PC222" s="727">
        <v>343.33840427704536</v>
      </c>
      <c r="PD222" s="727">
        <v>343.33840427704536</v>
      </c>
      <c r="PE222" s="727">
        <v>343.33840427704536</v>
      </c>
      <c r="PF222" s="727">
        <v>343.33840427704536</v>
      </c>
      <c r="PG222" s="727">
        <v>343.33840427704536</v>
      </c>
      <c r="PH222" s="727">
        <v>343.33840427704536</v>
      </c>
      <c r="PI222" s="727">
        <v>343.33840427704536</v>
      </c>
      <c r="PJ222" s="727">
        <v>343.33840427704536</v>
      </c>
      <c r="PK222" s="727">
        <v>343.33840427704536</v>
      </c>
      <c r="PL222" s="727">
        <v>343.33840427704536</v>
      </c>
      <c r="PM222" s="727">
        <v>343.33840427704536</v>
      </c>
      <c r="PN222" s="727">
        <v>559.86250076040449</v>
      </c>
      <c r="PO222" s="727">
        <v>559.86250076040449</v>
      </c>
      <c r="PP222" s="727">
        <v>356.46862005190007</v>
      </c>
      <c r="PQ222" s="727">
        <v>559.86250076040449</v>
      </c>
      <c r="PR222" s="727">
        <v>559.86250076040449</v>
      </c>
      <c r="PS222" s="727">
        <v>559.86250076040449</v>
      </c>
      <c r="PT222" s="727">
        <v>356.46862005190007</v>
      </c>
      <c r="PU222" s="727">
        <v>559.86250076040449</v>
      </c>
      <c r="PV222" s="727">
        <v>559.86250076040449</v>
      </c>
      <c r="PW222" s="727">
        <v>559.86250076040449</v>
      </c>
      <c r="PX222" s="727">
        <v>559.86250076040449</v>
      </c>
      <c r="PY222" s="727">
        <v>559.86250076040449</v>
      </c>
      <c r="PZ222" s="727">
        <v>559.86250076040449</v>
      </c>
      <c r="QA222" s="727">
        <v>559.86250076040449</v>
      </c>
      <c r="QB222" s="727">
        <v>559.86250076040449</v>
      </c>
      <c r="QC222" s="727">
        <v>559.86250076040449</v>
      </c>
      <c r="QD222" s="727">
        <v>559.86250076040449</v>
      </c>
      <c r="QE222" s="727">
        <v>559.86250076040449</v>
      </c>
      <c r="QF222" s="727">
        <v>495.05453300292947</v>
      </c>
      <c r="QG222" s="727">
        <v>495.05453300292947</v>
      </c>
      <c r="QH222" s="727">
        <v>495.05453300292947</v>
      </c>
      <c r="QI222" s="727">
        <v>495.05453300292947</v>
      </c>
      <c r="QJ222" s="727">
        <v>495.05453300292947</v>
      </c>
      <c r="QK222" s="727">
        <v>495.05453300292947</v>
      </c>
      <c r="QL222" s="727">
        <v>495.05453300292947</v>
      </c>
      <c r="QM222" s="727">
        <v>559.86250076040449</v>
      </c>
      <c r="QN222" s="727">
        <v>559.86250076040449</v>
      </c>
      <c r="QO222" s="727">
        <v>559.86250076040449</v>
      </c>
      <c r="QP222" s="727">
        <v>559.86250076040449</v>
      </c>
      <c r="QQ222" s="727">
        <v>559.86250076040449</v>
      </c>
      <c r="QR222" s="727">
        <v>559.86250076040449</v>
      </c>
      <c r="QS222" s="727">
        <v>559.86250076040449</v>
      </c>
      <c r="QT222" s="727">
        <v>559.86250076040449</v>
      </c>
      <c r="QU222" s="727">
        <v>559.86250076040449</v>
      </c>
      <c r="QV222" s="727">
        <v>799.61173339843594</v>
      </c>
      <c r="QW222" s="727">
        <v>799.61173339843594</v>
      </c>
      <c r="QX222" s="727">
        <v>799.61173339843594</v>
      </c>
      <c r="QY222" s="727">
        <v>799.61173339843594</v>
      </c>
      <c r="QZ222" s="727">
        <v>799.61173339843594</v>
      </c>
      <c r="RA222" s="727">
        <v>799.61173339843594</v>
      </c>
      <c r="RB222" s="727">
        <v>495.05453300292947</v>
      </c>
      <c r="RC222" s="727">
        <v>495.05453300292947</v>
      </c>
      <c r="RD222" s="727">
        <v>559.86250076040449</v>
      </c>
      <c r="RE222" s="727">
        <v>559.86250076040449</v>
      </c>
      <c r="RF222" s="727">
        <v>559.86250076040449</v>
      </c>
      <c r="RG222" s="727">
        <v>559.86250076040449</v>
      </c>
      <c r="RH222" s="727">
        <v>559.86250076040449</v>
      </c>
      <c r="RI222" s="727">
        <v>799.61173339843594</v>
      </c>
      <c r="RJ222" s="727">
        <v>799.61173339843594</v>
      </c>
      <c r="RK222" s="727">
        <v>799.61173339843594</v>
      </c>
      <c r="RL222" s="727">
        <v>559.25496480859351</v>
      </c>
      <c r="RM222" s="727">
        <v>799.61173339843594</v>
      </c>
      <c r="RN222" s="727">
        <v>799.61173339843594</v>
      </c>
      <c r="RO222" s="727">
        <v>799.61173339843594</v>
      </c>
      <c r="RP222" s="727">
        <v>799.61173339843594</v>
      </c>
      <c r="RQ222" s="727">
        <v>799.61173339843594</v>
      </c>
      <c r="RR222" s="727">
        <v>799.61173339843594</v>
      </c>
      <c r="RS222" s="727">
        <v>799.61173339843594</v>
      </c>
      <c r="RT222" s="727">
        <v>558.70703795723489</v>
      </c>
      <c r="RU222" s="727">
        <v>558.70703795723489</v>
      </c>
      <c r="RV222" s="727">
        <v>799.61173339843594</v>
      </c>
      <c r="RW222" s="727">
        <v>558.70703795723489</v>
      </c>
      <c r="RX222" s="727">
        <v>558.70703795723489</v>
      </c>
      <c r="RY222" s="727">
        <v>558.70703795723489</v>
      </c>
      <c r="RZ222" s="727">
        <v>558.70703795723489</v>
      </c>
      <c r="SA222" s="727">
        <v>558.70703795723489</v>
      </c>
      <c r="SB222" s="727">
        <v>558.70703795723489</v>
      </c>
      <c r="SC222" s="727">
        <v>558.70703795723489</v>
      </c>
      <c r="SD222" s="727">
        <v>558.70703795723489</v>
      </c>
      <c r="SE222" s="727">
        <v>558.70703795723489</v>
      </c>
      <c r="SF222" s="727">
        <v>558.70703795723489</v>
      </c>
      <c r="SG222" s="727">
        <v>558.70703795723489</v>
      </c>
      <c r="SH222" s="727">
        <v>558.70703795723489</v>
      </c>
      <c r="SI222" s="727">
        <v>558.70703795723489</v>
      </c>
      <c r="SJ222" s="727">
        <v>558.70703795723489</v>
      </c>
      <c r="SK222" s="727">
        <v>558.70703795723489</v>
      </c>
      <c r="SL222" s="727">
        <v>558.70703795723489</v>
      </c>
      <c r="SM222" s="727">
        <v>558.70703795723489</v>
      </c>
      <c r="SN222" s="727">
        <v>558.70703795723489</v>
      </c>
      <c r="SO222" s="727">
        <v>558.70703795723489</v>
      </c>
      <c r="SP222" s="727">
        <v>558.70703795723489</v>
      </c>
      <c r="SQ222" s="727">
        <v>558.70703795723489</v>
      </c>
      <c r="SR222" s="727">
        <v>558.70703795723489</v>
      </c>
      <c r="SS222" s="727">
        <v>610.82636803808782</v>
      </c>
      <c r="ST222" s="727">
        <v>610.82636803808782</v>
      </c>
      <c r="SU222" s="727">
        <v>610.82636803808782</v>
      </c>
      <c r="SV222" s="727">
        <v>610.82636803808782</v>
      </c>
      <c r="SW222" s="727">
        <v>610.82636803808782</v>
      </c>
      <c r="SX222" s="727">
        <v>610.82636803808782</v>
      </c>
      <c r="SY222" s="727">
        <v>558.70703795723489</v>
      </c>
      <c r="SZ222" s="727">
        <v>558.70703795723489</v>
      </c>
      <c r="TA222" s="727">
        <v>610.82636803808782</v>
      </c>
      <c r="TB222" s="727">
        <v>610.82636803808782</v>
      </c>
      <c r="TC222" s="727">
        <v>610.82636803808782</v>
      </c>
      <c r="TD222" s="727">
        <v>610.82636803808782</v>
      </c>
      <c r="TE222" s="727">
        <v>610.82636803808782</v>
      </c>
      <c r="TF222" s="727">
        <v>610.82636803808782</v>
      </c>
      <c r="TG222" s="727">
        <v>610.82636803808782</v>
      </c>
      <c r="TH222" s="727">
        <v>610.82636803808782</v>
      </c>
      <c r="TI222" s="727">
        <v>610.82636803808782</v>
      </c>
      <c r="TJ222" s="727">
        <v>610.82636803808782</v>
      </c>
      <c r="TK222" s="727">
        <v>306.55245831338061</v>
      </c>
      <c r="TL222" s="727">
        <v>306.55245831338061</v>
      </c>
      <c r="TM222" s="727">
        <v>306.55245831338061</v>
      </c>
      <c r="TN222" s="727">
        <v>306.55245831338061</v>
      </c>
      <c r="TO222" s="727">
        <v>306.55245831338061</v>
      </c>
      <c r="TP222" s="727">
        <v>610.82636803808782</v>
      </c>
      <c r="TQ222" s="727">
        <v>610.82636803808782</v>
      </c>
      <c r="TR222" s="727">
        <v>610.82636803808782</v>
      </c>
      <c r="TS222" s="727">
        <v>610.82636803808782</v>
      </c>
      <c r="TT222" s="727">
        <v>610.82636803808782</v>
      </c>
      <c r="TU222" s="727">
        <v>306.55245831338061</v>
      </c>
      <c r="TV222" s="727">
        <v>306.55245831338061</v>
      </c>
      <c r="TW222" s="727">
        <v>237.61611909057012</v>
      </c>
      <c r="TX222" s="727">
        <v>237.61611909057012</v>
      </c>
      <c r="TY222" s="727">
        <v>237.61611909057012</v>
      </c>
      <c r="TZ222" s="727">
        <v>237.61611909057012</v>
      </c>
      <c r="UA222" s="727">
        <v>237.61611909057012</v>
      </c>
      <c r="UB222" s="727">
        <v>237.61611909057012</v>
      </c>
      <c r="UC222" s="727">
        <v>306.55245831338061</v>
      </c>
      <c r="UD222" s="727">
        <v>306.55245831338061</v>
      </c>
      <c r="UE222" s="727">
        <v>306.55245831338061</v>
      </c>
      <c r="UF222" s="727">
        <v>306.55245831338061</v>
      </c>
      <c r="UG222" s="727">
        <v>237.61611909057012</v>
      </c>
      <c r="UH222" s="727">
        <v>237.61611909057012</v>
      </c>
      <c r="UI222" s="727">
        <v>237.61611909057012</v>
      </c>
      <c r="UJ222" s="727">
        <v>237.61611909057012</v>
      </c>
      <c r="UK222" s="727">
        <v>237.61611909057012</v>
      </c>
      <c r="UL222" s="727">
        <v>237.61611909057012</v>
      </c>
      <c r="UM222" s="727">
        <v>237.61611909057012</v>
      </c>
      <c r="UN222" s="727">
        <v>237.61611909057012</v>
      </c>
      <c r="UO222" s="727">
        <v>237.61611909057012</v>
      </c>
      <c r="UP222" s="727">
        <v>237.61611909057012</v>
      </c>
      <c r="UQ222" s="727">
        <v>237.61611909057012</v>
      </c>
      <c r="UR222" s="727">
        <v>237.61611909057012</v>
      </c>
      <c r="US222" s="727">
        <v>343.33840427704536</v>
      </c>
      <c r="UT222" s="727">
        <v>343.33840427704536</v>
      </c>
      <c r="UU222" s="727">
        <v>251.58092376863095</v>
      </c>
      <c r="UV222" s="727">
        <v>285.05644083710104</v>
      </c>
      <c r="UW222" s="727">
        <v>285.05644083710104</v>
      </c>
      <c r="UX222" s="727">
        <v>568.95265014299628</v>
      </c>
      <c r="UY222" s="727">
        <v>121.0727592381094</v>
      </c>
      <c r="UZ222" s="727">
        <v>285.05644083710104</v>
      </c>
      <c r="VA222" s="727">
        <v>121.0727592381094</v>
      </c>
      <c r="VB222" s="727">
        <v>251.58092376863095</v>
      </c>
      <c r="VC222" s="727">
        <v>251.58092376863095</v>
      </c>
      <c r="VD222" s="727">
        <v>251.58092376863095</v>
      </c>
      <c r="VE222" s="727">
        <v>251.58092376863095</v>
      </c>
      <c r="VF222" s="727">
        <v>251.58092376863095</v>
      </c>
      <c r="VG222" s="727">
        <v>251.58092376863095</v>
      </c>
      <c r="VH222" s="727">
        <v>251.58092376863095</v>
      </c>
      <c r="VI222" s="727">
        <v>251.58092376863095</v>
      </c>
      <c r="VJ222" s="727">
        <v>251.58092376863095</v>
      </c>
      <c r="VK222" s="727">
        <v>251.58092376863095</v>
      </c>
      <c r="VL222" s="727">
        <v>251.58092376863095</v>
      </c>
      <c r="VM222" s="727">
        <v>251.58092376863095</v>
      </c>
      <c r="VN222" s="727">
        <v>251.58092376863095</v>
      </c>
      <c r="VO222" s="727">
        <v>251.58092376863095</v>
      </c>
      <c r="VP222" s="727">
        <v>251.58092376863095</v>
      </c>
      <c r="VQ222" s="727">
        <v>251.58092376863095</v>
      </c>
      <c r="VR222" s="727">
        <v>251.58092376863095</v>
      </c>
      <c r="VS222" s="727">
        <v>251.58092376863095</v>
      </c>
      <c r="VT222" s="727">
        <v>251.58092376863095</v>
      </c>
      <c r="VU222" s="727">
        <v>251.58092376863095</v>
      </c>
      <c r="VV222" s="727">
        <v>251.58092376863095</v>
      </c>
      <c r="VW222" s="727">
        <v>343.33840427704536</v>
      </c>
      <c r="VX222" s="727">
        <v>343.33840427704536</v>
      </c>
      <c r="VY222" s="727">
        <v>343.33840427704536</v>
      </c>
      <c r="VZ222" s="727">
        <v>559.86250076040449</v>
      </c>
      <c r="WA222" s="727">
        <v>343.33840427704536</v>
      </c>
      <c r="WB222" s="727">
        <v>343.33840427704536</v>
      </c>
      <c r="WC222" s="727">
        <v>343.33840427704536</v>
      </c>
      <c r="WD222" s="727">
        <v>343.33840427704536</v>
      </c>
      <c r="WE222" s="727">
        <v>343.33840427704536</v>
      </c>
      <c r="WF222" s="727">
        <v>343.33840427704536</v>
      </c>
      <c r="WG222" s="727">
        <v>343.33840427704536</v>
      </c>
      <c r="WH222" s="727">
        <v>343.33840427704536</v>
      </c>
      <c r="WI222" s="727">
        <v>121.0727592381094</v>
      </c>
      <c r="WJ222" s="727">
        <v>121.0727592381094</v>
      </c>
      <c r="WK222" s="727">
        <v>121.0727592381094</v>
      </c>
      <c r="WL222" s="727">
        <v>251.58092376863095</v>
      </c>
      <c r="WM222" s="727">
        <v>343.33840427704536</v>
      </c>
      <c r="WN222" s="727">
        <v>121.0727592381094</v>
      </c>
      <c r="WO222" s="727">
        <v>121.0727592381094</v>
      </c>
      <c r="WP222" s="727">
        <v>121.0727592381094</v>
      </c>
      <c r="WQ222" s="727">
        <v>121.0727592381094</v>
      </c>
      <c r="WR222" s="727">
        <v>559.86250076040449</v>
      </c>
      <c r="WS222" s="727">
        <v>559.86250076040449</v>
      </c>
      <c r="WT222" s="727">
        <v>559.86250076040449</v>
      </c>
      <c r="WU222" s="727">
        <v>121.0727592381094</v>
      </c>
      <c r="WV222" s="727">
        <v>559.86250076040449</v>
      </c>
      <c r="WW222" s="727">
        <v>559.86250076040449</v>
      </c>
      <c r="WX222" s="727">
        <v>559.86250076040449</v>
      </c>
      <c r="WY222" s="727">
        <v>559.86250076040449</v>
      </c>
      <c r="WZ222" s="727">
        <v>343.33840427704536</v>
      </c>
      <c r="XA222" s="727">
        <v>343.33840427704536</v>
      </c>
      <c r="XB222" s="727">
        <v>343.33840427704536</v>
      </c>
      <c r="XC222" s="727">
        <v>121.0727592381094</v>
      </c>
      <c r="XD222" s="727">
        <v>121.0727592381094</v>
      </c>
      <c r="XE222" s="727">
        <v>121.0727592381094</v>
      </c>
      <c r="XF222" s="727">
        <v>559.86250076040449</v>
      </c>
      <c r="XG222" s="727">
        <v>559.86250076040449</v>
      </c>
      <c r="XH222" s="727">
        <v>799.61173339843594</v>
      </c>
      <c r="XI222" s="727">
        <v>799.61173339843594</v>
      </c>
      <c r="XJ222" s="727">
        <v>799.61173339843594</v>
      </c>
      <c r="XK222" s="727">
        <v>799.61173339843594</v>
      </c>
      <c r="XL222" s="727">
        <v>559.86250076040449</v>
      </c>
      <c r="XM222" s="727">
        <v>559.86250076040449</v>
      </c>
      <c r="XN222" s="727">
        <v>559.86250076040449</v>
      </c>
      <c r="XO222" s="727">
        <v>559.86250076040449</v>
      </c>
      <c r="XP222" s="727">
        <v>559.86250076040449</v>
      </c>
      <c r="XQ222" s="727">
        <v>559.86250076040449</v>
      </c>
      <c r="XR222" s="727">
        <v>559.86250076040449</v>
      </c>
      <c r="XS222" s="727">
        <v>559.86250076040449</v>
      </c>
      <c r="XT222" s="727">
        <v>559.86250076040449</v>
      </c>
      <c r="XU222" s="727">
        <v>630.03719504981132</v>
      </c>
      <c r="XV222" s="727">
        <v>630.03719504981132</v>
      </c>
      <c r="XW222" s="727">
        <v>630.03719504981132</v>
      </c>
      <c r="XX222" s="727">
        <v>630.03719504981132</v>
      </c>
      <c r="XY222" s="727">
        <v>630.03719504981132</v>
      </c>
      <c r="XZ222" s="727">
        <v>630.03719504981132</v>
      </c>
      <c r="YA222" s="727">
        <v>630.03719504981132</v>
      </c>
      <c r="YB222" s="727">
        <v>630.03719504981132</v>
      </c>
      <c r="YC222" s="727">
        <v>630.03719504981132</v>
      </c>
      <c r="YD222" s="727">
        <v>630.03719504981132</v>
      </c>
      <c r="YE222" s="727">
        <v>559.86250076040449</v>
      </c>
      <c r="YF222" s="727">
        <v>595.70998315407724</v>
      </c>
      <c r="YG222" s="727">
        <v>595.70998315407724</v>
      </c>
      <c r="YH222" s="727">
        <v>595.70998315407724</v>
      </c>
      <c r="YI222" s="727">
        <v>799.61173339843594</v>
      </c>
      <c r="YJ222" s="727">
        <v>799.61173339843594</v>
      </c>
      <c r="YK222" s="727">
        <v>595.70998315407724</v>
      </c>
      <c r="YL222" s="727">
        <v>595.70998315407724</v>
      </c>
      <c r="YM222" s="727">
        <v>595.70998315407724</v>
      </c>
      <c r="YN222" s="727">
        <v>595.70998315407724</v>
      </c>
      <c r="YO222" s="727">
        <v>595.70998315407724</v>
      </c>
      <c r="YP222" s="727">
        <v>799.61173339843594</v>
      </c>
      <c r="YQ222" s="727">
        <v>595.70998315407724</v>
      </c>
      <c r="YR222" s="727">
        <v>595.70998315407724</v>
      </c>
      <c r="YS222" s="727">
        <v>799.61173339843594</v>
      </c>
      <c r="YT222" s="727">
        <v>595.70998315407724</v>
      </c>
      <c r="YU222" s="727">
        <v>595.70998315407724</v>
      </c>
      <c r="YV222" s="727">
        <v>595.70998315407724</v>
      </c>
      <c r="YW222" s="727">
        <v>595.70998315407724</v>
      </c>
      <c r="YX222" s="727">
        <v>595.70998315407724</v>
      </c>
      <c r="YY222" s="727">
        <v>595.70998315407724</v>
      </c>
      <c r="YZ222" s="727">
        <v>595.70998315407724</v>
      </c>
      <c r="ZA222" s="727">
        <v>595.70998315407724</v>
      </c>
      <c r="ZB222" s="727">
        <v>595.70998315407724</v>
      </c>
      <c r="ZC222" s="727">
        <v>799.61173339843594</v>
      </c>
      <c r="ZD222" s="727">
        <v>595.70998315407724</v>
      </c>
      <c r="ZE222" s="727">
        <v>595.70998315407724</v>
      </c>
      <c r="ZF222" s="727">
        <v>595.70998315407724</v>
      </c>
      <c r="ZG222" s="727">
        <v>595.70998315407724</v>
      </c>
      <c r="ZH222" s="727">
        <v>595.70998315407724</v>
      </c>
      <c r="ZI222" s="727">
        <v>595.70998315407724</v>
      </c>
      <c r="ZJ222" s="727">
        <v>595.70998315407724</v>
      </c>
      <c r="ZK222" s="727">
        <v>799.61173339843594</v>
      </c>
      <c r="ZL222" s="727">
        <v>595.70998315407724</v>
      </c>
      <c r="ZM222" s="727">
        <v>595.70998315407724</v>
      </c>
      <c r="ZN222" s="727">
        <v>595.70998315407724</v>
      </c>
      <c r="ZO222" s="727">
        <v>595.70998315407724</v>
      </c>
      <c r="ZP222" s="727">
        <v>595.70998315407724</v>
      </c>
      <c r="ZQ222" s="727">
        <v>595.70998315407724</v>
      </c>
      <c r="ZR222" s="727">
        <v>595.70998315407724</v>
      </c>
      <c r="ZS222" s="727">
        <v>595.70998315407724</v>
      </c>
      <c r="ZT222" s="727">
        <v>595.70998315407724</v>
      </c>
      <c r="ZU222" s="727">
        <v>595.70998315407724</v>
      </c>
      <c r="ZV222" s="727">
        <v>595.70998315407724</v>
      </c>
      <c r="ZW222" s="727">
        <v>595.70998315407724</v>
      </c>
      <c r="ZX222" s="727">
        <v>595.70998315407724</v>
      </c>
      <c r="ZY222" s="727">
        <v>595.70998315407724</v>
      </c>
      <c r="ZZ222" s="727">
        <v>595.70998315407724</v>
      </c>
      <c r="AAA222" s="727">
        <v>595.70998315407724</v>
      </c>
      <c r="AAB222" s="727">
        <v>595.70998315407724</v>
      </c>
      <c r="AAC222" s="727">
        <v>595.70998315407724</v>
      </c>
      <c r="AAD222" s="727">
        <v>595.70998315407724</v>
      </c>
      <c r="AAE222" s="727">
        <v>595.70998315407724</v>
      </c>
      <c r="AAF222" s="727">
        <v>595.70998315407724</v>
      </c>
      <c r="AAG222" s="727">
        <v>595.70998315407724</v>
      </c>
      <c r="AAH222" s="727">
        <v>610.82636803808782</v>
      </c>
      <c r="AAI222" s="727">
        <v>595.70998315407724</v>
      </c>
      <c r="AAJ222" s="727">
        <v>595.70998315407724</v>
      </c>
      <c r="AAK222" s="727">
        <v>595.70998315407724</v>
      </c>
      <c r="AAL222" s="727">
        <v>595.70998315407724</v>
      </c>
      <c r="AAM222" s="727">
        <v>595.70998315407724</v>
      </c>
      <c r="AAN222" s="727">
        <v>610.82636803808782</v>
      </c>
      <c r="AAO222" s="727">
        <v>610.82636803808782</v>
      </c>
      <c r="AAP222" s="727">
        <v>306.55245831338061</v>
      </c>
      <c r="AAQ222" s="727">
        <v>610.82636803808782</v>
      </c>
      <c r="AAR222" s="727">
        <v>595.70998315407724</v>
      </c>
      <c r="AAS222" s="727">
        <v>595.70998315407724</v>
      </c>
      <c r="AAT222" s="727">
        <v>610.82636803808782</v>
      </c>
      <c r="AAU222" s="727">
        <v>610.82636803808782</v>
      </c>
      <c r="AAV222" s="727">
        <v>306.55245831338061</v>
      </c>
      <c r="AAW222" s="727">
        <v>610.82636803808782</v>
      </c>
      <c r="AAX222" s="727">
        <v>610.82636803808782</v>
      </c>
      <c r="AAY222" s="727">
        <v>306.55245831338061</v>
      </c>
      <c r="AAZ222" s="727">
        <v>306.55245831338061</v>
      </c>
      <c r="ABA222" s="727">
        <v>306.55245831338061</v>
      </c>
      <c r="ABB222" s="727">
        <v>306.55245831338061</v>
      </c>
      <c r="ABC222" s="727">
        <v>306.55245831338061</v>
      </c>
      <c r="ABD222" s="727">
        <v>306.55245831338061</v>
      </c>
      <c r="ABE222" s="727">
        <v>610.82636803808782</v>
      </c>
      <c r="ABF222" s="727">
        <v>610.82636803808782</v>
      </c>
      <c r="ABG222" s="727">
        <v>306.55245831338061</v>
      </c>
      <c r="ABH222" s="727">
        <v>610.82636803808782</v>
      </c>
      <c r="ABI222" s="727">
        <v>306.55245831338061</v>
      </c>
      <c r="ABJ222" s="727">
        <v>306.55245831338061</v>
      </c>
      <c r="ABK222" s="727">
        <v>306.55245831338061</v>
      </c>
      <c r="ABL222" s="727">
        <v>306.55245831338061</v>
      </c>
      <c r="ABM222" s="727">
        <v>306.55245831338061</v>
      </c>
      <c r="ABN222" s="727">
        <v>306.55245831338061</v>
      </c>
      <c r="ABO222" s="727">
        <v>306.55245831338061</v>
      </c>
      <c r="ABP222" s="727">
        <v>237.61611909057012</v>
      </c>
      <c r="ABQ222" s="727">
        <v>237.61611909057012</v>
      </c>
      <c r="ABR222" s="727">
        <v>237.61611909057012</v>
      </c>
      <c r="ABS222" s="727">
        <v>306.55245831338061</v>
      </c>
      <c r="ABT222" s="727">
        <v>306.55245831338061</v>
      </c>
      <c r="ABU222" s="727">
        <v>306.55245831338061</v>
      </c>
      <c r="ABV222" s="727">
        <v>306.55245831338061</v>
      </c>
      <c r="ABW222" s="727">
        <v>306.55245831338061</v>
      </c>
      <c r="ABX222" s="727">
        <v>237.61611909057012</v>
      </c>
      <c r="ABY222" s="727">
        <v>237.61611909057012</v>
      </c>
      <c r="ABZ222" s="727">
        <v>237.61611909057012</v>
      </c>
      <c r="ACA222" s="727">
        <v>237.61611909057012</v>
      </c>
      <c r="ACB222" s="727">
        <v>306.55245831338061</v>
      </c>
      <c r="ACC222" s="727">
        <v>306.55245831338061</v>
      </c>
      <c r="ACD222" s="727">
        <v>306.55245831338061</v>
      </c>
      <c r="ACE222" s="727">
        <v>306.55245831338061</v>
      </c>
      <c r="ACF222" s="727">
        <v>306.55245831338061</v>
      </c>
      <c r="ACG222" s="727">
        <v>306.55245831338061</v>
      </c>
      <c r="ACH222" s="727">
        <v>251.58092376863095</v>
      </c>
      <c r="ACI222" s="727">
        <v>251.58092376863095</v>
      </c>
      <c r="ACJ222" s="727">
        <v>251.58092376863095</v>
      </c>
      <c r="ACK222" s="727">
        <v>251.58092376863095</v>
      </c>
      <c r="ACL222" s="727">
        <v>251.58092376863095</v>
      </c>
      <c r="ACM222" s="727">
        <v>251.58092376863095</v>
      </c>
      <c r="ACN222" s="727">
        <v>251.58092376863095</v>
      </c>
      <c r="ACO222" s="727">
        <v>251.58092376863095</v>
      </c>
      <c r="ACP222" s="727">
        <v>251.58092376863095</v>
      </c>
      <c r="ACQ222" s="727">
        <v>251.58092376863095</v>
      </c>
      <c r="ACR222" s="727">
        <v>251.58092376863095</v>
      </c>
      <c r="ACS222" s="727">
        <v>251.58092376863095</v>
      </c>
      <c r="ACT222" s="727">
        <v>251.58092376863095</v>
      </c>
      <c r="ACU222" s="727">
        <v>251.58092376863095</v>
      </c>
      <c r="ACV222" s="727">
        <v>251.58092376863095</v>
      </c>
      <c r="ACW222" s="727">
        <v>251.58092376863095</v>
      </c>
      <c r="ACX222" s="727">
        <v>251.58092376863095</v>
      </c>
      <c r="ACY222" s="727">
        <v>251.58092376863095</v>
      </c>
      <c r="ACZ222" s="727">
        <v>251.58092376863095</v>
      </c>
      <c r="ADA222" s="727">
        <v>251.58092376863095</v>
      </c>
      <c r="ADB222" s="727">
        <v>121.0727592381094</v>
      </c>
      <c r="ADC222" s="727">
        <v>121.0727592381094</v>
      </c>
      <c r="ADD222" s="727">
        <v>121.0727592381094</v>
      </c>
      <c r="ADE222" s="727">
        <v>630.03719504981132</v>
      </c>
      <c r="ADF222" s="727">
        <v>630.03719504981132</v>
      </c>
      <c r="ADG222" s="727">
        <v>630.03719504981132</v>
      </c>
      <c r="ADH222" s="727">
        <v>630.03719504981132</v>
      </c>
      <c r="ADI222" s="727">
        <v>630.03719504981132</v>
      </c>
      <c r="ADJ222" s="727">
        <v>630.03719504981132</v>
      </c>
      <c r="ADK222" s="727">
        <v>630.03719504981132</v>
      </c>
      <c r="ADL222" s="727">
        <v>630.03719504981132</v>
      </c>
      <c r="ADM222" s="727">
        <v>630.03719504981132</v>
      </c>
      <c r="ADN222" s="727">
        <v>630.03719504981132</v>
      </c>
      <c r="ADO222" s="727">
        <v>630.03719504981132</v>
      </c>
      <c r="ADP222" s="727">
        <v>630.03719504981132</v>
      </c>
      <c r="ADQ222" s="727">
        <v>630.03719504981132</v>
      </c>
      <c r="ADR222" s="727">
        <v>559.86250076040449</v>
      </c>
      <c r="ADS222" s="727">
        <v>805.74860950821335</v>
      </c>
      <c r="ADT222" s="727">
        <v>805.74860950821335</v>
      </c>
      <c r="ADU222" s="727">
        <v>805.74860950821335</v>
      </c>
      <c r="ADV222" s="727">
        <v>805.74860950821335</v>
      </c>
      <c r="ADW222" s="727">
        <v>595.70998315407724</v>
      </c>
      <c r="ADX222" s="727">
        <v>595.70998315407724</v>
      </c>
      <c r="ADY222" s="727">
        <v>595.70998315407724</v>
      </c>
      <c r="ADZ222" s="727">
        <v>805.74860950821335</v>
      </c>
      <c r="AEA222" s="727">
        <v>805.74860950821335</v>
      </c>
      <c r="AEB222" s="727">
        <v>805.74860950821335</v>
      </c>
      <c r="AEC222" s="727">
        <v>559.86250076040449</v>
      </c>
      <c r="AED222" s="727">
        <v>805.74860950821335</v>
      </c>
      <c r="AEE222" s="727">
        <v>805.74860950821335</v>
      </c>
      <c r="AEF222" s="727">
        <v>559.86250076040449</v>
      </c>
      <c r="AEG222" s="727">
        <v>805.74860950821335</v>
      </c>
      <c r="AEH222" s="727">
        <v>595.70998315407724</v>
      </c>
      <c r="AEI222" s="727">
        <v>595.70998315407724</v>
      </c>
      <c r="AEJ222" s="727">
        <v>805.74860950821335</v>
      </c>
      <c r="AEK222" s="727">
        <v>805.74860950821335</v>
      </c>
      <c r="AEL222" s="727">
        <v>595.70998315407724</v>
      </c>
      <c r="AEM222" s="727">
        <v>595.70998315407724</v>
      </c>
      <c r="AEN222" s="727">
        <v>595.70998315407724</v>
      </c>
      <c r="AEO222" s="727">
        <v>595.70998315407724</v>
      </c>
      <c r="AEP222" s="727">
        <v>595.70998315407724</v>
      </c>
      <c r="AEQ222" s="727">
        <v>595.70998315407724</v>
      </c>
      <c r="AER222" s="727">
        <v>595.70998315407724</v>
      </c>
      <c r="AES222" s="727">
        <v>595.70998315407724</v>
      </c>
      <c r="AET222" s="727">
        <v>595.70998315407724</v>
      </c>
      <c r="AEU222" s="727">
        <v>595.70998315407724</v>
      </c>
      <c r="AEV222" s="727">
        <v>595.70998315407724</v>
      </c>
      <c r="AEW222" s="727">
        <v>595.70998315407724</v>
      </c>
      <c r="AEX222" s="727">
        <v>595.70998315407724</v>
      </c>
      <c r="AEY222" s="727">
        <v>595.70998315407724</v>
      </c>
      <c r="AEZ222" s="727">
        <v>595.70998315407724</v>
      </c>
      <c r="AFA222" s="727">
        <v>595.70998315407724</v>
      </c>
      <c r="AFB222" s="727">
        <v>595.70998315407724</v>
      </c>
      <c r="AFC222" s="727">
        <v>595.70998315407724</v>
      </c>
      <c r="AFD222" s="727">
        <v>595.70998315407724</v>
      </c>
      <c r="AFE222" s="727">
        <v>595.70998315407724</v>
      </c>
      <c r="AFF222" s="727">
        <v>595.70998315407724</v>
      </c>
      <c r="AFG222" s="727">
        <v>595.70998315407724</v>
      </c>
      <c r="AFH222" s="727">
        <v>595.70998315407724</v>
      </c>
      <c r="AFI222" s="727">
        <v>595.70998315407724</v>
      </c>
      <c r="AFJ222" s="727">
        <v>595.70998315407724</v>
      </c>
      <c r="AFK222" s="727">
        <v>805.74860950821335</v>
      </c>
      <c r="AFL222" s="727">
        <v>595.70998315407724</v>
      </c>
      <c r="AFM222" s="727">
        <v>595.70998315407724</v>
      </c>
      <c r="AFN222" s="727">
        <v>595.70998315407724</v>
      </c>
      <c r="AFO222" s="727">
        <v>595.70998315407724</v>
      </c>
      <c r="AFP222" s="727">
        <v>595.70998315407724</v>
      </c>
      <c r="AFQ222" s="727">
        <v>595.70998315407724</v>
      </c>
      <c r="AFR222" s="727">
        <v>595.70998315407724</v>
      </c>
      <c r="AFS222" s="727">
        <v>595.70998315407724</v>
      </c>
      <c r="AFT222" s="727">
        <v>595.70998315407724</v>
      </c>
      <c r="AFU222" s="727">
        <v>595.70998315407724</v>
      </c>
      <c r="AFV222" s="727">
        <v>595.70998315407724</v>
      </c>
      <c r="AFW222" s="727">
        <v>595.70998315407724</v>
      </c>
      <c r="AFX222" s="727">
        <v>595.70998315407724</v>
      </c>
      <c r="AFY222" s="727">
        <v>595.70998315407724</v>
      </c>
      <c r="AFZ222" s="727">
        <v>610.82636803808782</v>
      </c>
      <c r="AGA222" s="727">
        <v>610.82636803808782</v>
      </c>
      <c r="AGB222" s="727">
        <v>805.74860950821335</v>
      </c>
      <c r="AGC222" s="727">
        <v>610.82636803808782</v>
      </c>
      <c r="AGD222" s="727">
        <v>306.55245831338061</v>
      </c>
      <c r="AGE222" s="727">
        <v>610.82636803808782</v>
      </c>
      <c r="AGF222" s="727">
        <v>306.55245831338061</v>
      </c>
      <c r="AGG222" s="727">
        <v>595.70998315407724</v>
      </c>
      <c r="AGH222" s="727">
        <v>595.70998315407724</v>
      </c>
      <c r="AGI222" s="727">
        <v>306.55245831338061</v>
      </c>
      <c r="AGJ222" s="727">
        <v>306.55245831338061</v>
      </c>
      <c r="AGK222" s="727">
        <v>306.55245831338061</v>
      </c>
      <c r="AGL222" s="727">
        <v>306.55245831338061</v>
      </c>
      <c r="AGM222" s="727">
        <v>306.55245831338061</v>
      </c>
      <c r="AGN222" s="727">
        <v>306.55245831338061</v>
      </c>
      <c r="AGO222" s="727">
        <v>306.55245831338061</v>
      </c>
      <c r="AGP222" s="727">
        <v>306.55245831338061</v>
      </c>
      <c r="AGQ222" s="727">
        <v>306.55245831338061</v>
      </c>
      <c r="AGR222" s="727">
        <v>306.55245831338061</v>
      </c>
      <c r="AGS222" s="727">
        <v>306.55245831338061</v>
      </c>
      <c r="AGT222" s="727">
        <v>306.55245831338061</v>
      </c>
      <c r="AGU222" s="727">
        <v>306.55245831338061</v>
      </c>
      <c r="AGV222" s="727">
        <v>306.55245831338061</v>
      </c>
      <c r="AGW222" s="727">
        <v>306.55245831338061</v>
      </c>
      <c r="AGX222" s="727">
        <v>306.55245831338061</v>
      </c>
      <c r="AGY222" s="727">
        <v>306.55245831338061</v>
      </c>
      <c r="AGZ222" s="727">
        <v>306.55245831338061</v>
      </c>
      <c r="AHA222" s="727">
        <v>306.55245831338061</v>
      </c>
      <c r="AHB222" s="727">
        <v>306.55245831338061</v>
      </c>
      <c r="AHC222" s="727">
        <v>306.55245831338061</v>
      </c>
      <c r="AHD222" s="727">
        <v>306.55245831338061</v>
      </c>
      <c r="AHE222" s="727">
        <v>306.55245831338061</v>
      </c>
      <c r="AHF222" s="727">
        <v>306.55245831338061</v>
      </c>
      <c r="AHG222" s="727">
        <v>306.55245831338061</v>
      </c>
      <c r="AHH222" s="727">
        <v>251.58092376863095</v>
      </c>
      <c r="AHI222" s="727">
        <v>251.58092376863095</v>
      </c>
      <c r="AHJ222" s="727">
        <v>251.58092376863095</v>
      </c>
      <c r="AHK222" s="727">
        <v>251.58092376863095</v>
      </c>
      <c r="AHL222" s="727">
        <v>559.86250076040449</v>
      </c>
      <c r="AHM222" s="727">
        <v>559.86250076040449</v>
      </c>
      <c r="AHN222" s="727">
        <v>630.03719504981132</v>
      </c>
      <c r="AHO222" s="727">
        <v>805.74860950821335</v>
      </c>
      <c r="AHP222" s="727">
        <v>559.86250076040449</v>
      </c>
      <c r="AHQ222" s="727">
        <v>805.74860950821335</v>
      </c>
      <c r="AHR222" s="727">
        <v>595.70998315407724</v>
      </c>
      <c r="AHS222" s="727">
        <v>595.70998315407724</v>
      </c>
      <c r="AHT222" s="727">
        <v>595.70998315407724</v>
      </c>
      <c r="AHU222" s="727">
        <v>595.70998315407724</v>
      </c>
      <c r="AHV222" s="727">
        <v>595.70998315407724</v>
      </c>
      <c r="AHW222" s="727">
        <v>595.70998315407724</v>
      </c>
      <c r="AHX222" s="727">
        <v>595.70998315407724</v>
      </c>
      <c r="AHY222" s="727">
        <v>595.70998315407724</v>
      </c>
      <c r="AHZ222" s="727">
        <v>595.70998315407724</v>
      </c>
      <c r="AIA222" s="727">
        <v>595.70998315407724</v>
      </c>
      <c r="AIB222" s="727">
        <v>595.70998315407724</v>
      </c>
      <c r="AIC222" s="727">
        <v>595.70998315407724</v>
      </c>
      <c r="AID222" s="727">
        <v>595.70998315407724</v>
      </c>
      <c r="AIE222" s="727">
        <v>595.70998315407724</v>
      </c>
      <c r="AIF222" s="727">
        <v>595.70998315407724</v>
      </c>
      <c r="AIG222" s="727">
        <v>595.70998315407724</v>
      </c>
      <c r="AIH222" s="727">
        <v>595.70998315407724</v>
      </c>
      <c r="AII222" s="727">
        <v>595.70998315407724</v>
      </c>
      <c r="AIJ222" s="727">
        <v>595.70998315407724</v>
      </c>
      <c r="AIK222" s="727">
        <v>595.70998315407724</v>
      </c>
      <c r="AIL222" s="727">
        <v>595.70998315407724</v>
      </c>
      <c r="AIM222" s="727">
        <v>595.70998315407724</v>
      </c>
      <c r="AIN222" s="727">
        <v>595.70998315407724</v>
      </c>
      <c r="AIO222" s="727">
        <v>595.70998315407724</v>
      </c>
      <c r="AIP222" s="727">
        <v>595.70998315407724</v>
      </c>
      <c r="AIQ222" s="727">
        <v>595.70998315407724</v>
      </c>
      <c r="AIR222" s="727">
        <v>595.70998315407724</v>
      </c>
      <c r="AIS222" s="727">
        <v>595.70998315407724</v>
      </c>
      <c r="AIT222" s="727">
        <v>595.70998315407724</v>
      </c>
      <c r="AIU222" s="727">
        <v>595.70998315407724</v>
      </c>
      <c r="AIV222" s="727">
        <v>595.70998315407724</v>
      </c>
      <c r="AIW222" s="727">
        <v>595.70998315407724</v>
      </c>
      <c r="AIX222" s="727">
        <v>306.55245831338061</v>
      </c>
      <c r="AIY222" s="727">
        <v>595.70998315407724</v>
      </c>
      <c r="AIZ222" s="727">
        <v>595.70998315407724</v>
      </c>
      <c r="AJA222" s="727">
        <v>306.55245831338061</v>
      </c>
      <c r="AJB222" s="727">
        <v>595.70998315407724</v>
      </c>
      <c r="AJC222" s="727">
        <v>306.55245831338061</v>
      </c>
      <c r="AJD222" s="727">
        <v>306.55245831338061</v>
      </c>
      <c r="AJE222" s="727">
        <v>306.55245831338061</v>
      </c>
      <c r="AJF222" s="727">
        <v>306.55245831338061</v>
      </c>
      <c r="AJG222" s="727">
        <v>306.55245831338061</v>
      </c>
      <c r="AJH222" s="727">
        <v>306.55245831338061</v>
      </c>
      <c r="AJI222" s="727">
        <v>306.55245831338061</v>
      </c>
      <c r="AJJ222" s="727">
        <v>306.55245831338061</v>
      </c>
      <c r="AJK222" s="727">
        <v>306.55245831338061</v>
      </c>
      <c r="AJL222" s="727">
        <v>306.55245831338061</v>
      </c>
      <c r="AJM222" s="727">
        <v>306.55245831338061</v>
      </c>
      <c r="AJN222" s="727">
        <v>306.55245831338061</v>
      </c>
      <c r="AJO222" s="727">
        <v>306.55245831338061</v>
      </c>
      <c r="AJP222" s="727">
        <v>306.55245831338061</v>
      </c>
      <c r="AJQ222" s="727">
        <v>306.55245831338061</v>
      </c>
      <c r="AJR222" s="727">
        <v>306.55245831338061</v>
      </c>
      <c r="AJS222" s="727">
        <v>306.55245831338061</v>
      </c>
      <c r="AJT222" s="727">
        <v>306.55245831338061</v>
      </c>
      <c r="AJU222" s="727">
        <v>306.55245831338061</v>
      </c>
      <c r="AJV222" s="727">
        <v>306.55245831338061</v>
      </c>
      <c r="AJW222" s="727">
        <v>306.55245831338061</v>
      </c>
      <c r="AJX222" s="727">
        <v>306.55245831338061</v>
      </c>
      <c r="AJY222" s="727">
        <v>306.55245831338061</v>
      </c>
      <c r="AJZ222" s="727">
        <v>306.55245831338061</v>
      </c>
      <c r="AKA222" s="727">
        <v>306.55245831338061</v>
      </c>
      <c r="AKB222" s="727">
        <v>306.55245831338061</v>
      </c>
      <c r="AKC222" s="727">
        <v>306.55245831338061</v>
      </c>
      <c r="AKD222" s="727">
        <v>306.55245831338061</v>
      </c>
      <c r="AKE222" s="727">
        <v>306.55245831338061</v>
      </c>
      <c r="AKF222" s="727">
        <v>306.55245831338061</v>
      </c>
      <c r="AKG222" s="727">
        <v>306.55245831338061</v>
      </c>
      <c r="AKH222" s="727">
        <v>306.55245831338061</v>
      </c>
      <c r="AKI222" s="727">
        <v>306.55245831338061</v>
      </c>
      <c r="AKJ222" s="727">
        <v>306.55245831338061</v>
      </c>
      <c r="AKK222" s="727">
        <v>306.55245831338061</v>
      </c>
      <c r="AKL222" s="727">
        <v>306.55245831338061</v>
      </c>
      <c r="AKM222" s="727">
        <v>306.55245831338061</v>
      </c>
      <c r="AKN222" s="727">
        <v>306.55245831338061</v>
      </c>
      <c r="AKO222" s="727">
        <v>121.0727592381094</v>
      </c>
      <c r="AKP222" s="727">
        <v>251.58092376863095</v>
      </c>
      <c r="AKQ222" s="727">
        <v>251.58092376863095</v>
      </c>
      <c r="AKR222" s="727">
        <v>559.86250076040449</v>
      </c>
      <c r="AKS222" s="727">
        <v>285.05644083710104</v>
      </c>
      <c r="AKT222" s="727">
        <v>568.95265014299628</v>
      </c>
      <c r="AKU222" s="727">
        <v>568.95265014299628</v>
      </c>
      <c r="AKV222" s="727">
        <v>251.58092376863095</v>
      </c>
      <c r="AKW222" s="727">
        <v>251.58092376863095</v>
      </c>
      <c r="AKX222" s="727">
        <v>251.58092376863095</v>
      </c>
      <c r="AKY222" s="727">
        <v>237.61611909057012</v>
      </c>
      <c r="AKZ222" s="727">
        <v>237.61611909057012</v>
      </c>
      <c r="ALA222" s="727">
        <v>559.86250076040449</v>
      </c>
      <c r="ALB222" s="727">
        <v>343.33840427704536</v>
      </c>
      <c r="ALC222" s="727">
        <v>343.33840427704536</v>
      </c>
      <c r="ALD222" s="727">
        <v>356.46862005190007</v>
      </c>
      <c r="ALE222" s="727">
        <v>559.86250076040449</v>
      </c>
      <c r="ALF222" s="727">
        <v>237.61611909057012</v>
      </c>
      <c r="ALG222" s="727">
        <v>495.05453300292947</v>
      </c>
      <c r="ALH222" s="727">
        <v>495.05453300292947</v>
      </c>
      <c r="ALI222" s="727">
        <v>356.46862005190007</v>
      </c>
      <c r="ALJ222" s="727">
        <v>356.46862005190007</v>
      </c>
      <c r="ALK222" s="727">
        <v>237.61611909057012</v>
      </c>
      <c r="ALL222" s="727">
        <v>489.61063262108257</v>
      </c>
      <c r="ALM222" s="727">
        <v>237.61611909057012</v>
      </c>
      <c r="ALN222" s="727">
        <v>489.61063262108257</v>
      </c>
      <c r="ALO222" s="727">
        <v>489.61063262108257</v>
      </c>
      <c r="ALP222" s="727">
        <v>559.25496480859351</v>
      </c>
      <c r="ALQ222" s="727">
        <v>492.83421322927796</v>
      </c>
      <c r="ALR222" s="727">
        <v>492.83421322927796</v>
      </c>
      <c r="ALS222" s="727">
        <v>492.83421322927796</v>
      </c>
      <c r="ALT222" s="727">
        <v>492.83421322927796</v>
      </c>
      <c r="ALU222" s="727">
        <v>492.83421322927796</v>
      </c>
      <c r="ALV222" s="727">
        <v>492.83421322927796</v>
      </c>
      <c r="ALW222" s="727">
        <v>446.42209074422249</v>
      </c>
      <c r="ALX222" s="727">
        <v>356.46862005190007</v>
      </c>
      <c r="ALY222" s="727">
        <v>356.46862005190007</v>
      </c>
      <c r="ALZ222" s="727">
        <v>356.46862005190007</v>
      </c>
      <c r="AMA222" s="727">
        <v>446.42209074422249</v>
      </c>
      <c r="AMB222" s="727">
        <v>535.1157426728131</v>
      </c>
      <c r="AMC222" s="727">
        <v>804.57699350295354</v>
      </c>
      <c r="AMD222" s="727">
        <v>804.57699350295354</v>
      </c>
      <c r="AME222" s="727">
        <v>804.57699350295354</v>
      </c>
      <c r="AMF222" s="727">
        <v>535.1157426728131</v>
      </c>
      <c r="AMG222" s="727">
        <v>535.1157426728131</v>
      </c>
      <c r="AMH222" s="727">
        <v>535.1157426728131</v>
      </c>
      <c r="AMI222" s="727">
        <v>535.1157426728131</v>
      </c>
      <c r="AMJ222" s="727">
        <v>535.1157426728131</v>
      </c>
      <c r="AMK222" s="732">
        <v>535.1157426728131</v>
      </c>
    </row>
    <row r="223" spans="2:1025" x14ac:dyDescent="0.25">
      <c r="B223" s="737" t="s">
        <v>2895</v>
      </c>
      <c r="C223" s="737" t="s">
        <v>2896</v>
      </c>
      <c r="D223" s="738">
        <v>4666.1590999999999</v>
      </c>
      <c r="E223" s="738">
        <v>1790.4453000000001</v>
      </c>
      <c r="F223" s="738">
        <v>53601.245699999999</v>
      </c>
      <c r="G223" s="738">
        <v>251.93393432003509</v>
      </c>
    </row>
    <row r="224" spans="2:1025" x14ac:dyDescent="0.25">
      <c r="B224" s="737" t="s">
        <v>2897</v>
      </c>
      <c r="C224" s="737" t="s">
        <v>2898</v>
      </c>
      <c r="D224" s="738">
        <v>4967.7192999999997</v>
      </c>
      <c r="E224" s="738">
        <v>1775.2487000000001</v>
      </c>
      <c r="F224" s="738">
        <v>59001.4205</v>
      </c>
      <c r="G224" s="738">
        <v>251.93393432003509</v>
      </c>
    </row>
    <row r="225" spans="2:7" x14ac:dyDescent="0.25">
      <c r="B225" s="737" t="s">
        <v>2899</v>
      </c>
      <c r="C225" s="737" t="s">
        <v>2900</v>
      </c>
      <c r="D225" s="738">
        <v>4562.0446000000002</v>
      </c>
      <c r="E225" s="738">
        <v>1783.5742</v>
      </c>
      <c r="F225" s="738">
        <v>51629.196000000004</v>
      </c>
      <c r="G225" s="738">
        <v>251.93393432003509</v>
      </c>
    </row>
    <row r="226" spans="2:7" x14ac:dyDescent="0.25">
      <c r="B226" s="737" t="s">
        <v>2901</v>
      </c>
      <c r="C226" s="737" t="s">
        <v>2902</v>
      </c>
      <c r="D226" s="738">
        <v>4675.9965000000002</v>
      </c>
      <c r="E226" s="738">
        <v>1806.2153000000001</v>
      </c>
      <c r="F226" s="738">
        <v>53714.362399999998</v>
      </c>
      <c r="G226" s="738">
        <v>251.93393432003509</v>
      </c>
    </row>
    <row r="227" spans="2:7" x14ac:dyDescent="0.25">
      <c r="B227" s="737" t="s">
        <v>2903</v>
      </c>
      <c r="C227" s="737" t="s">
        <v>2904</v>
      </c>
      <c r="D227" s="738">
        <v>4458.0072</v>
      </c>
      <c r="E227" s="738">
        <v>1801.57</v>
      </c>
      <c r="F227" s="738">
        <v>49767.7091</v>
      </c>
      <c r="G227" s="738">
        <v>251.93393432003509</v>
      </c>
    </row>
    <row r="228" spans="2:7" x14ac:dyDescent="0.25">
      <c r="B228" s="737" t="s">
        <v>2905</v>
      </c>
      <c r="C228" s="737" t="s">
        <v>2906</v>
      </c>
      <c r="D228" s="738">
        <v>4715.8171000000002</v>
      </c>
      <c r="E228" s="738">
        <v>1782.8504</v>
      </c>
      <c r="F228" s="738">
        <v>54461.029799999997</v>
      </c>
      <c r="G228" s="738">
        <v>499.59520894476304</v>
      </c>
    </row>
    <row r="229" spans="2:7" x14ac:dyDescent="0.25">
      <c r="B229" s="737" t="s">
        <v>2907</v>
      </c>
      <c r="C229" s="737" t="s">
        <v>2908</v>
      </c>
      <c r="D229" s="738">
        <v>4391.8065999999999</v>
      </c>
      <c r="E229" s="738">
        <v>1786.0894000000001</v>
      </c>
      <c r="F229" s="738">
        <v>48664.677499999998</v>
      </c>
      <c r="G229" s="738">
        <v>251.93393432003509</v>
      </c>
    </row>
    <row r="230" spans="2:7" x14ac:dyDescent="0.25">
      <c r="B230" s="737" t="s">
        <v>2909</v>
      </c>
      <c r="C230" s="737" t="s">
        <v>2910</v>
      </c>
      <c r="D230" s="738">
        <v>4140.4170000000004</v>
      </c>
      <c r="E230" s="738">
        <v>1782.4881</v>
      </c>
      <c r="F230" s="738">
        <v>44072.657800000001</v>
      </c>
      <c r="G230" s="738">
        <v>251.93393432003509</v>
      </c>
    </row>
    <row r="231" spans="2:7" x14ac:dyDescent="0.25">
      <c r="B231" s="737" t="s">
        <v>2911</v>
      </c>
      <c r="C231" s="737" t="s">
        <v>2912</v>
      </c>
      <c r="D231" s="738">
        <v>4419.9327000000003</v>
      </c>
      <c r="E231" s="738">
        <v>1774.7435</v>
      </c>
      <c r="F231" s="738">
        <v>49099.240899999997</v>
      </c>
      <c r="G231" s="738">
        <v>251.93393432003509</v>
      </c>
    </row>
    <row r="232" spans="2:7" x14ac:dyDescent="0.25">
      <c r="B232" s="737" t="s">
        <v>2913</v>
      </c>
      <c r="C232" s="737" t="s">
        <v>2914</v>
      </c>
      <c r="D232" s="738">
        <v>4429.9566000000004</v>
      </c>
      <c r="E232" s="738">
        <v>1775.6324999999999</v>
      </c>
      <c r="F232" s="738">
        <v>49280.566400000003</v>
      </c>
      <c r="G232" s="738">
        <v>251.93393432003509</v>
      </c>
    </row>
    <row r="233" spans="2:7" x14ac:dyDescent="0.25">
      <c r="B233" s="737" t="s">
        <v>2915</v>
      </c>
      <c r="C233" s="737" t="s">
        <v>2916</v>
      </c>
      <c r="D233" s="738">
        <v>4267.9282999999996</v>
      </c>
      <c r="E233" s="738">
        <v>1779.4870000000001</v>
      </c>
      <c r="F233" s="738">
        <v>46400.339699999997</v>
      </c>
      <c r="G233" s="738">
        <v>251.93393432003509</v>
      </c>
    </row>
    <row r="234" spans="2:7" x14ac:dyDescent="0.25">
      <c r="B234" s="737" t="s">
        <v>2917</v>
      </c>
      <c r="C234" s="737" t="s">
        <v>2918</v>
      </c>
      <c r="D234" s="738">
        <v>4229.9984000000004</v>
      </c>
      <c r="E234" s="738">
        <v>1780.3063</v>
      </c>
      <c r="F234" s="738">
        <v>45666.7736</v>
      </c>
      <c r="G234" s="738">
        <v>251.93393432003509</v>
      </c>
    </row>
    <row r="235" spans="2:7" x14ac:dyDescent="0.25">
      <c r="B235" s="737" t="s">
        <v>2919</v>
      </c>
      <c r="C235" s="737" t="s">
        <v>2920</v>
      </c>
      <c r="D235" s="738">
        <v>4148.6670000000004</v>
      </c>
      <c r="E235" s="738">
        <v>1798.8397</v>
      </c>
      <c r="F235" s="738">
        <v>44098.085099999997</v>
      </c>
      <c r="G235" s="738">
        <v>251.93393432003509</v>
      </c>
    </row>
    <row r="236" spans="2:7" x14ac:dyDescent="0.25">
      <c r="B236" s="737" t="s">
        <v>2921</v>
      </c>
      <c r="C236" s="737" t="s">
        <v>2922</v>
      </c>
      <c r="D236" s="738">
        <v>4085.9803000000002</v>
      </c>
      <c r="E236" s="738">
        <v>1777.2739999999999</v>
      </c>
      <c r="F236" s="738">
        <v>43071.713400000001</v>
      </c>
      <c r="G236" s="738">
        <v>251.93393432003509</v>
      </c>
    </row>
    <row r="237" spans="2:7" x14ac:dyDescent="0.25">
      <c r="B237" s="737" t="s">
        <v>2923</v>
      </c>
      <c r="C237" s="737" t="s">
        <v>2924</v>
      </c>
      <c r="D237" s="738">
        <v>4165.4034000000001</v>
      </c>
      <c r="E237" s="738">
        <v>1778.9788000000001</v>
      </c>
      <c r="F237" s="738">
        <v>44485.101000000002</v>
      </c>
      <c r="G237" s="738">
        <v>251.93393432003509</v>
      </c>
    </row>
    <row r="238" spans="2:7" x14ac:dyDescent="0.25">
      <c r="B238" s="737" t="s">
        <v>2925</v>
      </c>
      <c r="C238" s="737" t="s">
        <v>2926</v>
      </c>
      <c r="D238" s="738">
        <v>4160.9011</v>
      </c>
      <c r="E238" s="738">
        <v>1792.7746999999999</v>
      </c>
      <c r="F238" s="738">
        <v>44448.319300000003</v>
      </c>
      <c r="G238" s="738">
        <v>251.93393432003509</v>
      </c>
    </row>
    <row r="239" spans="2:7" x14ac:dyDescent="0.25">
      <c r="B239" s="737" t="s">
        <v>2927</v>
      </c>
      <c r="C239" s="737" t="s">
        <v>2928</v>
      </c>
      <c r="D239" s="738">
        <v>4473.4354000000003</v>
      </c>
      <c r="E239" s="738">
        <v>1783.1190999999999</v>
      </c>
      <c r="F239" s="738">
        <v>50027.922599999998</v>
      </c>
      <c r="G239" s="738">
        <v>251.93393432003509</v>
      </c>
    </row>
    <row r="240" spans="2:7" x14ac:dyDescent="0.25">
      <c r="B240" s="737" t="s">
        <v>2929</v>
      </c>
      <c r="C240" s="737" t="s">
        <v>2930</v>
      </c>
      <c r="D240" s="738">
        <v>4947.5631999999996</v>
      </c>
      <c r="E240" s="738">
        <v>1796.7079000000001</v>
      </c>
      <c r="F240" s="738">
        <v>50419.922299999998</v>
      </c>
      <c r="G240" s="738">
        <v>251.93393432003509</v>
      </c>
    </row>
    <row r="241" spans="2:7" x14ac:dyDescent="0.25">
      <c r="B241" s="737" t="s">
        <v>2931</v>
      </c>
      <c r="C241" s="737" t="s">
        <v>2932</v>
      </c>
      <c r="D241" s="738">
        <v>4158.9052000000001</v>
      </c>
      <c r="E241" s="738">
        <v>1782.3572999999999</v>
      </c>
      <c r="F241" s="738">
        <v>44407.278299999998</v>
      </c>
      <c r="G241" s="738">
        <v>251.93393432003509</v>
      </c>
    </row>
    <row r="242" spans="2:7" x14ac:dyDescent="0.25">
      <c r="B242" s="737" t="s">
        <v>2933</v>
      </c>
      <c r="C242" s="737" t="s">
        <v>2934</v>
      </c>
      <c r="D242" s="738">
        <v>4828.3984</v>
      </c>
      <c r="E242" s="738">
        <v>1796.9238</v>
      </c>
      <c r="F242" s="738">
        <v>48058.063999999998</v>
      </c>
      <c r="G242" s="738">
        <v>499.59520894476304</v>
      </c>
    </row>
    <row r="243" spans="2:7" x14ac:dyDescent="0.25">
      <c r="B243" s="737" t="s">
        <v>2935</v>
      </c>
      <c r="C243" s="737" t="s">
        <v>2936</v>
      </c>
      <c r="D243" s="738">
        <v>4453.4409999999998</v>
      </c>
      <c r="E243" s="738">
        <v>1820.8530000000001</v>
      </c>
      <c r="F243" s="738">
        <v>41048.1158</v>
      </c>
      <c r="G243" s="738">
        <v>499.59520894476304</v>
      </c>
    </row>
    <row r="244" spans="2:7" x14ac:dyDescent="0.25">
      <c r="B244" s="737" t="s">
        <v>2937</v>
      </c>
      <c r="C244" s="737" t="s">
        <v>2938</v>
      </c>
      <c r="D244" s="738">
        <v>4478.9031000000004</v>
      </c>
      <c r="E244" s="738">
        <v>1796.3099</v>
      </c>
      <c r="F244" s="738">
        <v>41889.8943</v>
      </c>
      <c r="G244" s="738">
        <v>499.59520894476304</v>
      </c>
    </row>
    <row r="245" spans="2:7" x14ac:dyDescent="0.25">
      <c r="B245" s="737" t="s">
        <v>2939</v>
      </c>
      <c r="C245" s="737" t="s">
        <v>2940</v>
      </c>
      <c r="D245" s="738">
        <v>4292.7654000000002</v>
      </c>
      <c r="E245" s="738">
        <v>1789.9917</v>
      </c>
      <c r="F245" s="738">
        <v>38579.910799999998</v>
      </c>
      <c r="G245" s="738">
        <v>499.59520894476304</v>
      </c>
    </row>
    <row r="246" spans="2:7" x14ac:dyDescent="0.25">
      <c r="B246" s="737" t="s">
        <v>2941</v>
      </c>
      <c r="C246" s="737" t="s">
        <v>2942</v>
      </c>
      <c r="D246" s="738">
        <v>4344.5861999999997</v>
      </c>
      <c r="E246" s="738">
        <v>1780.1966</v>
      </c>
      <c r="F246" s="738">
        <v>39465.895199999999</v>
      </c>
      <c r="G246" s="738">
        <v>499.59520894476304</v>
      </c>
    </row>
    <row r="247" spans="2:7" x14ac:dyDescent="0.25">
      <c r="B247" s="737" t="s">
        <v>2943</v>
      </c>
      <c r="C247" s="737" t="s">
        <v>2944</v>
      </c>
      <c r="D247" s="738">
        <v>4888.2995000000001</v>
      </c>
      <c r="E247" s="738">
        <v>1793.7311999999999</v>
      </c>
      <c r="F247" s="738">
        <v>49261.775600000001</v>
      </c>
      <c r="G247" s="738">
        <v>499.59520894476304</v>
      </c>
    </row>
    <row r="248" spans="2:7" x14ac:dyDescent="0.25">
      <c r="B248" s="737" t="s">
        <v>2945</v>
      </c>
      <c r="C248" s="737" t="s">
        <v>2946</v>
      </c>
      <c r="D248" s="738">
        <v>4493.1791000000003</v>
      </c>
      <c r="E248" s="738">
        <v>1793.7678000000001</v>
      </c>
      <c r="F248" s="738">
        <v>41999.4548</v>
      </c>
      <c r="G248" s="738">
        <v>499.59520894476304</v>
      </c>
    </row>
    <row r="249" spans="2:7" x14ac:dyDescent="0.25">
      <c r="B249" s="737" t="s">
        <v>2947</v>
      </c>
      <c r="C249" s="737" t="s">
        <v>2948</v>
      </c>
      <c r="D249" s="738">
        <v>3612.2712000000001</v>
      </c>
      <c r="E249" s="738">
        <v>1810.5853</v>
      </c>
      <c r="F249" s="738">
        <v>34387.3344</v>
      </c>
      <c r="G249" s="738">
        <v>251.93393432003509</v>
      </c>
    </row>
    <row r="250" spans="2:7" x14ac:dyDescent="0.25">
      <c r="B250" s="737" t="s">
        <v>2949</v>
      </c>
      <c r="C250" s="737" t="s">
        <v>2950</v>
      </c>
      <c r="D250" s="738">
        <v>4865.1831000000002</v>
      </c>
      <c r="E250" s="738">
        <v>1810.8162</v>
      </c>
      <c r="F250" s="738">
        <v>48806.730199999998</v>
      </c>
      <c r="G250" s="738">
        <v>499.59520894476304</v>
      </c>
    </row>
    <row r="251" spans="2:7" x14ac:dyDescent="0.25">
      <c r="B251" s="737" t="s">
        <v>2951</v>
      </c>
      <c r="C251" s="737" t="s">
        <v>2952</v>
      </c>
      <c r="D251" s="738">
        <v>4555.4445999999998</v>
      </c>
      <c r="E251" s="738">
        <v>1787.9629</v>
      </c>
      <c r="F251" s="738">
        <v>43184.880499999999</v>
      </c>
      <c r="G251" s="738">
        <v>499.59520894476304</v>
      </c>
    </row>
    <row r="252" spans="2:7" x14ac:dyDescent="0.25">
      <c r="B252" s="737" t="s">
        <v>2953</v>
      </c>
      <c r="C252" s="737" t="s">
        <v>2954</v>
      </c>
      <c r="D252" s="738">
        <v>4721.7226000000001</v>
      </c>
      <c r="E252" s="738">
        <v>1804.5998999999999</v>
      </c>
      <c r="F252" s="738">
        <v>46215.724000000002</v>
      </c>
      <c r="G252" s="738">
        <v>499.59520894476304</v>
      </c>
    </row>
    <row r="253" spans="2:7" x14ac:dyDescent="0.25">
      <c r="B253" s="737" t="s">
        <v>2955</v>
      </c>
      <c r="C253" s="737" t="s">
        <v>2956</v>
      </c>
      <c r="D253" s="738">
        <v>4367.6296000000002</v>
      </c>
      <c r="E253" s="738">
        <v>1806.3893</v>
      </c>
      <c r="F253" s="738">
        <v>48127.258000000002</v>
      </c>
      <c r="G253" s="738">
        <v>499.59520894476304</v>
      </c>
    </row>
    <row r="254" spans="2:7" x14ac:dyDescent="0.25">
      <c r="B254" s="737" t="s">
        <v>2957</v>
      </c>
      <c r="C254" s="737" t="s">
        <v>2958</v>
      </c>
      <c r="D254" s="738">
        <v>4473.3211000000001</v>
      </c>
      <c r="E254" s="738">
        <v>1780.3792000000001</v>
      </c>
      <c r="F254" s="738">
        <v>50142.498</v>
      </c>
      <c r="G254" s="738">
        <v>251.93393432003509</v>
      </c>
    </row>
    <row r="255" spans="2:7" x14ac:dyDescent="0.25">
      <c r="B255" s="737" t="s">
        <v>2959</v>
      </c>
      <c r="C255" s="737" t="s">
        <v>2960</v>
      </c>
      <c r="D255" s="738">
        <v>4189.3666000000003</v>
      </c>
      <c r="E255" s="738">
        <v>1813.8338000000001</v>
      </c>
      <c r="F255" s="738">
        <v>36481.8226</v>
      </c>
      <c r="G255" s="738">
        <v>499.59520894476304</v>
      </c>
    </row>
    <row r="256" spans="2:7" x14ac:dyDescent="0.25">
      <c r="B256" s="737" t="s">
        <v>2961</v>
      </c>
      <c r="C256" s="737" t="s">
        <v>2962</v>
      </c>
      <c r="D256" s="738">
        <v>4185.2298000000001</v>
      </c>
      <c r="E256" s="738">
        <v>1785.5056999999999</v>
      </c>
      <c r="F256" s="738">
        <v>36649.117400000003</v>
      </c>
      <c r="G256" s="738">
        <v>499.59520894476304</v>
      </c>
    </row>
    <row r="257" spans="2:7" x14ac:dyDescent="0.25">
      <c r="B257" s="737" t="s">
        <v>2963</v>
      </c>
      <c r="C257" s="737" t="s">
        <v>2964</v>
      </c>
      <c r="D257" s="738">
        <v>4352.2870000000003</v>
      </c>
      <c r="E257" s="738">
        <v>1792.9204999999999</v>
      </c>
      <c r="F257" s="738">
        <v>39638.991900000001</v>
      </c>
      <c r="G257" s="738">
        <v>499.59520894476304</v>
      </c>
    </row>
    <row r="258" spans="2:7" x14ac:dyDescent="0.25">
      <c r="B258" s="737" t="s">
        <v>2965</v>
      </c>
      <c r="C258" s="737" t="s">
        <v>2966</v>
      </c>
      <c r="D258" s="738">
        <v>4213.7178000000004</v>
      </c>
      <c r="E258" s="738">
        <v>1810.7380000000001</v>
      </c>
      <c r="F258" s="738">
        <v>36929.847199999997</v>
      </c>
      <c r="G258" s="738">
        <v>499.59520894476304</v>
      </c>
    </row>
    <row r="259" spans="2:7" x14ac:dyDescent="0.25">
      <c r="B259" s="737" t="s">
        <v>2967</v>
      </c>
      <c r="C259" s="737" t="s">
        <v>2968</v>
      </c>
      <c r="D259" s="738">
        <v>3694.3292999999999</v>
      </c>
      <c r="E259" s="738">
        <v>1799.2328</v>
      </c>
      <c r="F259" s="738">
        <v>35965.824500000002</v>
      </c>
      <c r="G259" s="738">
        <v>499.59520894476304</v>
      </c>
    </row>
    <row r="260" spans="2:7" x14ac:dyDescent="0.25">
      <c r="B260" s="737" t="s">
        <v>2969</v>
      </c>
      <c r="C260" s="737" t="s">
        <v>2970</v>
      </c>
      <c r="D260" s="738">
        <v>4280.9027999999998</v>
      </c>
      <c r="E260" s="738">
        <v>1785.9717000000001</v>
      </c>
      <c r="F260" s="738">
        <v>38274.179600000003</v>
      </c>
      <c r="G260" s="738">
        <v>499.59520894476304</v>
      </c>
    </row>
    <row r="261" spans="2:7" x14ac:dyDescent="0.25">
      <c r="B261" s="737" t="s">
        <v>2971</v>
      </c>
      <c r="C261" s="737" t="s">
        <v>2972</v>
      </c>
      <c r="D261" s="738">
        <v>3738.7678000000001</v>
      </c>
      <c r="E261" s="738">
        <v>1790.3933999999999</v>
      </c>
      <c r="F261" s="738">
        <v>36813.734199999999</v>
      </c>
      <c r="G261" s="738">
        <v>251.93393432003509</v>
      </c>
    </row>
    <row r="262" spans="2:7" x14ac:dyDescent="0.25">
      <c r="B262" s="737" t="s">
        <v>2973</v>
      </c>
      <c r="C262" s="737" t="s">
        <v>2974</v>
      </c>
      <c r="D262" s="738">
        <v>3729.4149000000002</v>
      </c>
      <c r="E262" s="738">
        <v>1781.5544</v>
      </c>
      <c r="F262" s="738">
        <v>36617.672299999998</v>
      </c>
      <c r="G262" s="738">
        <v>251.93393432003509</v>
      </c>
    </row>
    <row r="263" spans="2:7" x14ac:dyDescent="0.25">
      <c r="B263" s="737" t="s">
        <v>2975</v>
      </c>
      <c r="C263" s="737" t="s">
        <v>2976</v>
      </c>
      <c r="D263" s="738">
        <v>3721.8114</v>
      </c>
      <c r="E263" s="738">
        <v>1788.9018000000001</v>
      </c>
      <c r="F263" s="738">
        <v>36516.144999999997</v>
      </c>
      <c r="G263" s="738">
        <v>499.59520894476304</v>
      </c>
    </row>
    <row r="264" spans="2:7" x14ac:dyDescent="0.25">
      <c r="B264" s="737" t="s">
        <v>2977</v>
      </c>
      <c r="C264" s="737" t="s">
        <v>2978</v>
      </c>
      <c r="D264" s="738">
        <v>4152.2067999999999</v>
      </c>
      <c r="E264" s="738">
        <v>1789.0835999999999</v>
      </c>
      <c r="F264" s="738">
        <v>36003.4179</v>
      </c>
      <c r="G264" s="738">
        <v>499.59520894476304</v>
      </c>
    </row>
    <row r="265" spans="2:7" x14ac:dyDescent="0.25">
      <c r="B265" s="737" t="s">
        <v>2979</v>
      </c>
      <c r="C265" s="737" t="s">
        <v>2980</v>
      </c>
      <c r="D265" s="738">
        <v>4743.4957000000004</v>
      </c>
      <c r="E265" s="738">
        <v>1794.9965999999999</v>
      </c>
      <c r="F265" s="738">
        <v>54967.582699999999</v>
      </c>
      <c r="G265" s="738">
        <v>251.93393432003509</v>
      </c>
    </row>
    <row r="266" spans="2:7" x14ac:dyDescent="0.25">
      <c r="B266" s="737" t="s">
        <v>2981</v>
      </c>
      <c r="C266" s="737" t="s">
        <v>2982</v>
      </c>
      <c r="D266" s="738">
        <v>3700.5751</v>
      </c>
      <c r="E266" s="738">
        <v>1789.9869000000001</v>
      </c>
      <c r="F266" s="738">
        <v>36133.974300000002</v>
      </c>
      <c r="G266" s="738">
        <v>499.59520894476304</v>
      </c>
    </row>
    <row r="267" spans="2:7" x14ac:dyDescent="0.25">
      <c r="B267" s="737" t="s">
        <v>2983</v>
      </c>
      <c r="C267" s="737" t="s">
        <v>2984</v>
      </c>
      <c r="D267" s="738">
        <v>3880.0270999999998</v>
      </c>
      <c r="E267" s="738">
        <v>1830.7111</v>
      </c>
      <c r="F267" s="738">
        <v>39126.568500000001</v>
      </c>
      <c r="G267" s="738">
        <v>499.59520894476304</v>
      </c>
    </row>
    <row r="268" spans="2:7" x14ac:dyDescent="0.25">
      <c r="B268" s="737" t="s">
        <v>2985</v>
      </c>
      <c r="C268" s="737" t="s">
        <v>2986</v>
      </c>
      <c r="D268" s="738">
        <v>3887.2330000000002</v>
      </c>
      <c r="E268" s="738">
        <v>1778.3488</v>
      </c>
      <c r="F268" s="738">
        <v>39544.472300000001</v>
      </c>
      <c r="G268" s="738">
        <v>251.93393432003509</v>
      </c>
    </row>
    <row r="269" spans="2:7" x14ac:dyDescent="0.25">
      <c r="B269" s="737" t="s">
        <v>2987</v>
      </c>
      <c r="C269" s="737" t="s">
        <v>2988</v>
      </c>
      <c r="D269" s="738">
        <v>3716.6215999999999</v>
      </c>
      <c r="E269" s="738">
        <v>1781.8703</v>
      </c>
      <c r="F269" s="738">
        <v>36455.196000000004</v>
      </c>
      <c r="G269" s="738">
        <v>251.93393432003509</v>
      </c>
    </row>
    <row r="270" spans="2:7" x14ac:dyDescent="0.25">
      <c r="B270" s="737" t="s">
        <v>2989</v>
      </c>
      <c r="C270" s="737" t="s">
        <v>2990</v>
      </c>
      <c r="D270" s="738">
        <v>3722.0558000000001</v>
      </c>
      <c r="E270" s="738">
        <v>1780.0518999999999</v>
      </c>
      <c r="F270" s="738">
        <v>36495.896099999998</v>
      </c>
      <c r="G270" s="738">
        <v>251.93393432003509</v>
      </c>
    </row>
    <row r="271" spans="2:7" x14ac:dyDescent="0.25">
      <c r="B271" s="737" t="s">
        <v>2991</v>
      </c>
      <c r="C271" s="737" t="s">
        <v>2992</v>
      </c>
      <c r="D271" s="738">
        <v>3952.7592</v>
      </c>
      <c r="E271" s="738">
        <v>1788.5030999999999</v>
      </c>
      <c r="F271" s="738">
        <v>40667.680699999997</v>
      </c>
      <c r="G271" s="738">
        <v>251.93393432003509</v>
      </c>
    </row>
    <row r="272" spans="2:7" x14ac:dyDescent="0.25">
      <c r="B272" s="737" t="s">
        <v>2993</v>
      </c>
      <c r="C272" s="737" t="s">
        <v>2994</v>
      </c>
      <c r="D272" s="738">
        <v>3956.8132000000001</v>
      </c>
      <c r="E272" s="738">
        <v>1797.53</v>
      </c>
      <c r="F272" s="738">
        <v>40748.870699999999</v>
      </c>
      <c r="G272" s="738">
        <v>251.93393432003509</v>
      </c>
    </row>
    <row r="273" spans="2:7" x14ac:dyDescent="0.25">
      <c r="B273" s="737" t="s">
        <v>2995</v>
      </c>
      <c r="C273" s="737" t="s">
        <v>2996</v>
      </c>
      <c r="D273" s="738">
        <v>3909.5720000000001</v>
      </c>
      <c r="E273" s="738">
        <v>1777.0429999999999</v>
      </c>
      <c r="F273" s="738">
        <v>39954.5726</v>
      </c>
      <c r="G273" s="738">
        <v>251.93393432003509</v>
      </c>
    </row>
    <row r="274" spans="2:7" x14ac:dyDescent="0.25">
      <c r="B274" s="737" t="s">
        <v>2997</v>
      </c>
      <c r="C274" s="737" t="s">
        <v>2998</v>
      </c>
      <c r="D274" s="738">
        <v>3831.3321999999998</v>
      </c>
      <c r="E274" s="738">
        <v>1797.9621</v>
      </c>
      <c r="F274" s="738">
        <v>38444.221400000002</v>
      </c>
      <c r="G274" s="738">
        <v>251.93393432003509</v>
      </c>
    </row>
    <row r="275" spans="2:7" x14ac:dyDescent="0.25">
      <c r="B275" s="737" t="s">
        <v>2999</v>
      </c>
      <c r="C275" s="737" t="s">
        <v>3000</v>
      </c>
      <c r="D275" s="738">
        <v>4170.7448000000004</v>
      </c>
      <c r="E275" s="738">
        <v>1860.4350999999999</v>
      </c>
      <c r="F275" s="738">
        <v>44217.525300000001</v>
      </c>
      <c r="G275" s="738">
        <v>251.93393432003509</v>
      </c>
    </row>
    <row r="276" spans="2:7" x14ac:dyDescent="0.25">
      <c r="B276" s="737" t="s">
        <v>3001</v>
      </c>
      <c r="C276" s="737" t="s">
        <v>3002</v>
      </c>
      <c r="D276" s="738">
        <v>4227.7713999999996</v>
      </c>
      <c r="E276" s="738">
        <v>1794.82</v>
      </c>
      <c r="F276" s="738">
        <v>37370.019800000002</v>
      </c>
      <c r="G276" s="738">
        <v>499.59520894476304</v>
      </c>
    </row>
    <row r="277" spans="2:7" x14ac:dyDescent="0.25">
      <c r="B277" s="737" t="s">
        <v>3003</v>
      </c>
      <c r="C277" s="737" t="s">
        <v>3004</v>
      </c>
      <c r="D277" s="738">
        <v>3626.6205</v>
      </c>
      <c r="E277" s="738">
        <v>1778.8562999999999</v>
      </c>
      <c r="F277" s="738">
        <v>34824.281600000002</v>
      </c>
      <c r="G277" s="738">
        <v>251.93393432003509</v>
      </c>
    </row>
    <row r="278" spans="2:7" x14ac:dyDescent="0.25">
      <c r="B278" s="737" t="s">
        <v>3005</v>
      </c>
      <c r="C278" s="737" t="s">
        <v>3006</v>
      </c>
      <c r="D278" s="738">
        <v>3578.9366</v>
      </c>
      <c r="E278" s="738">
        <v>1797.5306</v>
      </c>
      <c r="F278" s="738">
        <v>33896.937299999998</v>
      </c>
      <c r="G278" s="738">
        <v>251.93393432003509</v>
      </c>
    </row>
    <row r="279" spans="2:7" x14ac:dyDescent="0.25">
      <c r="B279" s="737" t="s">
        <v>3007</v>
      </c>
      <c r="C279" s="737" t="s">
        <v>3008</v>
      </c>
      <c r="D279" s="738">
        <v>3897.9432999999999</v>
      </c>
      <c r="E279" s="738">
        <v>1784.9248</v>
      </c>
      <c r="F279" s="738">
        <v>39640.085800000001</v>
      </c>
      <c r="G279" s="738">
        <v>251.93393432003509</v>
      </c>
    </row>
    <row r="280" spans="2:7" x14ac:dyDescent="0.25">
      <c r="B280" s="737" t="s">
        <v>3009</v>
      </c>
      <c r="C280" s="737" t="s">
        <v>3010</v>
      </c>
      <c r="D280" s="738">
        <v>3618.4450000000002</v>
      </c>
      <c r="E280" s="738">
        <v>1796.1084000000001</v>
      </c>
      <c r="F280" s="738">
        <v>34621.323299999996</v>
      </c>
      <c r="G280" s="738">
        <v>251.93393432003509</v>
      </c>
    </row>
    <row r="281" spans="2:7" x14ac:dyDescent="0.25">
      <c r="B281" s="737" t="s">
        <v>3011</v>
      </c>
      <c r="C281" s="737" t="s">
        <v>3012</v>
      </c>
      <c r="D281" s="738">
        <v>3595.7991999999999</v>
      </c>
      <c r="E281" s="738">
        <v>1797.3244</v>
      </c>
      <c r="F281" s="738">
        <v>34211.891499999998</v>
      </c>
      <c r="G281" s="738">
        <v>251.93393432003509</v>
      </c>
    </row>
    <row r="282" spans="2:7" x14ac:dyDescent="0.25">
      <c r="B282" s="737" t="s">
        <v>3013</v>
      </c>
      <c r="C282" s="737" t="s">
        <v>3014</v>
      </c>
      <c r="D282" s="738">
        <v>3664.1284999999998</v>
      </c>
      <c r="E282" s="738">
        <v>1785.4242999999999</v>
      </c>
      <c r="F282" s="738">
        <v>35435.112999999998</v>
      </c>
      <c r="G282" s="738">
        <v>251.93393432003509</v>
      </c>
    </row>
    <row r="283" spans="2:7" x14ac:dyDescent="0.25">
      <c r="B283" s="737" t="s">
        <v>3015</v>
      </c>
      <c r="C283" s="737" t="s">
        <v>3016</v>
      </c>
      <c r="D283" s="738">
        <v>3508.4101999999998</v>
      </c>
      <c r="E283" s="738">
        <v>1805.0626999999999</v>
      </c>
      <c r="F283" s="738">
        <v>32589.9035</v>
      </c>
      <c r="G283" s="738">
        <v>251.93393432003509</v>
      </c>
    </row>
    <row r="284" spans="2:7" x14ac:dyDescent="0.25">
      <c r="B284" s="737" t="s">
        <v>3017</v>
      </c>
      <c r="C284" s="737" t="s">
        <v>3018</v>
      </c>
      <c r="D284" s="738">
        <v>3539.7465000000002</v>
      </c>
      <c r="E284" s="738">
        <v>1809.3955000000001</v>
      </c>
      <c r="F284" s="738">
        <v>33123.268100000001</v>
      </c>
      <c r="G284" s="738">
        <v>251.93393432003509</v>
      </c>
    </row>
    <row r="285" spans="2:7" x14ac:dyDescent="0.25">
      <c r="B285" s="737" t="s">
        <v>3019</v>
      </c>
      <c r="C285" s="737" t="s">
        <v>3020</v>
      </c>
      <c r="D285" s="738">
        <v>3542.2694999999999</v>
      </c>
      <c r="E285" s="738">
        <v>1790.2090000000001</v>
      </c>
      <c r="F285" s="738">
        <v>33209.633699999998</v>
      </c>
      <c r="G285" s="738">
        <v>251.93393432003509</v>
      </c>
    </row>
    <row r="286" spans="2:7" x14ac:dyDescent="0.25">
      <c r="B286" s="737" t="s">
        <v>3021</v>
      </c>
      <c r="C286" s="737" t="s">
        <v>3022</v>
      </c>
      <c r="D286" s="738">
        <v>3555.7806</v>
      </c>
      <c r="E286" s="738">
        <v>1800.2227</v>
      </c>
      <c r="F286" s="738">
        <v>33411.127200000003</v>
      </c>
      <c r="G286" s="738">
        <v>251.93393432003509</v>
      </c>
    </row>
    <row r="287" spans="2:7" x14ac:dyDescent="0.25">
      <c r="B287" s="737" t="s">
        <v>3023</v>
      </c>
      <c r="C287" s="737" t="s">
        <v>3024</v>
      </c>
      <c r="D287" s="738">
        <v>3496.7532000000001</v>
      </c>
      <c r="E287" s="738">
        <v>1804.3643999999999</v>
      </c>
      <c r="F287" s="738">
        <v>32328.889500000001</v>
      </c>
      <c r="G287" s="738">
        <v>251.93393432003509</v>
      </c>
    </row>
    <row r="288" spans="2:7" x14ac:dyDescent="0.25">
      <c r="B288" s="737" t="s">
        <v>3025</v>
      </c>
      <c r="C288" s="737" t="s">
        <v>3026</v>
      </c>
      <c r="D288" s="738">
        <v>3494.2676999999999</v>
      </c>
      <c r="E288" s="738">
        <v>2118.6895</v>
      </c>
      <c r="F288" s="738">
        <v>30852.705600000001</v>
      </c>
      <c r="G288" s="738">
        <v>251.93393432003509</v>
      </c>
    </row>
    <row r="289" spans="2:7" x14ac:dyDescent="0.25">
      <c r="B289" s="737" t="s">
        <v>3027</v>
      </c>
      <c r="C289" s="737" t="s">
        <v>3028</v>
      </c>
      <c r="D289" s="738">
        <v>3500.5299</v>
      </c>
      <c r="E289" s="738">
        <v>1857.6561999999999</v>
      </c>
      <c r="F289" s="738">
        <v>32206.006799999999</v>
      </c>
      <c r="G289" s="738">
        <v>251.93393432003509</v>
      </c>
    </row>
    <row r="290" spans="2:7" x14ac:dyDescent="0.25">
      <c r="B290" s="737" t="s">
        <v>3029</v>
      </c>
      <c r="C290" s="737" t="s">
        <v>3030</v>
      </c>
      <c r="D290" s="738">
        <v>3259.5889999999999</v>
      </c>
      <c r="E290" s="738">
        <v>1814.4042999999999</v>
      </c>
      <c r="F290" s="738">
        <v>28054.660199999998</v>
      </c>
      <c r="G290" s="738">
        <v>251.93393432003509</v>
      </c>
    </row>
    <row r="291" spans="2:7" x14ac:dyDescent="0.25">
      <c r="B291" s="737" t="s">
        <v>3031</v>
      </c>
      <c r="C291" s="737" t="s">
        <v>3032</v>
      </c>
      <c r="D291" s="738">
        <v>3799.0520999999999</v>
      </c>
      <c r="E291" s="738">
        <v>1777.8689999999999</v>
      </c>
      <c r="F291" s="738">
        <v>37952.438000000002</v>
      </c>
      <c r="G291" s="738">
        <v>251.93393432003509</v>
      </c>
    </row>
    <row r="292" spans="2:7" x14ac:dyDescent="0.25">
      <c r="B292" s="737" t="s">
        <v>3033</v>
      </c>
      <c r="C292" s="737" t="s">
        <v>3034</v>
      </c>
      <c r="D292" s="738">
        <v>3721.9641999999999</v>
      </c>
      <c r="E292" s="738">
        <v>1776.826</v>
      </c>
      <c r="F292" s="738">
        <v>36563.088100000001</v>
      </c>
      <c r="G292" s="738">
        <v>251.93393432003509</v>
      </c>
    </row>
    <row r="293" spans="2:7" x14ac:dyDescent="0.25">
      <c r="B293" s="737" t="s">
        <v>3035</v>
      </c>
      <c r="C293" s="737" t="s">
        <v>3036</v>
      </c>
      <c r="D293" s="738">
        <v>3685.9007999999999</v>
      </c>
      <c r="E293" s="738">
        <v>1779.4812999999999</v>
      </c>
      <c r="F293" s="738">
        <v>35849.838000000003</v>
      </c>
      <c r="G293" s="738">
        <v>251.93393432003509</v>
      </c>
    </row>
    <row r="294" spans="2:7" x14ac:dyDescent="0.25">
      <c r="B294" s="737" t="s">
        <v>3037</v>
      </c>
      <c r="C294" s="737" t="s">
        <v>3038</v>
      </c>
      <c r="D294" s="738">
        <v>4303.3774000000003</v>
      </c>
      <c r="E294" s="738">
        <v>4902.8608000000004</v>
      </c>
      <c r="F294" s="738">
        <v>15385.1291</v>
      </c>
      <c r="G294" s="738">
        <v>446.42209074422249</v>
      </c>
    </row>
    <row r="295" spans="2:7" x14ac:dyDescent="0.25">
      <c r="B295" s="737" t="s">
        <v>3039</v>
      </c>
      <c r="C295" s="737" t="s">
        <v>3040</v>
      </c>
      <c r="D295" s="738">
        <v>4319.5703000000003</v>
      </c>
      <c r="E295" s="738">
        <v>4937.8617999999997</v>
      </c>
      <c r="F295" s="738">
        <v>15395.482099999999</v>
      </c>
      <c r="G295" s="738">
        <v>446.42209074422249</v>
      </c>
    </row>
    <row r="296" spans="2:7" x14ac:dyDescent="0.25">
      <c r="B296" s="737" t="s">
        <v>3041</v>
      </c>
      <c r="C296" s="737" t="s">
        <v>3042</v>
      </c>
      <c r="D296" s="738">
        <v>4493.8588</v>
      </c>
      <c r="E296" s="738">
        <v>5254.9839000000002</v>
      </c>
      <c r="F296" s="738">
        <v>15981.8858</v>
      </c>
      <c r="G296" s="738">
        <v>446.42209074422249</v>
      </c>
    </row>
    <row r="297" spans="2:7" x14ac:dyDescent="0.25">
      <c r="B297" s="737" t="s">
        <v>3043</v>
      </c>
      <c r="C297" s="737" t="s">
        <v>3044</v>
      </c>
      <c r="D297" s="738">
        <v>4124.0695999999998</v>
      </c>
      <c r="E297" s="738">
        <v>4515.2464</v>
      </c>
      <c r="F297" s="738">
        <v>15279.2204</v>
      </c>
      <c r="G297" s="738">
        <v>446.42209074422249</v>
      </c>
    </row>
    <row r="298" spans="2:7" x14ac:dyDescent="0.25">
      <c r="B298" s="737" t="s">
        <v>3045</v>
      </c>
      <c r="C298" s="737" t="s">
        <v>3046</v>
      </c>
      <c r="D298" s="738">
        <v>4128.6225000000004</v>
      </c>
      <c r="E298" s="738">
        <v>4518.4895999999999</v>
      </c>
      <c r="F298" s="738">
        <v>15339.3079</v>
      </c>
      <c r="G298" s="738">
        <v>446.42209074422249</v>
      </c>
    </row>
    <row r="299" spans="2:7" x14ac:dyDescent="0.25">
      <c r="B299" s="737" t="s">
        <v>3047</v>
      </c>
      <c r="C299" s="737" t="s">
        <v>3048</v>
      </c>
      <c r="D299" s="738">
        <v>4206.4714000000004</v>
      </c>
      <c r="E299" s="738">
        <v>4693.4463999999998</v>
      </c>
      <c r="F299" s="738">
        <v>15327.8613</v>
      </c>
      <c r="G299" s="738">
        <v>446.42209074422249</v>
      </c>
    </row>
    <row r="300" spans="2:7" x14ac:dyDescent="0.25">
      <c r="B300" s="737" t="s">
        <v>3049</v>
      </c>
      <c r="C300" s="737" t="s">
        <v>3050</v>
      </c>
      <c r="D300" s="738">
        <v>4174.3044</v>
      </c>
      <c r="E300" s="738">
        <v>4559.1719000000003</v>
      </c>
      <c r="F300" s="738">
        <v>15834.422699999999</v>
      </c>
      <c r="G300" s="738">
        <v>446.42209074422249</v>
      </c>
    </row>
    <row r="301" spans="2:7" x14ac:dyDescent="0.25">
      <c r="B301" s="737" t="s">
        <v>3051</v>
      </c>
      <c r="C301" s="737" t="s">
        <v>3052</v>
      </c>
      <c r="D301" s="738">
        <v>4011.2183</v>
      </c>
      <c r="E301" s="738">
        <v>4275.2029000000002</v>
      </c>
      <c r="F301" s="738">
        <v>15184.3223</v>
      </c>
      <c r="G301" s="738">
        <v>446.42209074422249</v>
      </c>
    </row>
    <row r="302" spans="2:7" x14ac:dyDescent="0.25">
      <c r="B302" s="737" t="s">
        <v>3053</v>
      </c>
      <c r="C302" s="737" t="s">
        <v>3054</v>
      </c>
      <c r="D302" s="738">
        <v>4081.8132999999998</v>
      </c>
      <c r="E302" s="738">
        <v>4389.0621000000001</v>
      </c>
      <c r="F302" s="738">
        <v>15537.2145</v>
      </c>
      <c r="G302" s="738">
        <v>446.42209074422249</v>
      </c>
    </row>
    <row r="303" spans="2:7" x14ac:dyDescent="0.25">
      <c r="B303" s="737" t="s">
        <v>3055</v>
      </c>
      <c r="C303" s="737" t="s">
        <v>3056</v>
      </c>
      <c r="D303" s="738">
        <v>3901.7898</v>
      </c>
      <c r="E303" s="738">
        <v>4052.4661999999998</v>
      </c>
      <c r="F303" s="738">
        <v>15004.3423</v>
      </c>
      <c r="G303" s="738">
        <v>446.42209074422249</v>
      </c>
    </row>
    <row r="304" spans="2:7" x14ac:dyDescent="0.25">
      <c r="B304" s="737" t="s">
        <v>3057</v>
      </c>
      <c r="C304" s="737" t="s">
        <v>3058</v>
      </c>
      <c r="D304" s="738">
        <v>4080.2132000000001</v>
      </c>
      <c r="E304" s="738">
        <v>4406.6187</v>
      </c>
      <c r="F304" s="738">
        <v>15364.2166</v>
      </c>
      <c r="G304" s="738">
        <v>446.42209074422249</v>
      </c>
    </row>
    <row r="305" spans="2:7" x14ac:dyDescent="0.25">
      <c r="B305" s="737" t="s">
        <v>3059</v>
      </c>
      <c r="C305" s="737" t="s">
        <v>3060</v>
      </c>
      <c r="D305" s="738">
        <v>3975.2903000000001</v>
      </c>
      <c r="E305" s="738">
        <v>4157.9441999999999</v>
      </c>
      <c r="F305" s="738">
        <v>15483.4254</v>
      </c>
      <c r="G305" s="738">
        <v>446.42209074422249</v>
      </c>
    </row>
    <row r="306" spans="2:7" x14ac:dyDescent="0.25">
      <c r="B306" s="737" t="s">
        <v>3061</v>
      </c>
      <c r="C306" s="737" t="s">
        <v>3062</v>
      </c>
      <c r="D306" s="738">
        <v>4055.6588999999999</v>
      </c>
      <c r="E306" s="738">
        <v>4323.2203</v>
      </c>
      <c r="F306" s="738">
        <v>15601.208199999999</v>
      </c>
      <c r="G306" s="738">
        <v>446.42209074422249</v>
      </c>
    </row>
    <row r="307" spans="2:7" x14ac:dyDescent="0.25">
      <c r="B307" s="737" t="s">
        <v>3063</v>
      </c>
      <c r="C307" s="737" t="s">
        <v>3064</v>
      </c>
      <c r="D307" s="738">
        <v>3915.2925</v>
      </c>
      <c r="E307" s="738">
        <v>3996.2089000000001</v>
      </c>
      <c r="F307" s="738">
        <v>15708.994500000001</v>
      </c>
      <c r="G307" s="738">
        <v>446.42209074422249</v>
      </c>
    </row>
    <row r="308" spans="2:7" x14ac:dyDescent="0.25">
      <c r="B308" s="737" t="s">
        <v>3065</v>
      </c>
      <c r="C308" s="737" t="s">
        <v>3066</v>
      </c>
      <c r="D308" s="738">
        <v>3938.8389000000002</v>
      </c>
      <c r="E308" s="738">
        <v>3992.6698000000001</v>
      </c>
      <c r="F308" s="738">
        <v>16158.7852</v>
      </c>
      <c r="G308" s="738">
        <v>446.42209074422249</v>
      </c>
    </row>
    <row r="309" spans="2:7" x14ac:dyDescent="0.25">
      <c r="B309" s="737" t="s">
        <v>3067</v>
      </c>
      <c r="C309" s="737" t="s">
        <v>3068</v>
      </c>
      <c r="D309" s="738">
        <v>3782.7008000000001</v>
      </c>
      <c r="E309" s="738">
        <v>3535.6907999999999</v>
      </c>
      <c r="F309" s="738">
        <v>17008.598999999998</v>
      </c>
      <c r="G309" s="738">
        <v>446.42209074422249</v>
      </c>
    </row>
    <row r="310" spans="2:7" x14ac:dyDescent="0.25">
      <c r="B310" s="737" t="s">
        <v>3069</v>
      </c>
      <c r="C310" s="737" t="s">
        <v>3070</v>
      </c>
      <c r="D310" s="738">
        <v>3853.2734</v>
      </c>
      <c r="E310" s="738">
        <v>3816.2687000000001</v>
      </c>
      <c r="F310" s="738">
        <v>16043.7269</v>
      </c>
      <c r="G310" s="738">
        <v>446.42209074422249</v>
      </c>
    </row>
    <row r="311" spans="2:7" x14ac:dyDescent="0.25">
      <c r="B311" s="737" t="s">
        <v>3071</v>
      </c>
      <c r="C311" s="737" t="s">
        <v>3072</v>
      </c>
      <c r="D311" s="738">
        <v>3787.9504000000002</v>
      </c>
      <c r="E311" s="738">
        <v>3720.5309999999999</v>
      </c>
      <c r="F311" s="738">
        <v>15618.805</v>
      </c>
      <c r="G311" s="738">
        <v>446.42209074422249</v>
      </c>
    </row>
    <row r="312" spans="2:7" x14ac:dyDescent="0.25">
      <c r="B312" s="737" t="s">
        <v>3073</v>
      </c>
      <c r="C312" s="737" t="s">
        <v>3074</v>
      </c>
      <c r="D312" s="738">
        <v>3815.4294</v>
      </c>
      <c r="E312" s="738">
        <v>3599.7775999999999</v>
      </c>
      <c r="F312" s="738">
        <v>17112.256799999999</v>
      </c>
      <c r="G312" s="738">
        <v>446.42209074422249</v>
      </c>
    </row>
    <row r="313" spans="2:7" x14ac:dyDescent="0.25">
      <c r="B313" s="737" t="s">
        <v>3075</v>
      </c>
      <c r="C313" s="737" t="s">
        <v>3076</v>
      </c>
      <c r="D313" s="738">
        <v>3901.4819000000002</v>
      </c>
      <c r="E313" s="738">
        <v>3825.4169000000002</v>
      </c>
      <c r="F313" s="738">
        <v>16839.628799999999</v>
      </c>
      <c r="G313" s="738">
        <v>446.42209074422249</v>
      </c>
    </row>
    <row r="314" spans="2:7" x14ac:dyDescent="0.25">
      <c r="B314" s="737" t="s">
        <v>3077</v>
      </c>
      <c r="C314" s="737" t="s">
        <v>3078</v>
      </c>
      <c r="D314" s="738">
        <v>3839.5700999999999</v>
      </c>
      <c r="E314" s="738">
        <v>3720.1498000000001</v>
      </c>
      <c r="F314" s="738">
        <v>16574.840199999999</v>
      </c>
      <c r="G314" s="738">
        <v>446.42209074422249</v>
      </c>
    </row>
    <row r="315" spans="2:7" x14ac:dyDescent="0.25">
      <c r="B315" s="737" t="s">
        <v>3079</v>
      </c>
      <c r="C315" s="737" t="s">
        <v>3080</v>
      </c>
      <c r="D315" s="738">
        <v>3862.5032000000001</v>
      </c>
      <c r="E315" s="738">
        <v>3764.7804999999998</v>
      </c>
      <c r="F315" s="738">
        <v>16627.7801</v>
      </c>
      <c r="G315" s="738">
        <v>446.42209074422249</v>
      </c>
    </row>
    <row r="316" spans="2:7" x14ac:dyDescent="0.25">
      <c r="B316" s="737" t="s">
        <v>3081</v>
      </c>
      <c r="C316" s="737" t="s">
        <v>3082</v>
      </c>
      <c r="D316" s="738">
        <v>3946.0738000000001</v>
      </c>
      <c r="E316" s="738">
        <v>3389.3395</v>
      </c>
      <c r="F316" s="738">
        <v>18281.418399999999</v>
      </c>
      <c r="G316" s="738">
        <v>492.83421322927796</v>
      </c>
    </row>
    <row r="317" spans="2:7" x14ac:dyDescent="0.25">
      <c r="B317" s="737" t="s">
        <v>3083</v>
      </c>
      <c r="C317" s="737" t="s">
        <v>3084</v>
      </c>
      <c r="D317" s="738">
        <v>3529.2775000000001</v>
      </c>
      <c r="E317" s="738">
        <v>3394.0538000000001</v>
      </c>
      <c r="F317" s="738">
        <v>19213.7405</v>
      </c>
      <c r="G317" s="738">
        <v>356.46862005190007</v>
      </c>
    </row>
    <row r="318" spans="2:7" x14ac:dyDescent="0.25">
      <c r="B318" s="737" t="s">
        <v>3085</v>
      </c>
      <c r="C318" s="737" t="s">
        <v>3086</v>
      </c>
      <c r="D318" s="738">
        <v>3478.9863999999998</v>
      </c>
      <c r="E318" s="738">
        <v>3275.9126999999999</v>
      </c>
      <c r="F318" s="738">
        <v>19066.3685</v>
      </c>
      <c r="G318" s="738">
        <v>356.46862005190007</v>
      </c>
    </row>
    <row r="319" spans="2:7" x14ac:dyDescent="0.25">
      <c r="B319" s="737" t="s">
        <v>3087</v>
      </c>
      <c r="C319" s="737" t="s">
        <v>3088</v>
      </c>
      <c r="D319" s="738">
        <v>3931.672</v>
      </c>
      <c r="E319" s="738">
        <v>3983.6999000000001</v>
      </c>
      <c r="F319" s="738">
        <v>16098.1994</v>
      </c>
      <c r="G319" s="738">
        <v>446.42209074422249</v>
      </c>
    </row>
    <row r="320" spans="2:7" x14ac:dyDescent="0.25">
      <c r="B320" s="737" t="s">
        <v>3089</v>
      </c>
      <c r="C320" s="737" t="s">
        <v>3090</v>
      </c>
      <c r="D320" s="738">
        <v>4056.364</v>
      </c>
      <c r="E320" s="738">
        <v>4327.9489999999996</v>
      </c>
      <c r="F320" s="738">
        <v>15574.0741</v>
      </c>
      <c r="G320" s="738">
        <v>446.42209074422249</v>
      </c>
    </row>
    <row r="321" spans="2:7" x14ac:dyDescent="0.25">
      <c r="B321" s="737" t="s">
        <v>3091</v>
      </c>
      <c r="C321" s="737" t="s">
        <v>3092</v>
      </c>
      <c r="D321" s="738">
        <v>4130.9119000000001</v>
      </c>
      <c r="E321" s="738">
        <v>4493.9417999999996</v>
      </c>
      <c r="F321" s="738">
        <v>15577.5802</v>
      </c>
      <c r="G321" s="738">
        <v>446.42209074422249</v>
      </c>
    </row>
    <row r="322" spans="2:7" x14ac:dyDescent="0.25">
      <c r="B322" s="737" t="s">
        <v>3093</v>
      </c>
      <c r="C322" s="737" t="s">
        <v>3094</v>
      </c>
      <c r="D322" s="738">
        <v>4027.1592999999998</v>
      </c>
      <c r="E322" s="738">
        <v>4254.4032999999999</v>
      </c>
      <c r="F322" s="738">
        <v>15641.8995</v>
      </c>
      <c r="G322" s="738">
        <v>446.42209074422249</v>
      </c>
    </row>
    <row r="323" spans="2:7" x14ac:dyDescent="0.25">
      <c r="B323" s="737" t="s">
        <v>3095</v>
      </c>
      <c r="C323" s="737" t="s">
        <v>3096</v>
      </c>
      <c r="D323" s="738">
        <v>3969.3993</v>
      </c>
      <c r="E323" s="738">
        <v>4077.6145000000001</v>
      </c>
      <c r="F323" s="738">
        <v>16027.5656</v>
      </c>
      <c r="G323" s="738">
        <v>446.42209074422249</v>
      </c>
    </row>
    <row r="324" spans="2:7" x14ac:dyDescent="0.25">
      <c r="B324" s="737" t="s">
        <v>3097</v>
      </c>
      <c r="C324" s="737" t="s">
        <v>3098</v>
      </c>
      <c r="D324" s="738">
        <v>4040.5073000000002</v>
      </c>
      <c r="E324" s="738">
        <v>4230.0397999999996</v>
      </c>
      <c r="F324" s="738">
        <v>16082.218699999999</v>
      </c>
      <c r="G324" s="738">
        <v>446.42209074422249</v>
      </c>
    </row>
    <row r="325" spans="2:7" x14ac:dyDescent="0.25">
      <c r="B325" s="737" t="s">
        <v>3099</v>
      </c>
      <c r="C325" s="737" t="s">
        <v>3100</v>
      </c>
      <c r="D325" s="738">
        <v>4027.8993999999998</v>
      </c>
      <c r="E325" s="738">
        <v>4163.6701999999996</v>
      </c>
      <c r="F325" s="738">
        <v>16387.699799999999</v>
      </c>
      <c r="G325" s="738">
        <v>446.42209074422249</v>
      </c>
    </row>
    <row r="326" spans="2:7" x14ac:dyDescent="0.25">
      <c r="B326" s="737" t="s">
        <v>3101</v>
      </c>
      <c r="C326" s="737" t="s">
        <v>3102</v>
      </c>
      <c r="D326" s="738">
        <v>3989.1257000000001</v>
      </c>
      <c r="E326" s="738">
        <v>3999.1057999999998</v>
      </c>
      <c r="F326" s="738">
        <v>17002.122800000001</v>
      </c>
      <c r="G326" s="738">
        <v>446.42209074422249</v>
      </c>
    </row>
    <row r="327" spans="2:7" x14ac:dyDescent="0.25">
      <c r="B327" s="737" t="s">
        <v>3103</v>
      </c>
      <c r="C327" s="737" t="s">
        <v>3104</v>
      </c>
      <c r="D327" s="738">
        <v>3999.9128999999998</v>
      </c>
      <c r="E327" s="738">
        <v>3364.3229000000001</v>
      </c>
      <c r="F327" s="738">
        <v>19476.140899999999</v>
      </c>
      <c r="G327" s="738">
        <v>492.83421322927796</v>
      </c>
    </row>
    <row r="328" spans="2:7" x14ac:dyDescent="0.25">
      <c r="B328" s="737" t="s">
        <v>3105</v>
      </c>
      <c r="C328" s="737" t="s">
        <v>3106</v>
      </c>
      <c r="D328" s="738">
        <v>4152.1692999999996</v>
      </c>
      <c r="E328" s="738">
        <v>3667.6886</v>
      </c>
      <c r="F328" s="738">
        <v>19485.573700000001</v>
      </c>
      <c r="G328" s="738">
        <v>492.83421322927796</v>
      </c>
    </row>
    <row r="329" spans="2:7" x14ac:dyDescent="0.25">
      <c r="B329" s="737" t="s">
        <v>3107</v>
      </c>
      <c r="C329" s="737" t="s">
        <v>3108</v>
      </c>
      <c r="D329" s="738">
        <v>4049.4308000000001</v>
      </c>
      <c r="E329" s="738">
        <v>3768.7345999999998</v>
      </c>
      <c r="F329" s="738">
        <v>16768.425500000001</v>
      </c>
      <c r="G329" s="738">
        <v>492.83421322927796</v>
      </c>
    </row>
    <row r="330" spans="2:7" x14ac:dyDescent="0.25">
      <c r="B330" s="737" t="s">
        <v>3109</v>
      </c>
      <c r="C330" s="737" t="s">
        <v>3110</v>
      </c>
      <c r="D330" s="738">
        <v>3800.2478999999998</v>
      </c>
      <c r="E330" s="738">
        <v>3481.4998000000001</v>
      </c>
      <c r="F330" s="738">
        <v>17791.482499999998</v>
      </c>
      <c r="G330" s="738">
        <v>446.42209074422249</v>
      </c>
    </row>
    <row r="331" spans="2:7" x14ac:dyDescent="0.25">
      <c r="B331" s="737" t="s">
        <v>3111</v>
      </c>
      <c r="C331" s="737" t="s">
        <v>3112</v>
      </c>
      <c r="D331" s="738">
        <v>3864.2294000000002</v>
      </c>
      <c r="E331" s="738">
        <v>3689.0164</v>
      </c>
      <c r="F331" s="738">
        <v>17271.240900000001</v>
      </c>
      <c r="G331" s="738">
        <v>446.42209074422249</v>
      </c>
    </row>
    <row r="332" spans="2:7" x14ac:dyDescent="0.25">
      <c r="B332" s="737" t="s">
        <v>3113</v>
      </c>
      <c r="C332" s="737" t="s">
        <v>3114</v>
      </c>
      <c r="D332" s="738">
        <v>3937.3483000000001</v>
      </c>
      <c r="E332" s="738">
        <v>3382.1997000000001</v>
      </c>
      <c r="F332" s="738">
        <v>18187.949799999999</v>
      </c>
      <c r="G332" s="738">
        <v>492.83421322927796</v>
      </c>
    </row>
    <row r="333" spans="2:7" x14ac:dyDescent="0.25">
      <c r="B333" s="737" t="s">
        <v>3115</v>
      </c>
      <c r="C333" s="737" t="s">
        <v>3116</v>
      </c>
      <c r="D333" s="738">
        <v>4089.1201999999998</v>
      </c>
      <c r="E333" s="738">
        <v>3715.7685000000001</v>
      </c>
      <c r="F333" s="738">
        <v>17955.880300000001</v>
      </c>
      <c r="G333" s="738">
        <v>492.83421322927796</v>
      </c>
    </row>
    <row r="334" spans="2:7" x14ac:dyDescent="0.25">
      <c r="B334" s="737" t="s">
        <v>3117</v>
      </c>
      <c r="C334" s="737" t="s">
        <v>3118</v>
      </c>
      <c r="D334" s="738">
        <v>3947.1977000000002</v>
      </c>
      <c r="E334" s="738">
        <v>3201.0313000000001</v>
      </c>
      <c r="F334" s="738">
        <v>19981.1626</v>
      </c>
      <c r="G334" s="738">
        <v>492.83421322927796</v>
      </c>
    </row>
    <row r="335" spans="2:7" x14ac:dyDescent="0.25">
      <c r="B335" s="737" t="s">
        <v>3119</v>
      </c>
      <c r="C335" s="737" t="s">
        <v>3120</v>
      </c>
      <c r="D335" s="738">
        <v>4055.0832</v>
      </c>
      <c r="E335" s="738">
        <v>3179.7015000000001</v>
      </c>
      <c r="F335" s="738">
        <v>22121.662799999998</v>
      </c>
      <c r="G335" s="738">
        <v>492.83421322927796</v>
      </c>
    </row>
    <row r="336" spans="2:7" x14ac:dyDescent="0.25">
      <c r="B336" s="737" t="s">
        <v>3121</v>
      </c>
      <c r="C336" s="737" t="s">
        <v>3122</v>
      </c>
      <c r="D336" s="738">
        <v>3877.2012</v>
      </c>
      <c r="E336" s="738">
        <v>3045.7226000000001</v>
      </c>
      <c r="F336" s="738">
        <v>20104.062999999998</v>
      </c>
      <c r="G336" s="738">
        <v>492.83421322927796</v>
      </c>
    </row>
    <row r="337" spans="2:7" x14ac:dyDescent="0.25">
      <c r="B337" s="737" t="s">
        <v>3123</v>
      </c>
      <c r="C337" s="737" t="s">
        <v>3124</v>
      </c>
      <c r="D337" s="738">
        <v>3839.6435999999999</v>
      </c>
      <c r="E337" s="738">
        <v>2867.9582999999998</v>
      </c>
      <c r="F337" s="738">
        <v>21008.566599999998</v>
      </c>
      <c r="G337" s="738">
        <v>492.83421322927796</v>
      </c>
    </row>
    <row r="338" spans="2:7" x14ac:dyDescent="0.25">
      <c r="B338" s="737" t="s">
        <v>3125</v>
      </c>
      <c r="C338" s="737" t="s">
        <v>3126</v>
      </c>
      <c r="D338" s="738">
        <v>3909.0886999999998</v>
      </c>
      <c r="E338" s="738">
        <v>2965.6158</v>
      </c>
      <c r="F338" s="738">
        <v>21388.2703</v>
      </c>
      <c r="G338" s="738">
        <v>492.83421322927796</v>
      </c>
    </row>
    <row r="339" spans="2:7" x14ac:dyDescent="0.25">
      <c r="B339" s="737" t="s">
        <v>3127</v>
      </c>
      <c r="C339" s="737" t="s">
        <v>3128</v>
      </c>
      <c r="D339" s="738">
        <v>3972.5011</v>
      </c>
      <c r="E339" s="738">
        <v>2925.6925000000001</v>
      </c>
      <c r="F339" s="738">
        <v>22888.001</v>
      </c>
      <c r="G339" s="738">
        <v>492.83421322927796</v>
      </c>
    </row>
    <row r="340" spans="2:7" x14ac:dyDescent="0.25">
      <c r="B340" s="737" t="s">
        <v>3129</v>
      </c>
      <c r="C340" s="737" t="s">
        <v>3130</v>
      </c>
      <c r="D340" s="738">
        <v>4074.2341000000001</v>
      </c>
      <c r="E340" s="738">
        <v>3501.0266999999999</v>
      </c>
      <c r="F340" s="738">
        <v>19599.162499999999</v>
      </c>
      <c r="G340" s="738">
        <v>492.83421322927796</v>
      </c>
    </row>
    <row r="341" spans="2:7" x14ac:dyDescent="0.25">
      <c r="B341" s="737" t="s">
        <v>3131</v>
      </c>
      <c r="C341" s="737" t="s">
        <v>3132</v>
      </c>
      <c r="D341" s="738">
        <v>4054.8842</v>
      </c>
      <c r="E341" s="738">
        <v>3600.3524000000002</v>
      </c>
      <c r="F341" s="738">
        <v>18362.9326</v>
      </c>
      <c r="G341" s="738">
        <v>492.83421322927796</v>
      </c>
    </row>
    <row r="342" spans="2:7" x14ac:dyDescent="0.25">
      <c r="B342" s="737" t="s">
        <v>3133</v>
      </c>
      <c r="C342" s="737" t="s">
        <v>3134</v>
      </c>
      <c r="D342" s="738">
        <v>4126.6941999999999</v>
      </c>
      <c r="E342" s="738">
        <v>3861.8463999999999</v>
      </c>
      <c r="F342" s="738">
        <v>17330.141299999999</v>
      </c>
      <c r="G342" s="738">
        <v>492.83421322927796</v>
      </c>
    </row>
    <row r="343" spans="2:7" x14ac:dyDescent="0.25">
      <c r="B343" s="737" t="s">
        <v>3135</v>
      </c>
      <c r="C343" s="737" t="s">
        <v>3136</v>
      </c>
      <c r="D343" s="738">
        <v>4129.7912999999999</v>
      </c>
      <c r="E343" s="738">
        <v>3761.7786000000001</v>
      </c>
      <c r="F343" s="738">
        <v>18279.3403</v>
      </c>
      <c r="G343" s="738">
        <v>492.83421322927796</v>
      </c>
    </row>
    <row r="344" spans="2:7" x14ac:dyDescent="0.25">
      <c r="B344" s="737" t="s">
        <v>3137</v>
      </c>
      <c r="C344" s="737" t="s">
        <v>3138</v>
      </c>
      <c r="D344" s="738">
        <v>4011.2105999999999</v>
      </c>
      <c r="E344" s="738">
        <v>3515.7237</v>
      </c>
      <c r="F344" s="738">
        <v>18325.9107</v>
      </c>
      <c r="G344" s="738">
        <v>492.83421322927796</v>
      </c>
    </row>
    <row r="345" spans="2:7" x14ac:dyDescent="0.25">
      <c r="B345" s="737" t="s">
        <v>3139</v>
      </c>
      <c r="C345" s="737" t="s">
        <v>3140</v>
      </c>
      <c r="D345" s="738">
        <v>4034.4857000000002</v>
      </c>
      <c r="E345" s="738">
        <v>3528.8557999999998</v>
      </c>
      <c r="F345" s="738">
        <v>18633.7199</v>
      </c>
      <c r="G345" s="738">
        <v>492.83421322927796</v>
      </c>
    </row>
    <row r="346" spans="2:7" x14ac:dyDescent="0.25">
      <c r="B346" s="737" t="s">
        <v>3141</v>
      </c>
      <c r="C346" s="737" t="s">
        <v>3142</v>
      </c>
      <c r="D346" s="738">
        <v>4001.1187</v>
      </c>
      <c r="E346" s="738">
        <v>3528.1293999999998</v>
      </c>
      <c r="F346" s="738">
        <v>18037.0599</v>
      </c>
      <c r="G346" s="738">
        <v>492.83421322927796</v>
      </c>
    </row>
    <row r="347" spans="2:7" x14ac:dyDescent="0.25">
      <c r="B347" s="737" t="s">
        <v>3143</v>
      </c>
      <c r="C347" s="737" t="s">
        <v>3144</v>
      </c>
      <c r="D347" s="738">
        <v>4172.8105999999998</v>
      </c>
      <c r="E347" s="738">
        <v>3910.7147</v>
      </c>
      <c r="F347" s="738">
        <v>17725.226500000001</v>
      </c>
      <c r="G347" s="738">
        <v>492.83421322927796</v>
      </c>
    </row>
    <row r="348" spans="2:7" x14ac:dyDescent="0.25">
      <c r="B348" s="737" t="s">
        <v>3145</v>
      </c>
      <c r="C348" s="737" t="s">
        <v>3146</v>
      </c>
      <c r="D348" s="738">
        <v>3972.5711999999999</v>
      </c>
      <c r="E348" s="738">
        <v>3010.7375999999999</v>
      </c>
      <c r="F348" s="738">
        <v>22135.827399999998</v>
      </c>
      <c r="G348" s="738">
        <v>492.83421322927796</v>
      </c>
    </row>
    <row r="349" spans="2:7" x14ac:dyDescent="0.25">
      <c r="B349" s="737" t="s">
        <v>3147</v>
      </c>
      <c r="C349" s="737" t="s">
        <v>3148</v>
      </c>
      <c r="D349" s="738">
        <v>3953.8285999999998</v>
      </c>
      <c r="E349" s="738">
        <v>3287.1785</v>
      </c>
      <c r="F349" s="738">
        <v>19335.483199999999</v>
      </c>
      <c r="G349" s="738">
        <v>492.83421322927796</v>
      </c>
    </row>
    <row r="350" spans="2:7" x14ac:dyDescent="0.25">
      <c r="B350" s="737" t="s">
        <v>3149</v>
      </c>
      <c r="C350" s="737" t="s">
        <v>3150</v>
      </c>
      <c r="D350" s="738">
        <v>3917.8263000000002</v>
      </c>
      <c r="E350" s="738">
        <v>3201.89</v>
      </c>
      <c r="F350" s="738">
        <v>19445.558499999999</v>
      </c>
      <c r="G350" s="738">
        <v>492.83421322927796</v>
      </c>
    </row>
    <row r="351" spans="2:7" x14ac:dyDescent="0.25">
      <c r="B351" s="737" t="s">
        <v>3151</v>
      </c>
      <c r="C351" s="737" t="s">
        <v>3152</v>
      </c>
      <c r="D351" s="738">
        <v>4032.3899000000001</v>
      </c>
      <c r="E351" s="738">
        <v>3270.1967</v>
      </c>
      <c r="F351" s="738">
        <v>20901.865399999999</v>
      </c>
      <c r="G351" s="738">
        <v>492.83421322927796</v>
      </c>
    </row>
    <row r="352" spans="2:7" x14ac:dyDescent="0.25">
      <c r="B352" s="737" t="s">
        <v>3153</v>
      </c>
      <c r="C352" s="737" t="s">
        <v>3154</v>
      </c>
      <c r="D352" s="738">
        <v>3994.7130000000002</v>
      </c>
      <c r="E352" s="738">
        <v>3336.6145000000001</v>
      </c>
      <c r="F352" s="738">
        <v>19634.3357</v>
      </c>
      <c r="G352" s="738">
        <v>492.83421322927796</v>
      </c>
    </row>
    <row r="353" spans="2:7" x14ac:dyDescent="0.25">
      <c r="B353" s="737" t="s">
        <v>3155</v>
      </c>
      <c r="C353" s="737" t="s">
        <v>3156</v>
      </c>
      <c r="D353" s="738">
        <v>3963.9688000000001</v>
      </c>
      <c r="E353" s="738">
        <v>3332.6151</v>
      </c>
      <c r="F353" s="738">
        <v>19106.1738</v>
      </c>
      <c r="G353" s="738">
        <v>495.05453300292947</v>
      </c>
    </row>
    <row r="354" spans="2:7" x14ac:dyDescent="0.25">
      <c r="B354" s="737" t="s">
        <v>3157</v>
      </c>
      <c r="C354" s="737" t="s">
        <v>3158</v>
      </c>
      <c r="D354" s="738">
        <v>4065.3368</v>
      </c>
      <c r="E354" s="738">
        <v>3365.9315000000001</v>
      </c>
      <c r="F354" s="738">
        <v>20642.879499999999</v>
      </c>
      <c r="G354" s="738">
        <v>492.83421322927796</v>
      </c>
    </row>
    <row r="355" spans="2:7" x14ac:dyDescent="0.25">
      <c r="B355" s="737" t="s">
        <v>3159</v>
      </c>
      <c r="C355" s="737" t="s">
        <v>3160</v>
      </c>
      <c r="D355" s="738">
        <v>3959.5488</v>
      </c>
      <c r="E355" s="738">
        <v>2794.7175999999999</v>
      </c>
      <c r="F355" s="738">
        <v>23832.047600000002</v>
      </c>
      <c r="G355" s="738">
        <v>492.83421322927796</v>
      </c>
    </row>
    <row r="356" spans="2:7" x14ac:dyDescent="0.25">
      <c r="B356" s="737" t="s">
        <v>3161</v>
      </c>
      <c r="C356" s="737" t="s">
        <v>3162</v>
      </c>
      <c r="D356" s="738">
        <v>3890.3397</v>
      </c>
      <c r="E356" s="738">
        <v>3024.7102</v>
      </c>
      <c r="F356" s="738">
        <v>20529.917600000001</v>
      </c>
      <c r="G356" s="738">
        <v>495.05453300292947</v>
      </c>
    </row>
    <row r="357" spans="2:7" x14ac:dyDescent="0.25">
      <c r="B357" s="737" t="s">
        <v>3163</v>
      </c>
      <c r="C357" s="737" t="s">
        <v>3164</v>
      </c>
      <c r="D357" s="738">
        <v>3823.0146</v>
      </c>
      <c r="E357" s="738">
        <v>2838.0612999999998</v>
      </c>
      <c r="F357" s="738">
        <v>20936.942999999999</v>
      </c>
      <c r="G357" s="738">
        <v>492.83421322927796</v>
      </c>
    </row>
    <row r="358" spans="2:7" x14ac:dyDescent="0.25">
      <c r="B358" s="737" t="s">
        <v>3165</v>
      </c>
      <c r="C358" s="737" t="s">
        <v>3166</v>
      </c>
      <c r="D358" s="738">
        <v>3792.8845999999999</v>
      </c>
      <c r="E358" s="738">
        <v>2753.5551999999998</v>
      </c>
      <c r="F358" s="738">
        <v>21162.361199999999</v>
      </c>
      <c r="G358" s="738">
        <v>495.05453300292947</v>
      </c>
    </row>
    <row r="359" spans="2:7" x14ac:dyDescent="0.25">
      <c r="B359" s="737" t="s">
        <v>3167</v>
      </c>
      <c r="C359" s="737" t="s">
        <v>3168</v>
      </c>
      <c r="D359" s="738">
        <v>3972.0664000000002</v>
      </c>
      <c r="E359" s="738">
        <v>3196.5329000000002</v>
      </c>
      <c r="F359" s="738">
        <v>20463.185000000001</v>
      </c>
      <c r="G359" s="738">
        <v>492.83421322927796</v>
      </c>
    </row>
    <row r="360" spans="2:7" x14ac:dyDescent="0.25">
      <c r="B360" s="737" t="s">
        <v>3169</v>
      </c>
      <c r="C360" s="737" t="s">
        <v>3170</v>
      </c>
      <c r="D360" s="738">
        <v>3879.7862</v>
      </c>
      <c r="E360" s="738">
        <v>3042.2258999999999</v>
      </c>
      <c r="F360" s="738">
        <v>20183.662199999999</v>
      </c>
      <c r="G360" s="738">
        <v>495.05453300292947</v>
      </c>
    </row>
    <row r="361" spans="2:7" x14ac:dyDescent="0.25">
      <c r="B361" s="737" t="s">
        <v>3171</v>
      </c>
      <c r="C361" s="737" t="s">
        <v>3172</v>
      </c>
      <c r="D361" s="738">
        <v>3770.9288999999999</v>
      </c>
      <c r="E361" s="738">
        <v>3791.1671000000001</v>
      </c>
      <c r="F361" s="738">
        <v>17334.7523</v>
      </c>
      <c r="G361" s="738">
        <v>409.33283156992513</v>
      </c>
    </row>
    <row r="362" spans="2:7" x14ac:dyDescent="0.25">
      <c r="B362" s="737" t="s">
        <v>3173</v>
      </c>
      <c r="C362" s="737" t="s">
        <v>3174</v>
      </c>
      <c r="D362" s="738">
        <v>4339.3098</v>
      </c>
      <c r="E362" s="738">
        <v>3672.4499000000001</v>
      </c>
      <c r="F362" s="738">
        <v>18375.385900000001</v>
      </c>
      <c r="G362" s="738">
        <v>409.33283156992513</v>
      </c>
    </row>
    <row r="363" spans="2:7" x14ac:dyDescent="0.25">
      <c r="B363" s="737" t="s">
        <v>3175</v>
      </c>
      <c r="C363" s="737" t="s">
        <v>3176</v>
      </c>
      <c r="D363" s="738">
        <v>3814.3782999999999</v>
      </c>
      <c r="E363" s="738">
        <v>3897.2469000000001</v>
      </c>
      <c r="F363" s="738">
        <v>17336.6381</v>
      </c>
      <c r="G363" s="738">
        <v>409.33283156992513</v>
      </c>
    </row>
    <row r="364" spans="2:7" x14ac:dyDescent="0.25">
      <c r="B364" s="737" t="s">
        <v>3177</v>
      </c>
      <c r="C364" s="737" t="s">
        <v>3178</v>
      </c>
      <c r="D364" s="738">
        <v>3723.5675000000001</v>
      </c>
      <c r="E364" s="738">
        <v>3731.9068000000002</v>
      </c>
      <c r="F364" s="738">
        <v>16922.645100000002</v>
      </c>
      <c r="G364" s="738">
        <v>409.33283156992513</v>
      </c>
    </row>
    <row r="365" spans="2:7" x14ac:dyDescent="0.25">
      <c r="B365" s="737" t="s">
        <v>3179</v>
      </c>
      <c r="C365" s="737" t="s">
        <v>3180</v>
      </c>
      <c r="D365" s="738">
        <v>3730.2031999999999</v>
      </c>
      <c r="E365" s="738">
        <v>3545.6783999999998</v>
      </c>
      <c r="F365" s="738">
        <v>18423.102200000001</v>
      </c>
      <c r="G365" s="738">
        <v>409.33283156992513</v>
      </c>
    </row>
    <row r="366" spans="2:7" x14ac:dyDescent="0.25">
      <c r="B366" s="737" t="s">
        <v>3181</v>
      </c>
      <c r="C366" s="737" t="s">
        <v>3182</v>
      </c>
      <c r="D366" s="738">
        <v>4219.5780000000004</v>
      </c>
      <c r="E366" s="738">
        <v>3517.3663000000001</v>
      </c>
      <c r="F366" s="738">
        <v>17758.248599999999</v>
      </c>
      <c r="G366" s="738">
        <v>559.25496480859351</v>
      </c>
    </row>
    <row r="367" spans="2:7" x14ac:dyDescent="0.25">
      <c r="B367" s="737" t="s">
        <v>3183</v>
      </c>
      <c r="C367" s="737" t="s">
        <v>3184</v>
      </c>
      <c r="D367" s="738">
        <v>3951.0250000000001</v>
      </c>
      <c r="E367" s="738">
        <v>3177.0417000000002</v>
      </c>
      <c r="F367" s="738">
        <v>20135.376499999998</v>
      </c>
      <c r="G367" s="738">
        <v>495.05453300292947</v>
      </c>
    </row>
    <row r="368" spans="2:7" x14ac:dyDescent="0.25">
      <c r="B368" s="737" t="s">
        <v>3185</v>
      </c>
      <c r="C368" s="737" t="s">
        <v>3186</v>
      </c>
      <c r="D368" s="738">
        <v>3965.1368000000002</v>
      </c>
      <c r="E368" s="738">
        <v>3267.2492999999999</v>
      </c>
      <c r="F368" s="738">
        <v>19580.286199999999</v>
      </c>
      <c r="G368" s="738">
        <v>495.05453300292947</v>
      </c>
    </row>
    <row r="369" spans="2:7" x14ac:dyDescent="0.25">
      <c r="B369" s="737" t="s">
        <v>3187</v>
      </c>
      <c r="C369" s="737" t="s">
        <v>3188</v>
      </c>
      <c r="D369" s="738">
        <v>3896.0641000000001</v>
      </c>
      <c r="E369" s="738">
        <v>3114.7615000000001</v>
      </c>
      <c r="F369" s="738">
        <v>19801.255399999998</v>
      </c>
      <c r="G369" s="738">
        <v>492.83421322927796</v>
      </c>
    </row>
    <row r="370" spans="2:7" x14ac:dyDescent="0.25">
      <c r="B370" s="737" t="s">
        <v>3189</v>
      </c>
      <c r="C370" s="737" t="s">
        <v>3190</v>
      </c>
      <c r="D370" s="738">
        <v>3689.2986000000001</v>
      </c>
      <c r="E370" s="738">
        <v>3240.0934000000002</v>
      </c>
      <c r="F370" s="738">
        <v>19947.0069</v>
      </c>
      <c r="G370" s="738">
        <v>495.05453300292947</v>
      </c>
    </row>
    <row r="371" spans="2:7" x14ac:dyDescent="0.25">
      <c r="B371" s="737" t="s">
        <v>3191</v>
      </c>
      <c r="C371" s="737" t="s">
        <v>3192</v>
      </c>
      <c r="D371" s="738">
        <v>3646.1284000000001</v>
      </c>
      <c r="E371" s="738">
        <v>3203.8890000000001</v>
      </c>
      <c r="F371" s="738">
        <v>19427.1247</v>
      </c>
      <c r="G371" s="738">
        <v>409.33283156992513</v>
      </c>
    </row>
    <row r="372" spans="2:7" x14ac:dyDescent="0.25">
      <c r="B372" s="737" t="s">
        <v>3193</v>
      </c>
      <c r="C372" s="737" t="s">
        <v>3194</v>
      </c>
      <c r="D372" s="738">
        <v>3609.8510000000001</v>
      </c>
      <c r="E372" s="738">
        <v>3238.5322000000001</v>
      </c>
      <c r="F372" s="738">
        <v>18492.876</v>
      </c>
      <c r="G372" s="738">
        <v>492.83421322927796</v>
      </c>
    </row>
    <row r="373" spans="2:7" x14ac:dyDescent="0.25">
      <c r="B373" s="737" t="s">
        <v>3195</v>
      </c>
      <c r="C373" s="737" t="s">
        <v>3196</v>
      </c>
      <c r="D373" s="738">
        <v>3775.2528000000002</v>
      </c>
      <c r="E373" s="738">
        <v>3505.2811999999999</v>
      </c>
      <c r="F373" s="738">
        <v>19531.2641</v>
      </c>
      <c r="G373" s="738">
        <v>409.33283156992513</v>
      </c>
    </row>
    <row r="374" spans="2:7" x14ac:dyDescent="0.25">
      <c r="B374" s="737" t="s">
        <v>3197</v>
      </c>
      <c r="C374" s="737" t="s">
        <v>3198</v>
      </c>
      <c r="D374" s="738">
        <v>3701.5594000000001</v>
      </c>
      <c r="E374" s="738">
        <v>3224.2031000000002</v>
      </c>
      <c r="F374" s="738">
        <v>20275.261200000001</v>
      </c>
      <c r="G374" s="738">
        <v>409.33283156992513</v>
      </c>
    </row>
    <row r="375" spans="2:7" x14ac:dyDescent="0.25">
      <c r="B375" s="737" t="s">
        <v>3199</v>
      </c>
      <c r="C375" s="737" t="s">
        <v>3200</v>
      </c>
      <c r="D375" s="738">
        <v>3813.8067000000001</v>
      </c>
      <c r="E375" s="738">
        <v>3510.4621000000002</v>
      </c>
      <c r="F375" s="738">
        <v>20187.767800000001</v>
      </c>
      <c r="G375" s="738">
        <v>409.33283156992513</v>
      </c>
    </row>
    <row r="376" spans="2:7" x14ac:dyDescent="0.25">
      <c r="B376" s="737" t="s">
        <v>3201</v>
      </c>
      <c r="C376" s="737" t="s">
        <v>3202</v>
      </c>
      <c r="D376" s="738">
        <v>3787.0929000000001</v>
      </c>
      <c r="E376" s="738">
        <v>3727.6151</v>
      </c>
      <c r="F376" s="738">
        <v>18100.462800000001</v>
      </c>
      <c r="G376" s="738">
        <v>409.33283156992513</v>
      </c>
    </row>
    <row r="377" spans="2:7" x14ac:dyDescent="0.25">
      <c r="B377" s="737" t="s">
        <v>3203</v>
      </c>
      <c r="C377" s="737" t="s">
        <v>3204</v>
      </c>
      <c r="D377" s="738">
        <v>3834.32</v>
      </c>
      <c r="E377" s="738">
        <v>3700.9072000000001</v>
      </c>
      <c r="F377" s="738">
        <v>19126.414700000001</v>
      </c>
      <c r="G377" s="738">
        <v>409.33283156992513</v>
      </c>
    </row>
    <row r="378" spans="2:7" x14ac:dyDescent="0.25">
      <c r="B378" s="737" t="s">
        <v>3205</v>
      </c>
      <c r="C378" s="737" t="s">
        <v>3206</v>
      </c>
      <c r="D378" s="738">
        <v>4327.0258000000003</v>
      </c>
      <c r="E378" s="738">
        <v>3664.2593000000002</v>
      </c>
      <c r="F378" s="738">
        <v>18242.852900000002</v>
      </c>
      <c r="G378" s="738">
        <v>409.33283156992513</v>
      </c>
    </row>
    <row r="379" spans="2:7" x14ac:dyDescent="0.25">
      <c r="B379" s="737" t="s">
        <v>3207</v>
      </c>
      <c r="C379" s="737" t="s">
        <v>3208</v>
      </c>
      <c r="D379" s="738">
        <v>3881.4476</v>
      </c>
      <c r="E379" s="738">
        <v>3806.8222999999998</v>
      </c>
      <c r="F379" s="738">
        <v>19188.409599999999</v>
      </c>
      <c r="G379" s="738">
        <v>409.33283156992513</v>
      </c>
    </row>
    <row r="380" spans="2:7" x14ac:dyDescent="0.25">
      <c r="B380" s="737" t="s">
        <v>3209</v>
      </c>
      <c r="C380" s="737" t="s">
        <v>3210</v>
      </c>
      <c r="D380" s="738">
        <v>3812.2220000000002</v>
      </c>
      <c r="E380" s="738">
        <v>3854.8182999999999</v>
      </c>
      <c r="F380" s="738">
        <v>17610.6999</v>
      </c>
      <c r="G380" s="738">
        <v>409.33283156992513</v>
      </c>
    </row>
    <row r="381" spans="2:7" x14ac:dyDescent="0.25">
      <c r="B381" s="737" t="s">
        <v>3211</v>
      </c>
      <c r="C381" s="737" t="s">
        <v>3212</v>
      </c>
      <c r="D381" s="738">
        <v>4019.7860000000001</v>
      </c>
      <c r="E381" s="738">
        <v>4075.6904</v>
      </c>
      <c r="F381" s="738">
        <v>16963.162700000001</v>
      </c>
      <c r="G381" s="738">
        <v>446.34082781772616</v>
      </c>
    </row>
    <row r="382" spans="2:7" x14ac:dyDescent="0.25">
      <c r="B382" s="737" t="s">
        <v>3213</v>
      </c>
      <c r="C382" s="737" t="s">
        <v>3214</v>
      </c>
      <c r="D382" s="738">
        <v>3999.3139000000001</v>
      </c>
      <c r="E382" s="738">
        <v>3902.3092999999999</v>
      </c>
      <c r="F382" s="738">
        <v>17990.117099999999</v>
      </c>
      <c r="G382" s="738">
        <v>409.33283156992513</v>
      </c>
    </row>
    <row r="383" spans="2:7" x14ac:dyDescent="0.25">
      <c r="B383" s="737" t="s">
        <v>3215</v>
      </c>
      <c r="C383" s="737" t="s">
        <v>3216</v>
      </c>
      <c r="D383" s="738">
        <v>3899.4043000000001</v>
      </c>
      <c r="E383" s="738">
        <v>3693.4621000000002</v>
      </c>
      <c r="F383" s="738">
        <v>17871.734400000001</v>
      </c>
      <c r="G383" s="738">
        <v>446.34082781772616</v>
      </c>
    </row>
    <row r="384" spans="2:7" x14ac:dyDescent="0.25">
      <c r="B384" s="737" t="s">
        <v>3217</v>
      </c>
      <c r="C384" s="737" t="s">
        <v>3218</v>
      </c>
      <c r="D384" s="738">
        <v>3841.8977</v>
      </c>
      <c r="E384" s="738">
        <v>3767.3195999999998</v>
      </c>
      <c r="F384" s="738">
        <v>16236.9354</v>
      </c>
      <c r="G384" s="738">
        <v>446.34082781772616</v>
      </c>
    </row>
    <row r="385" spans="2:7" x14ac:dyDescent="0.25">
      <c r="B385" s="737" t="s">
        <v>3219</v>
      </c>
      <c r="C385" s="737" t="s">
        <v>3220</v>
      </c>
      <c r="D385" s="738">
        <v>3984.2071999999998</v>
      </c>
      <c r="E385" s="738">
        <v>3836.6383999999998</v>
      </c>
      <c r="F385" s="738">
        <v>18221.307000000001</v>
      </c>
      <c r="G385" s="738">
        <v>446.34082781772616</v>
      </c>
    </row>
    <row r="386" spans="2:7" x14ac:dyDescent="0.25">
      <c r="B386" s="737" t="s">
        <v>3221</v>
      </c>
      <c r="C386" s="737" t="s">
        <v>3222</v>
      </c>
      <c r="D386" s="738">
        <v>3841.0722999999998</v>
      </c>
      <c r="E386" s="738">
        <v>3525.9996999999998</v>
      </c>
      <c r="F386" s="738">
        <v>18171.510699999999</v>
      </c>
      <c r="G386" s="738">
        <v>446.34082781772616</v>
      </c>
    </row>
    <row r="387" spans="2:7" x14ac:dyDescent="0.25">
      <c r="B387" s="737" t="s">
        <v>3223</v>
      </c>
      <c r="C387" s="737" t="s">
        <v>3224</v>
      </c>
      <c r="D387" s="738">
        <v>3712.9757</v>
      </c>
      <c r="E387" s="738">
        <v>3462.8625000000002</v>
      </c>
      <c r="F387" s="738">
        <v>18720.0432</v>
      </c>
      <c r="G387" s="738">
        <v>409.33283156992513</v>
      </c>
    </row>
    <row r="388" spans="2:7" x14ac:dyDescent="0.25">
      <c r="B388" s="737" t="s">
        <v>3225</v>
      </c>
      <c r="C388" s="737" t="s">
        <v>3226</v>
      </c>
      <c r="D388" s="738">
        <v>3788.8751000000002</v>
      </c>
      <c r="E388" s="738">
        <v>3220.5526</v>
      </c>
      <c r="F388" s="738">
        <v>19690.986400000002</v>
      </c>
      <c r="G388" s="738">
        <v>446.34082781772616</v>
      </c>
    </row>
    <row r="389" spans="2:7" x14ac:dyDescent="0.25">
      <c r="B389" s="737" t="s">
        <v>3227</v>
      </c>
      <c r="C389" s="737" t="s">
        <v>3228</v>
      </c>
      <c r="D389" s="738">
        <v>4099.4385000000002</v>
      </c>
      <c r="E389" s="738">
        <v>3172.6158999999998</v>
      </c>
      <c r="F389" s="738">
        <v>19099.1603</v>
      </c>
      <c r="G389" s="738">
        <v>559.25496480859351</v>
      </c>
    </row>
    <row r="390" spans="2:7" x14ac:dyDescent="0.25">
      <c r="B390" s="737" t="s">
        <v>3229</v>
      </c>
      <c r="C390" s="737" t="s">
        <v>3230</v>
      </c>
      <c r="D390" s="738">
        <v>4236.8690999999999</v>
      </c>
      <c r="E390" s="738">
        <v>3333.9326000000001</v>
      </c>
      <c r="F390" s="738">
        <v>19956.015299999999</v>
      </c>
      <c r="G390" s="738">
        <v>409.33283156992513</v>
      </c>
    </row>
    <row r="391" spans="2:7" x14ac:dyDescent="0.25">
      <c r="B391" s="737" t="s">
        <v>3231</v>
      </c>
      <c r="C391" s="737" t="s">
        <v>3232</v>
      </c>
      <c r="D391" s="738">
        <v>4243.7389999999996</v>
      </c>
      <c r="E391" s="738">
        <v>3287.6581000000001</v>
      </c>
      <c r="F391" s="738">
        <v>20534.2552</v>
      </c>
      <c r="G391" s="738">
        <v>559.25496480859351</v>
      </c>
    </row>
    <row r="392" spans="2:7" x14ac:dyDescent="0.25">
      <c r="B392" s="737" t="s">
        <v>3233</v>
      </c>
      <c r="C392" s="737" t="s">
        <v>3234</v>
      </c>
      <c r="D392" s="738">
        <v>4277.5375000000004</v>
      </c>
      <c r="E392" s="738">
        <v>3305.1179000000002</v>
      </c>
      <c r="F392" s="738">
        <v>20979.7539</v>
      </c>
      <c r="G392" s="738">
        <v>559.25496480859351</v>
      </c>
    </row>
    <row r="393" spans="2:7" x14ac:dyDescent="0.25">
      <c r="B393" s="737" t="s">
        <v>3235</v>
      </c>
      <c r="C393" s="737" t="s">
        <v>3236</v>
      </c>
      <c r="D393" s="738">
        <v>3707.1064000000001</v>
      </c>
      <c r="E393" s="738">
        <v>3347.1471000000001</v>
      </c>
      <c r="F393" s="738">
        <v>19470.812900000001</v>
      </c>
      <c r="G393" s="738">
        <v>409.33283156992513</v>
      </c>
    </row>
    <row r="394" spans="2:7" x14ac:dyDescent="0.25">
      <c r="B394" s="737" t="s">
        <v>3237</v>
      </c>
      <c r="C394" s="737" t="s">
        <v>3238</v>
      </c>
      <c r="D394" s="738">
        <v>4317.8882000000003</v>
      </c>
      <c r="E394" s="738">
        <v>3548.8474999999999</v>
      </c>
      <c r="F394" s="738">
        <v>19246.962100000001</v>
      </c>
      <c r="G394" s="738">
        <v>559.25496480859351</v>
      </c>
    </row>
    <row r="395" spans="2:7" x14ac:dyDescent="0.25">
      <c r="B395" s="737" t="s">
        <v>3239</v>
      </c>
      <c r="C395" s="737" t="s">
        <v>3240</v>
      </c>
      <c r="D395" s="738">
        <v>3819.7379999999998</v>
      </c>
      <c r="E395" s="738">
        <v>3235.5328</v>
      </c>
      <c r="F395" s="738">
        <v>20095.3161</v>
      </c>
      <c r="G395" s="738">
        <v>446.34082781772616</v>
      </c>
    </row>
    <row r="396" spans="2:7" x14ac:dyDescent="0.25">
      <c r="B396" s="737" t="s">
        <v>3241</v>
      </c>
      <c r="C396" s="737" t="s">
        <v>3242</v>
      </c>
      <c r="D396" s="738">
        <v>4139.0788000000002</v>
      </c>
      <c r="E396" s="738">
        <v>4382.6988000000001</v>
      </c>
      <c r="F396" s="738">
        <v>16631.650099999999</v>
      </c>
      <c r="G396" s="738">
        <v>446.34082781772616</v>
      </c>
    </row>
    <row r="397" spans="2:7" x14ac:dyDescent="0.25">
      <c r="B397" s="737" t="s">
        <v>3243</v>
      </c>
      <c r="C397" s="737" t="s">
        <v>3244</v>
      </c>
      <c r="D397" s="738">
        <v>4091.5740999999998</v>
      </c>
      <c r="E397" s="738">
        <v>4335.3666999999996</v>
      </c>
      <c r="F397" s="738">
        <v>16156.107</v>
      </c>
      <c r="G397" s="738">
        <v>446.34082781772616</v>
      </c>
    </row>
    <row r="398" spans="2:7" x14ac:dyDescent="0.25">
      <c r="B398" s="737" t="s">
        <v>3245</v>
      </c>
      <c r="C398" s="737" t="s">
        <v>3246</v>
      </c>
      <c r="D398" s="738">
        <v>4015.7701000000002</v>
      </c>
      <c r="E398" s="738">
        <v>4148.3494000000001</v>
      </c>
      <c r="F398" s="738">
        <v>16294.2898</v>
      </c>
      <c r="G398" s="738">
        <v>446.34082781772616</v>
      </c>
    </row>
    <row r="399" spans="2:7" x14ac:dyDescent="0.25">
      <c r="B399" s="737" t="s">
        <v>3247</v>
      </c>
      <c r="C399" s="737" t="s">
        <v>3248</v>
      </c>
      <c r="D399" s="738">
        <v>4040.5097000000001</v>
      </c>
      <c r="E399" s="738">
        <v>4125.9934999999996</v>
      </c>
      <c r="F399" s="738">
        <v>16926.226900000001</v>
      </c>
      <c r="G399" s="738">
        <v>446.34082781772616</v>
      </c>
    </row>
    <row r="400" spans="2:7" x14ac:dyDescent="0.25">
      <c r="B400" s="737" t="s">
        <v>3249</v>
      </c>
      <c r="C400" s="737" t="s">
        <v>3250</v>
      </c>
      <c r="D400" s="738">
        <v>4172.7743</v>
      </c>
      <c r="E400" s="738">
        <v>4514.1106</v>
      </c>
      <c r="F400" s="738">
        <v>16182.036599999999</v>
      </c>
      <c r="G400" s="738">
        <v>446.34082781772616</v>
      </c>
    </row>
    <row r="401" spans="2:7" x14ac:dyDescent="0.25">
      <c r="B401" s="737" t="s">
        <v>3251</v>
      </c>
      <c r="C401" s="737" t="s">
        <v>3252</v>
      </c>
      <c r="D401" s="738">
        <v>3987.0533</v>
      </c>
      <c r="E401" s="738">
        <v>4043.7183</v>
      </c>
      <c r="F401" s="738">
        <v>16620.7631</v>
      </c>
      <c r="G401" s="738">
        <v>446.34082781772616</v>
      </c>
    </row>
    <row r="402" spans="2:7" x14ac:dyDescent="0.25">
      <c r="B402" s="737" t="s">
        <v>3253</v>
      </c>
      <c r="C402" s="737" t="s">
        <v>3254</v>
      </c>
      <c r="D402" s="738">
        <v>4057.7159999999999</v>
      </c>
      <c r="E402" s="738">
        <v>4143.7709000000004</v>
      </c>
      <c r="F402" s="738">
        <v>17085.352800000001</v>
      </c>
      <c r="G402" s="738">
        <v>446.34082781772616</v>
      </c>
    </row>
    <row r="403" spans="2:7" x14ac:dyDescent="0.25">
      <c r="B403" s="737" t="s">
        <v>3255</v>
      </c>
      <c r="C403" s="737" t="s">
        <v>3256</v>
      </c>
      <c r="D403" s="738">
        <v>3788.2896999999998</v>
      </c>
      <c r="E403" s="738">
        <v>3527.8593000000001</v>
      </c>
      <c r="F403" s="738">
        <v>17176.045699999999</v>
      </c>
      <c r="G403" s="738">
        <v>446.34082781772616</v>
      </c>
    </row>
    <row r="404" spans="2:7" x14ac:dyDescent="0.25">
      <c r="B404" s="737" t="s">
        <v>3257</v>
      </c>
      <c r="C404" s="737" t="s">
        <v>3258</v>
      </c>
      <c r="D404" s="738">
        <v>3852.4158000000002</v>
      </c>
      <c r="E404" s="738">
        <v>3543.7455</v>
      </c>
      <c r="F404" s="738">
        <v>18226.407599999999</v>
      </c>
      <c r="G404" s="738">
        <v>446.34082781772616</v>
      </c>
    </row>
    <row r="405" spans="2:7" x14ac:dyDescent="0.25">
      <c r="B405" s="737" t="s">
        <v>3259</v>
      </c>
      <c r="C405" s="737" t="s">
        <v>3260</v>
      </c>
      <c r="D405" s="738">
        <v>4193.9093000000003</v>
      </c>
      <c r="E405" s="738">
        <v>4502.7658000000001</v>
      </c>
      <c r="F405" s="738">
        <v>16652.572800000002</v>
      </c>
      <c r="G405" s="738">
        <v>446.34082781772616</v>
      </c>
    </row>
    <row r="406" spans="2:7" x14ac:dyDescent="0.25">
      <c r="B406" s="737" t="s">
        <v>3261</v>
      </c>
      <c r="C406" s="737" t="s">
        <v>3262</v>
      </c>
      <c r="D406" s="738">
        <v>3867.2029000000002</v>
      </c>
      <c r="E406" s="738">
        <v>3772.0074</v>
      </c>
      <c r="F406" s="738">
        <v>16648.577799999999</v>
      </c>
      <c r="G406" s="738">
        <v>446.34082781772616</v>
      </c>
    </row>
    <row r="407" spans="2:7" x14ac:dyDescent="0.25">
      <c r="B407" s="737" t="s">
        <v>3263</v>
      </c>
      <c r="C407" s="737" t="s">
        <v>3264</v>
      </c>
      <c r="D407" s="738">
        <v>3847.4749999999999</v>
      </c>
      <c r="E407" s="738">
        <v>3539.4960000000001</v>
      </c>
      <c r="F407" s="738">
        <v>18173.864799999999</v>
      </c>
      <c r="G407" s="738">
        <v>446.34082781772616</v>
      </c>
    </row>
    <row r="408" spans="2:7" x14ac:dyDescent="0.25">
      <c r="B408" s="737" t="s">
        <v>3265</v>
      </c>
      <c r="C408" s="737" t="s">
        <v>3266</v>
      </c>
      <c r="D408" s="738">
        <v>3840.9167000000002</v>
      </c>
      <c r="E408" s="738">
        <v>3489.8562000000002</v>
      </c>
      <c r="F408" s="738">
        <v>18459.232400000001</v>
      </c>
      <c r="G408" s="738">
        <v>446.34082781772616</v>
      </c>
    </row>
    <row r="409" spans="2:7" x14ac:dyDescent="0.25">
      <c r="B409" s="737" t="s">
        <v>3267</v>
      </c>
      <c r="C409" s="737" t="s">
        <v>3268</v>
      </c>
      <c r="D409" s="738">
        <v>3859.1305000000002</v>
      </c>
      <c r="E409" s="738">
        <v>3537.9684999999999</v>
      </c>
      <c r="F409" s="738">
        <v>18390.0628</v>
      </c>
      <c r="G409" s="738">
        <v>446.34082781772616</v>
      </c>
    </row>
    <row r="410" spans="2:7" x14ac:dyDescent="0.25">
      <c r="B410" s="737" t="s">
        <v>3269</v>
      </c>
      <c r="C410" s="737" t="s">
        <v>3270</v>
      </c>
      <c r="D410" s="738">
        <v>3862.4627</v>
      </c>
      <c r="E410" s="738">
        <v>3466.2559999999999</v>
      </c>
      <c r="F410" s="738">
        <v>19033.500800000002</v>
      </c>
      <c r="G410" s="738">
        <v>446.34082781772616</v>
      </c>
    </row>
    <row r="411" spans="2:7" x14ac:dyDescent="0.25">
      <c r="B411" s="737" t="s">
        <v>3271</v>
      </c>
      <c r="C411" s="737" t="s">
        <v>3272</v>
      </c>
      <c r="D411" s="738">
        <v>3849.8218999999999</v>
      </c>
      <c r="E411" s="738">
        <v>3632.5079999999998</v>
      </c>
      <c r="F411" s="738">
        <v>17466.2284</v>
      </c>
      <c r="G411" s="738">
        <v>446.34082781772616</v>
      </c>
    </row>
    <row r="412" spans="2:7" x14ac:dyDescent="0.25">
      <c r="B412" s="737" t="s">
        <v>3273</v>
      </c>
      <c r="C412" s="737" t="s">
        <v>3274</v>
      </c>
      <c r="D412" s="738">
        <v>3846.7944000000002</v>
      </c>
      <c r="E412" s="738">
        <v>3483.1655999999998</v>
      </c>
      <c r="F412" s="738">
        <v>18619.211500000001</v>
      </c>
      <c r="G412" s="738">
        <v>446.34082781772616</v>
      </c>
    </row>
    <row r="413" spans="2:7" x14ac:dyDescent="0.25">
      <c r="B413" s="737" t="s">
        <v>3275</v>
      </c>
      <c r="C413" s="737" t="s">
        <v>3276</v>
      </c>
      <c r="D413" s="738">
        <v>3680.3045000000002</v>
      </c>
      <c r="E413" s="738">
        <v>3023.6397000000002</v>
      </c>
      <c r="F413" s="738">
        <v>19277.317800000001</v>
      </c>
      <c r="G413" s="738">
        <v>446.34082781772616</v>
      </c>
    </row>
    <row r="414" spans="2:7" x14ac:dyDescent="0.25">
      <c r="B414" s="737" t="s">
        <v>3277</v>
      </c>
      <c r="C414" s="737" t="s">
        <v>3278</v>
      </c>
      <c r="D414" s="738">
        <v>3947.4965000000002</v>
      </c>
      <c r="E414" s="738">
        <v>3848.9616000000001</v>
      </c>
      <c r="F414" s="738">
        <v>17487.165000000001</v>
      </c>
      <c r="G414" s="738">
        <v>446.34082781772616</v>
      </c>
    </row>
    <row r="415" spans="2:7" x14ac:dyDescent="0.25">
      <c r="B415" s="737" t="s">
        <v>3279</v>
      </c>
      <c r="C415" s="737" t="s">
        <v>3280</v>
      </c>
      <c r="D415" s="738">
        <v>4100.8027000000002</v>
      </c>
      <c r="E415" s="738">
        <v>4099.0591999999997</v>
      </c>
      <c r="F415" s="738">
        <v>18236.6054</v>
      </c>
      <c r="G415" s="738">
        <v>446.34082781772616</v>
      </c>
    </row>
    <row r="416" spans="2:7" x14ac:dyDescent="0.25">
      <c r="B416" s="737" t="s">
        <v>3281</v>
      </c>
      <c r="C416" s="737" t="s">
        <v>3282</v>
      </c>
      <c r="D416" s="738">
        <v>3800.5992000000001</v>
      </c>
      <c r="E416" s="738">
        <v>3271.7631000000001</v>
      </c>
      <c r="F416" s="738">
        <v>19494.305100000001</v>
      </c>
      <c r="G416" s="738">
        <v>446.34082781772616</v>
      </c>
    </row>
    <row r="417" spans="2:7" x14ac:dyDescent="0.25">
      <c r="B417" s="737" t="s">
        <v>3283</v>
      </c>
      <c r="C417" s="737" t="s">
        <v>3284</v>
      </c>
      <c r="D417" s="738">
        <v>3711.0695999999998</v>
      </c>
      <c r="E417" s="738">
        <v>3033.7694999999999</v>
      </c>
      <c r="F417" s="738">
        <v>19776.973099999999</v>
      </c>
      <c r="G417" s="738">
        <v>446.34082781772616</v>
      </c>
    </row>
    <row r="418" spans="2:7" x14ac:dyDescent="0.25">
      <c r="B418" s="737" t="s">
        <v>3285</v>
      </c>
      <c r="C418" s="737" t="s">
        <v>3286</v>
      </c>
      <c r="D418" s="738">
        <v>3790.9236999999998</v>
      </c>
      <c r="E418" s="738">
        <v>3231.8325</v>
      </c>
      <c r="F418" s="738">
        <v>19625.995900000002</v>
      </c>
      <c r="G418" s="738">
        <v>446.34082781772616</v>
      </c>
    </row>
    <row r="419" spans="2:7" x14ac:dyDescent="0.25">
      <c r="B419" s="737" t="s">
        <v>3287</v>
      </c>
      <c r="C419" s="737" t="s">
        <v>3288</v>
      </c>
      <c r="D419" s="738">
        <v>3732.8186000000001</v>
      </c>
      <c r="E419" s="738">
        <v>3083.6115</v>
      </c>
      <c r="F419" s="738">
        <v>19763.1348</v>
      </c>
      <c r="G419" s="738">
        <v>446.34082781772616</v>
      </c>
    </row>
    <row r="420" spans="2:7" x14ac:dyDescent="0.25">
      <c r="B420" s="737" t="s">
        <v>3289</v>
      </c>
      <c r="C420" s="737" t="s">
        <v>3290</v>
      </c>
      <c r="D420" s="738">
        <v>3700.9481000000001</v>
      </c>
      <c r="E420" s="738">
        <v>3130.7773999999999</v>
      </c>
      <c r="F420" s="738">
        <v>18819.1934</v>
      </c>
      <c r="G420" s="738">
        <v>446.34082781772616</v>
      </c>
    </row>
    <row r="421" spans="2:7" x14ac:dyDescent="0.25">
      <c r="B421" s="737" t="s">
        <v>3291</v>
      </c>
      <c r="C421" s="737" t="s">
        <v>3292</v>
      </c>
      <c r="D421" s="738">
        <v>3817.4481000000001</v>
      </c>
      <c r="E421" s="738">
        <v>3235.1867000000002</v>
      </c>
      <c r="F421" s="738">
        <v>20048.676500000001</v>
      </c>
      <c r="G421" s="738">
        <v>446.34082781772616</v>
      </c>
    </row>
    <row r="422" spans="2:7" x14ac:dyDescent="0.25">
      <c r="B422" s="737" t="s">
        <v>3293</v>
      </c>
      <c r="C422" s="737" t="s">
        <v>3294</v>
      </c>
      <c r="D422" s="738">
        <v>3866.9268999999999</v>
      </c>
      <c r="E422" s="738">
        <v>3369.3869</v>
      </c>
      <c r="F422" s="738">
        <v>19889.7228</v>
      </c>
      <c r="G422" s="738">
        <v>446.34082781772616</v>
      </c>
    </row>
    <row r="423" spans="2:7" x14ac:dyDescent="0.25">
      <c r="B423" s="737" t="s">
        <v>3295</v>
      </c>
      <c r="C423" s="737" t="s">
        <v>3296</v>
      </c>
      <c r="D423" s="738">
        <v>3775.9744999999998</v>
      </c>
      <c r="E423" s="738">
        <v>2912.6201000000001</v>
      </c>
      <c r="F423" s="738">
        <v>21896.665700000001</v>
      </c>
      <c r="G423" s="738">
        <v>446.34082781772616</v>
      </c>
    </row>
    <row r="424" spans="2:7" x14ac:dyDescent="0.25">
      <c r="B424" s="737" t="s">
        <v>3297</v>
      </c>
      <c r="C424" s="737" t="s">
        <v>3298</v>
      </c>
      <c r="D424" s="738">
        <v>3853.4283999999998</v>
      </c>
      <c r="E424" s="738">
        <v>3174.1662999999999</v>
      </c>
      <c r="F424" s="738">
        <v>21182.526000000002</v>
      </c>
      <c r="G424" s="738">
        <v>446.34082781772616</v>
      </c>
    </row>
    <row r="425" spans="2:7" x14ac:dyDescent="0.25">
      <c r="B425" s="737" t="s">
        <v>3299</v>
      </c>
      <c r="C425" s="737" t="s">
        <v>3300</v>
      </c>
      <c r="D425" s="738">
        <v>3808.8784999999998</v>
      </c>
      <c r="E425" s="738">
        <v>3225.3569000000002</v>
      </c>
      <c r="F425" s="738">
        <v>20015.655900000002</v>
      </c>
      <c r="G425" s="738">
        <v>446.34082781772616</v>
      </c>
    </row>
    <row r="426" spans="2:7" x14ac:dyDescent="0.25">
      <c r="B426" s="737" t="s">
        <v>3301</v>
      </c>
      <c r="C426" s="737" t="s">
        <v>3302</v>
      </c>
      <c r="D426" s="738">
        <v>3868.134</v>
      </c>
      <c r="E426" s="738">
        <v>3194.7548000000002</v>
      </c>
      <c r="F426" s="738">
        <v>21326.302599999999</v>
      </c>
      <c r="G426" s="738">
        <v>446.34082781772616</v>
      </c>
    </row>
    <row r="427" spans="2:7" x14ac:dyDescent="0.25">
      <c r="B427" s="737" t="s">
        <v>3303</v>
      </c>
      <c r="C427" s="737" t="s">
        <v>3304</v>
      </c>
      <c r="D427" s="738">
        <v>3705.7934</v>
      </c>
      <c r="E427" s="738">
        <v>3121.7276999999999</v>
      </c>
      <c r="F427" s="738">
        <v>18986.522700000001</v>
      </c>
      <c r="G427" s="738">
        <v>446.34082781772616</v>
      </c>
    </row>
    <row r="428" spans="2:7" x14ac:dyDescent="0.25">
      <c r="B428" s="737" t="s">
        <v>3305</v>
      </c>
      <c r="C428" s="737" t="s">
        <v>3306</v>
      </c>
      <c r="D428" s="738">
        <v>3845.5563999999999</v>
      </c>
      <c r="E428" s="738">
        <v>3242.1716999999999</v>
      </c>
      <c r="F428" s="738">
        <v>20538.832200000001</v>
      </c>
      <c r="G428" s="738">
        <v>446.34082781772616</v>
      </c>
    </row>
    <row r="429" spans="2:7" x14ac:dyDescent="0.25">
      <c r="B429" s="737" t="s">
        <v>3307</v>
      </c>
      <c r="C429" s="737" t="s">
        <v>3308</v>
      </c>
      <c r="D429" s="738">
        <v>3742.6489000000001</v>
      </c>
      <c r="E429" s="738">
        <v>3053.9742000000001</v>
      </c>
      <c r="F429" s="738">
        <v>20194.3361</v>
      </c>
      <c r="G429" s="738">
        <v>446.34082781772616</v>
      </c>
    </row>
    <row r="430" spans="2:7" x14ac:dyDescent="0.25">
      <c r="B430" s="737" t="s">
        <v>3309</v>
      </c>
      <c r="C430" s="737" t="s">
        <v>3310</v>
      </c>
      <c r="D430" s="738">
        <v>3810.4585000000002</v>
      </c>
      <c r="E430" s="738">
        <v>3091.0239999999999</v>
      </c>
      <c r="F430" s="738">
        <v>21085.793900000001</v>
      </c>
      <c r="G430" s="738">
        <v>446.34082781772616</v>
      </c>
    </row>
    <row r="431" spans="2:7" x14ac:dyDescent="0.25">
      <c r="B431" s="737" t="s">
        <v>3311</v>
      </c>
      <c r="C431" s="737" t="s">
        <v>3312</v>
      </c>
      <c r="D431" s="738">
        <v>3778.7705999999998</v>
      </c>
      <c r="E431" s="738">
        <v>3272.5527000000002</v>
      </c>
      <c r="F431" s="738">
        <v>19073.1181</v>
      </c>
      <c r="G431" s="738">
        <v>446.34082781772616</v>
      </c>
    </row>
    <row r="432" spans="2:7" x14ac:dyDescent="0.25">
      <c r="B432" s="737" t="s">
        <v>3313</v>
      </c>
      <c r="C432" s="737" t="s">
        <v>3314</v>
      </c>
      <c r="D432" s="738">
        <v>3722.4717000000001</v>
      </c>
      <c r="E432" s="738">
        <v>3387.0922999999998</v>
      </c>
      <c r="F432" s="738">
        <v>17145.291700000002</v>
      </c>
      <c r="G432" s="738">
        <v>446.34082781772616</v>
      </c>
    </row>
    <row r="433" spans="2:7" x14ac:dyDescent="0.25">
      <c r="B433" s="737" t="s">
        <v>3315</v>
      </c>
      <c r="C433" s="737" t="s">
        <v>3316</v>
      </c>
      <c r="D433" s="738">
        <v>3733.0875999999998</v>
      </c>
      <c r="E433" s="738">
        <v>3566.0810999999999</v>
      </c>
      <c r="F433" s="738">
        <v>15881.366599999999</v>
      </c>
      <c r="G433" s="738">
        <v>446.34082781772616</v>
      </c>
    </row>
    <row r="434" spans="2:7" x14ac:dyDescent="0.25">
      <c r="B434" s="737" t="s">
        <v>3317</v>
      </c>
      <c r="C434" s="737" t="s">
        <v>3318</v>
      </c>
      <c r="D434" s="738">
        <v>3573.6532999999999</v>
      </c>
      <c r="E434" s="738">
        <v>2741.2312999999999</v>
      </c>
      <c r="F434" s="738">
        <v>19673.875800000002</v>
      </c>
      <c r="G434" s="738">
        <v>446.34082781772616</v>
      </c>
    </row>
    <row r="435" spans="2:7" x14ac:dyDescent="0.25">
      <c r="B435" s="737" t="s">
        <v>3319</v>
      </c>
      <c r="C435" s="737" t="s">
        <v>3320</v>
      </c>
      <c r="D435" s="738">
        <v>4027.4861999999998</v>
      </c>
      <c r="E435" s="738">
        <v>2144.6842999999999</v>
      </c>
      <c r="F435" s="738">
        <v>28180.3478</v>
      </c>
      <c r="G435" s="738">
        <v>559.25496480859351</v>
      </c>
    </row>
    <row r="436" spans="2:7" x14ac:dyDescent="0.25">
      <c r="B436" s="737" t="s">
        <v>3321</v>
      </c>
      <c r="C436" s="737" t="s">
        <v>3322</v>
      </c>
      <c r="D436" s="738">
        <v>3483.9029999999998</v>
      </c>
      <c r="E436" s="738">
        <v>2133.7361000000001</v>
      </c>
      <c r="F436" s="738">
        <v>22906.1672</v>
      </c>
      <c r="G436" s="738">
        <v>446.34082781772616</v>
      </c>
    </row>
    <row r="437" spans="2:7" x14ac:dyDescent="0.25">
      <c r="B437" s="737" t="s">
        <v>3323</v>
      </c>
      <c r="C437" s="737" t="s">
        <v>3324</v>
      </c>
      <c r="D437" s="738">
        <v>3466.4636999999998</v>
      </c>
      <c r="E437" s="738">
        <v>2490.8267999999998</v>
      </c>
      <c r="F437" s="738">
        <v>19761.681700000001</v>
      </c>
      <c r="G437" s="738">
        <v>446.34082781772616</v>
      </c>
    </row>
    <row r="438" spans="2:7" x14ac:dyDescent="0.25">
      <c r="B438" s="737" t="s">
        <v>3325</v>
      </c>
      <c r="C438" s="737" t="s">
        <v>3326</v>
      </c>
      <c r="D438" s="738">
        <v>3557.24</v>
      </c>
      <c r="E438" s="738">
        <v>2719.2273</v>
      </c>
      <c r="F438" s="738">
        <v>19538.656800000001</v>
      </c>
      <c r="G438" s="738">
        <v>446.34082781772616</v>
      </c>
    </row>
    <row r="439" spans="2:7" x14ac:dyDescent="0.25">
      <c r="B439" s="737" t="s">
        <v>3327</v>
      </c>
      <c r="C439" s="737" t="s">
        <v>3328</v>
      </c>
      <c r="D439" s="738">
        <v>3601.9814000000001</v>
      </c>
      <c r="E439" s="738">
        <v>2657.2939999999999</v>
      </c>
      <c r="F439" s="738">
        <v>20861.7058</v>
      </c>
      <c r="G439" s="738">
        <v>446.34082781772616</v>
      </c>
    </row>
    <row r="440" spans="2:7" x14ac:dyDescent="0.25">
      <c r="B440" s="737" t="s">
        <v>3329</v>
      </c>
      <c r="C440" s="737" t="s">
        <v>3330</v>
      </c>
      <c r="D440" s="738">
        <v>3895.4022</v>
      </c>
      <c r="E440" s="738">
        <v>2422.6685000000002</v>
      </c>
      <c r="F440" s="738">
        <v>22991.2677</v>
      </c>
      <c r="G440" s="738">
        <v>559.25496480859351</v>
      </c>
    </row>
    <row r="441" spans="2:7" x14ac:dyDescent="0.25">
      <c r="B441" s="737" t="s">
        <v>3331</v>
      </c>
      <c r="C441" s="737" t="s">
        <v>3332</v>
      </c>
      <c r="D441" s="738">
        <v>3789.0949999999998</v>
      </c>
      <c r="E441" s="738">
        <v>2348.4189999999999</v>
      </c>
      <c r="F441" s="738">
        <v>21828.0281</v>
      </c>
      <c r="G441" s="738">
        <v>489.61063262108257</v>
      </c>
    </row>
    <row r="442" spans="2:7" x14ac:dyDescent="0.25">
      <c r="B442" s="737" t="s">
        <v>3333</v>
      </c>
      <c r="C442" s="737" t="s">
        <v>3334</v>
      </c>
      <c r="D442" s="738">
        <v>3837.5907999999999</v>
      </c>
      <c r="E442" s="738">
        <v>2017.7973</v>
      </c>
      <c r="F442" s="738">
        <v>28593.433499999999</v>
      </c>
      <c r="G442" s="738">
        <v>489.61063262108257</v>
      </c>
    </row>
    <row r="443" spans="2:7" x14ac:dyDescent="0.25">
      <c r="B443" s="737" t="s">
        <v>3335</v>
      </c>
      <c r="C443" s="737" t="s">
        <v>3336</v>
      </c>
      <c r="D443" s="738">
        <v>4025.7777999999998</v>
      </c>
      <c r="E443" s="738">
        <v>2336.6093000000001</v>
      </c>
      <c r="F443" s="738">
        <v>26198.922299999998</v>
      </c>
      <c r="G443" s="738">
        <v>559.25496480859351</v>
      </c>
    </row>
    <row r="444" spans="2:7" x14ac:dyDescent="0.25">
      <c r="B444" s="737" t="s">
        <v>3337</v>
      </c>
      <c r="C444" s="737" t="s">
        <v>3338</v>
      </c>
      <c r="D444" s="738">
        <v>3810.5981999999999</v>
      </c>
      <c r="E444" s="738">
        <v>2481.9203000000002</v>
      </c>
      <c r="F444" s="738">
        <v>20844.2369</v>
      </c>
      <c r="G444" s="738">
        <v>559.25496480859351</v>
      </c>
    </row>
    <row r="445" spans="2:7" x14ac:dyDescent="0.25">
      <c r="B445" s="737" t="s">
        <v>3339</v>
      </c>
      <c r="C445" s="737" t="s">
        <v>3340</v>
      </c>
      <c r="D445" s="738">
        <v>3910.8584999999998</v>
      </c>
      <c r="E445" s="738">
        <v>2151.9227999999998</v>
      </c>
      <c r="F445" s="738">
        <v>25927.939299999998</v>
      </c>
      <c r="G445" s="738">
        <v>559.25496480859351</v>
      </c>
    </row>
    <row r="446" spans="2:7" x14ac:dyDescent="0.25">
      <c r="B446" s="737" t="s">
        <v>3341</v>
      </c>
      <c r="C446" s="737" t="s">
        <v>3342</v>
      </c>
      <c r="D446" s="738">
        <v>3686.4245000000001</v>
      </c>
      <c r="E446" s="738">
        <v>2418.9056999999998</v>
      </c>
      <c r="F446" s="738">
        <v>22333.932100000002</v>
      </c>
      <c r="G446" s="738">
        <v>489.61063262108257</v>
      </c>
    </row>
    <row r="447" spans="2:7" x14ac:dyDescent="0.25">
      <c r="B447" s="737" t="s">
        <v>3343</v>
      </c>
      <c r="C447" s="737" t="s">
        <v>3344</v>
      </c>
      <c r="D447" s="738">
        <v>3565.6731</v>
      </c>
      <c r="E447" s="738">
        <v>2388.1282999999999</v>
      </c>
      <c r="F447" s="738">
        <v>20454.4843</v>
      </c>
      <c r="G447" s="738">
        <v>489.61063262108257</v>
      </c>
    </row>
    <row r="448" spans="2:7" x14ac:dyDescent="0.25">
      <c r="B448" s="737" t="s">
        <v>3345</v>
      </c>
      <c r="C448" s="737" t="s">
        <v>3346</v>
      </c>
      <c r="D448" s="738">
        <v>3717.6347000000001</v>
      </c>
      <c r="E448" s="738">
        <v>2251.2044999999998</v>
      </c>
      <c r="F448" s="738">
        <v>24405.638200000001</v>
      </c>
      <c r="G448" s="738">
        <v>489.61063262108257</v>
      </c>
    </row>
    <row r="449" spans="2:7" x14ac:dyDescent="0.25">
      <c r="B449" s="737" t="s">
        <v>3347</v>
      </c>
      <c r="C449" s="737" t="s">
        <v>3348</v>
      </c>
      <c r="D449" s="738">
        <v>3716.4603000000002</v>
      </c>
      <c r="E449" s="738">
        <v>2355.3362000000002</v>
      </c>
      <c r="F449" s="738">
        <v>23442.8495</v>
      </c>
      <c r="G449" s="738">
        <v>489.61063262108257</v>
      </c>
    </row>
    <row r="450" spans="2:7" x14ac:dyDescent="0.25">
      <c r="B450" s="737" t="s">
        <v>3349</v>
      </c>
      <c r="C450" s="737" t="s">
        <v>3350</v>
      </c>
      <c r="D450" s="738">
        <v>3633.8105</v>
      </c>
      <c r="E450" s="738">
        <v>2426.7080999999998</v>
      </c>
      <c r="F450" s="738">
        <v>21331.169699999999</v>
      </c>
      <c r="G450" s="738">
        <v>489.61063262108257</v>
      </c>
    </row>
    <row r="451" spans="2:7" x14ac:dyDescent="0.25">
      <c r="B451" s="737" t="s">
        <v>3351</v>
      </c>
      <c r="C451" s="737" t="s">
        <v>3352</v>
      </c>
      <c r="D451" s="738">
        <v>3534.7588000000001</v>
      </c>
      <c r="E451" s="738">
        <v>2648.3301999999999</v>
      </c>
      <c r="F451" s="738">
        <v>17593.1427</v>
      </c>
      <c r="G451" s="738">
        <v>489.61063262108257</v>
      </c>
    </row>
    <row r="452" spans="2:7" x14ac:dyDescent="0.25">
      <c r="B452" s="737" t="s">
        <v>3353</v>
      </c>
      <c r="C452" s="737" t="s">
        <v>3354</v>
      </c>
      <c r="D452" s="738">
        <v>3559.93</v>
      </c>
      <c r="E452" s="738">
        <v>2797.8672000000001</v>
      </c>
      <c r="F452" s="738">
        <v>16709.590400000001</v>
      </c>
      <c r="G452" s="738">
        <v>489.61063262108257</v>
      </c>
    </row>
    <row r="453" spans="2:7" x14ac:dyDescent="0.25">
      <c r="B453" s="737" t="s">
        <v>3355</v>
      </c>
      <c r="C453" s="737" t="s">
        <v>3356</v>
      </c>
      <c r="D453" s="738">
        <v>3601.0228000000002</v>
      </c>
      <c r="E453" s="738">
        <v>2581.6808999999998</v>
      </c>
      <c r="F453" s="738">
        <v>19367.2965</v>
      </c>
      <c r="G453" s="738">
        <v>489.61063262108257</v>
      </c>
    </row>
    <row r="454" spans="2:7" x14ac:dyDescent="0.25">
      <c r="B454" s="737" t="s">
        <v>3357</v>
      </c>
      <c r="C454" s="737" t="s">
        <v>3358</v>
      </c>
      <c r="D454" s="738">
        <v>3471.0459000000001</v>
      </c>
      <c r="E454" s="738">
        <v>2716.2174</v>
      </c>
      <c r="F454" s="738">
        <v>15810.0856</v>
      </c>
      <c r="G454" s="738">
        <v>489.61063262108257</v>
      </c>
    </row>
    <row r="455" spans="2:7" x14ac:dyDescent="0.25">
      <c r="B455" s="737" t="s">
        <v>3359</v>
      </c>
      <c r="C455" s="737" t="s">
        <v>3360</v>
      </c>
      <c r="D455" s="738">
        <v>3459.9133000000002</v>
      </c>
      <c r="E455" s="738">
        <v>2929.9576000000002</v>
      </c>
      <c r="F455" s="738">
        <v>13732.508900000001</v>
      </c>
      <c r="G455" s="738">
        <v>489.61063262108257</v>
      </c>
    </row>
    <row r="456" spans="2:7" x14ac:dyDescent="0.25">
      <c r="B456" s="737" t="s">
        <v>3361</v>
      </c>
      <c r="C456" s="737" t="s">
        <v>3362</v>
      </c>
      <c r="D456" s="738">
        <v>3449.3366999999998</v>
      </c>
      <c r="E456" s="738">
        <v>2767.5763000000002</v>
      </c>
      <c r="F456" s="738">
        <v>14983.286899999999</v>
      </c>
      <c r="G456" s="738">
        <v>489.61063262108257</v>
      </c>
    </row>
    <row r="457" spans="2:7" x14ac:dyDescent="0.25">
      <c r="B457" s="737" t="s">
        <v>3363</v>
      </c>
      <c r="C457" s="737" t="s">
        <v>3364</v>
      </c>
      <c r="D457" s="738">
        <v>3559.2692999999999</v>
      </c>
      <c r="E457" s="738">
        <v>3046.3047999999999</v>
      </c>
      <c r="F457" s="738">
        <v>14497.6556</v>
      </c>
      <c r="G457" s="738">
        <v>489.61063262108257</v>
      </c>
    </row>
    <row r="458" spans="2:7" x14ac:dyDescent="0.25">
      <c r="B458" s="737" t="s">
        <v>3365</v>
      </c>
      <c r="C458" s="737" t="s">
        <v>3366</v>
      </c>
      <c r="D458" s="738">
        <v>3470.9369000000002</v>
      </c>
      <c r="E458" s="738">
        <v>2813.9049</v>
      </c>
      <c r="F458" s="738">
        <v>14949.123900000001</v>
      </c>
      <c r="G458" s="738">
        <v>489.61063262108257</v>
      </c>
    </row>
    <row r="459" spans="2:7" x14ac:dyDescent="0.25">
      <c r="B459" s="737" t="s">
        <v>3367</v>
      </c>
      <c r="C459" s="737" t="s">
        <v>3368</v>
      </c>
      <c r="D459" s="738">
        <v>3460.8114</v>
      </c>
      <c r="E459" s="738">
        <v>2962.0515999999998</v>
      </c>
      <c r="F459" s="738">
        <v>13463.9974</v>
      </c>
      <c r="G459" s="738">
        <v>489.61063262108257</v>
      </c>
    </row>
    <row r="460" spans="2:7" x14ac:dyDescent="0.25">
      <c r="B460" s="737" t="s">
        <v>3369</v>
      </c>
      <c r="C460" s="737" t="s">
        <v>3370</v>
      </c>
      <c r="D460" s="738">
        <v>2829.2451999999998</v>
      </c>
      <c r="E460" s="738">
        <v>2337.9079000000002</v>
      </c>
      <c r="F460" s="738">
        <v>18506.8217</v>
      </c>
      <c r="G460" s="738">
        <v>237.61611909057012</v>
      </c>
    </row>
    <row r="461" spans="2:7" x14ac:dyDescent="0.25">
      <c r="B461" s="737" t="s">
        <v>3371</v>
      </c>
      <c r="C461" s="737" t="s">
        <v>3372</v>
      </c>
      <c r="D461" s="738">
        <v>2583.3946999999998</v>
      </c>
      <c r="E461" s="738">
        <v>2738.8478</v>
      </c>
      <c r="F461" s="738">
        <v>12335.368</v>
      </c>
      <c r="G461" s="738">
        <v>237.61611909057012</v>
      </c>
    </row>
    <row r="462" spans="2:7" x14ac:dyDescent="0.25">
      <c r="B462" s="737" t="s">
        <v>3373</v>
      </c>
      <c r="C462" s="737" t="s">
        <v>3374</v>
      </c>
      <c r="D462" s="738">
        <v>2683.2368000000001</v>
      </c>
      <c r="E462" s="738">
        <v>2286.0637999999999</v>
      </c>
      <c r="F462" s="738">
        <v>16099.608200000001</v>
      </c>
      <c r="G462" s="738">
        <v>237.61611909057012</v>
      </c>
    </row>
    <row r="463" spans="2:7" x14ac:dyDescent="0.25">
      <c r="B463" s="737" t="s">
        <v>3375</v>
      </c>
      <c r="C463" s="737" t="s">
        <v>3376</v>
      </c>
      <c r="D463" s="738">
        <v>2666.7563</v>
      </c>
      <c r="E463" s="738">
        <v>2357.3207000000002</v>
      </c>
      <c r="F463" s="738">
        <v>15498.1121</v>
      </c>
      <c r="G463" s="738">
        <v>237.61611909057012</v>
      </c>
    </row>
    <row r="464" spans="2:7" x14ac:dyDescent="0.25">
      <c r="B464" s="737" t="s">
        <v>3377</v>
      </c>
      <c r="C464" s="737" t="s">
        <v>3378</v>
      </c>
      <c r="D464" s="738">
        <v>2628.1313</v>
      </c>
      <c r="E464" s="738">
        <v>2314.7440000000001</v>
      </c>
      <c r="F464" s="738">
        <v>14991.474899999999</v>
      </c>
      <c r="G464" s="738">
        <v>237.61611909057012</v>
      </c>
    </row>
    <row r="465" spans="2:7" x14ac:dyDescent="0.25">
      <c r="B465" s="737" t="s">
        <v>3379</v>
      </c>
      <c r="C465" s="737" t="s">
        <v>3380</v>
      </c>
      <c r="D465" s="738">
        <v>2608.2745</v>
      </c>
      <c r="E465" s="738">
        <v>2317.6457</v>
      </c>
      <c r="F465" s="738">
        <v>14612.0255</v>
      </c>
      <c r="G465" s="738">
        <v>237.61611909057012</v>
      </c>
    </row>
    <row r="466" spans="2:7" x14ac:dyDescent="0.25">
      <c r="B466" s="737" t="s">
        <v>3381</v>
      </c>
      <c r="C466" s="737" t="s">
        <v>3382</v>
      </c>
      <c r="D466" s="738">
        <v>2883.9063999999998</v>
      </c>
      <c r="E466" s="738">
        <v>1875.2379000000001</v>
      </c>
      <c r="F466" s="738">
        <v>21475.492999999999</v>
      </c>
      <c r="G466" s="738">
        <v>237.61611909057012</v>
      </c>
    </row>
    <row r="467" spans="2:7" x14ac:dyDescent="0.25">
      <c r="B467" s="737" t="s">
        <v>3383</v>
      </c>
      <c r="C467" s="737" t="s">
        <v>3384</v>
      </c>
      <c r="D467" s="738">
        <v>2653.5054</v>
      </c>
      <c r="E467" s="738">
        <v>1954.1432</v>
      </c>
      <c r="F467" s="738">
        <v>16996.482800000002</v>
      </c>
      <c r="G467" s="738">
        <v>237.61611909057012</v>
      </c>
    </row>
    <row r="468" spans="2:7" x14ac:dyDescent="0.25">
      <c r="B468" s="737" t="s">
        <v>3385</v>
      </c>
      <c r="C468" s="737" t="s">
        <v>3386</v>
      </c>
      <c r="D468" s="738">
        <v>2671.0461</v>
      </c>
      <c r="E468" s="738">
        <v>2283.3177000000001</v>
      </c>
      <c r="F468" s="738">
        <v>15891.0214</v>
      </c>
      <c r="G468" s="738">
        <v>237.61611909057012</v>
      </c>
    </row>
    <row r="469" spans="2:7" x14ac:dyDescent="0.25">
      <c r="B469" s="737" t="s">
        <v>3387</v>
      </c>
      <c r="C469" s="737" t="s">
        <v>3388</v>
      </c>
      <c r="D469" s="738">
        <v>2594.7867999999999</v>
      </c>
      <c r="E469" s="738">
        <v>2410.0942</v>
      </c>
      <c r="F469" s="738">
        <v>13977.209000000001</v>
      </c>
      <c r="G469" s="738">
        <v>237.61611909057012</v>
      </c>
    </row>
    <row r="470" spans="2:7" x14ac:dyDescent="0.25">
      <c r="B470" s="737" t="s">
        <v>3389</v>
      </c>
      <c r="C470" s="737" t="s">
        <v>3390</v>
      </c>
      <c r="D470" s="738">
        <v>2617.5448999999999</v>
      </c>
      <c r="E470" s="738">
        <v>2255.1961000000001</v>
      </c>
      <c r="F470" s="738">
        <v>15053.4313</v>
      </c>
      <c r="G470" s="738">
        <v>237.61611909057012</v>
      </c>
    </row>
    <row r="471" spans="2:7" x14ac:dyDescent="0.25">
      <c r="B471" s="737" t="s">
        <v>3391</v>
      </c>
      <c r="C471" s="737" t="s">
        <v>3392</v>
      </c>
      <c r="D471" s="738">
        <v>2640.9476</v>
      </c>
      <c r="E471" s="738">
        <v>2212.9526999999998</v>
      </c>
      <c r="F471" s="738">
        <v>15656.861800000001</v>
      </c>
      <c r="G471" s="738">
        <v>237.61611909057012</v>
      </c>
    </row>
    <row r="472" spans="2:7" x14ac:dyDescent="0.25">
      <c r="B472" s="737" t="s">
        <v>3393</v>
      </c>
      <c r="C472" s="737" t="s">
        <v>3394</v>
      </c>
      <c r="D472" s="738">
        <v>2659.8874000000001</v>
      </c>
      <c r="E472" s="738">
        <v>2458.5104000000001</v>
      </c>
      <c r="F472" s="738">
        <v>14948.855299999999</v>
      </c>
      <c r="G472" s="738">
        <v>237.61611909057012</v>
      </c>
    </row>
    <row r="473" spans="2:7" x14ac:dyDescent="0.25">
      <c r="B473" s="737" t="s">
        <v>3395</v>
      </c>
      <c r="C473" s="737" t="s">
        <v>3396</v>
      </c>
      <c r="D473" s="738">
        <v>2699.3670000000002</v>
      </c>
      <c r="E473" s="738">
        <v>2257.1174000000001</v>
      </c>
      <c r="F473" s="738">
        <v>16523.995299999999</v>
      </c>
      <c r="G473" s="738">
        <v>237.61611909057012</v>
      </c>
    </row>
    <row r="474" spans="2:7" x14ac:dyDescent="0.25">
      <c r="B474" s="737" t="s">
        <v>3397</v>
      </c>
      <c r="C474" s="737" t="s">
        <v>3398</v>
      </c>
      <c r="D474" s="738">
        <v>2655.2984000000001</v>
      </c>
      <c r="E474" s="738">
        <v>2264.6545000000001</v>
      </c>
      <c r="F474" s="738">
        <v>15698.042799999999</v>
      </c>
      <c r="G474" s="738">
        <v>237.61611909057012</v>
      </c>
    </row>
    <row r="475" spans="2:7" x14ac:dyDescent="0.25">
      <c r="B475" s="737" t="s">
        <v>3399</v>
      </c>
      <c r="C475" s="737" t="s">
        <v>3400</v>
      </c>
      <c r="D475" s="738">
        <v>2696.0897</v>
      </c>
      <c r="E475" s="738">
        <v>2323.7858000000001</v>
      </c>
      <c r="F475" s="738">
        <v>16174.9216</v>
      </c>
      <c r="G475" s="738">
        <v>237.61611909057012</v>
      </c>
    </row>
    <row r="476" spans="2:7" x14ac:dyDescent="0.25">
      <c r="B476" s="737" t="s">
        <v>3401</v>
      </c>
      <c r="C476" s="737" t="s">
        <v>3402</v>
      </c>
      <c r="D476" s="738">
        <v>2596.7894999999999</v>
      </c>
      <c r="E476" s="738">
        <v>2306.8998000000001</v>
      </c>
      <c r="F476" s="738">
        <v>14459.1988</v>
      </c>
      <c r="G476" s="738">
        <v>237.61611909057012</v>
      </c>
    </row>
    <row r="477" spans="2:7" x14ac:dyDescent="0.25">
      <c r="B477" s="737" t="s">
        <v>3403</v>
      </c>
      <c r="C477" s="737" t="s">
        <v>3404</v>
      </c>
      <c r="D477" s="738">
        <v>2602.2982000000002</v>
      </c>
      <c r="E477" s="738">
        <v>2274.4256</v>
      </c>
      <c r="F477" s="738">
        <v>14697.207700000001</v>
      </c>
      <c r="G477" s="738">
        <v>237.61611909057012</v>
      </c>
    </row>
    <row r="478" spans="2:7" x14ac:dyDescent="0.25">
      <c r="B478" s="737" t="s">
        <v>3405</v>
      </c>
      <c r="C478" s="737" t="s">
        <v>3406</v>
      </c>
      <c r="D478" s="738">
        <v>2578.6895</v>
      </c>
      <c r="E478" s="738">
        <v>2325.8294999999998</v>
      </c>
      <c r="F478" s="738">
        <v>14048.741</v>
      </c>
      <c r="G478" s="738">
        <v>237.61611909057012</v>
      </c>
    </row>
    <row r="479" spans="2:7" x14ac:dyDescent="0.25">
      <c r="B479" s="737" t="s">
        <v>3407</v>
      </c>
      <c r="C479" s="737" t="s">
        <v>3408</v>
      </c>
      <c r="D479" s="738">
        <v>2624.4897999999998</v>
      </c>
      <c r="E479" s="738">
        <v>2379.9747000000002</v>
      </c>
      <c r="F479" s="738">
        <v>14640.9326</v>
      </c>
      <c r="G479" s="738">
        <v>237.61611909057012</v>
      </c>
    </row>
    <row r="480" spans="2:7" x14ac:dyDescent="0.25">
      <c r="B480" s="737" t="s">
        <v>3409</v>
      </c>
      <c r="C480" s="737" t="s">
        <v>3410</v>
      </c>
      <c r="D480" s="738">
        <v>2617.2195999999999</v>
      </c>
      <c r="E480" s="738">
        <v>2412.5122000000001</v>
      </c>
      <c r="F480" s="738">
        <v>14373.6587</v>
      </c>
      <c r="G480" s="738">
        <v>237.61611909057012</v>
      </c>
    </row>
    <row r="481" spans="2:7" x14ac:dyDescent="0.25">
      <c r="B481" s="737" t="s">
        <v>3411</v>
      </c>
      <c r="C481" s="737" t="s">
        <v>3412</v>
      </c>
      <c r="D481" s="738">
        <v>3481.3980999999999</v>
      </c>
      <c r="E481" s="738">
        <v>3195.6095999999998</v>
      </c>
      <c r="F481" s="738">
        <v>19628.0566</v>
      </c>
      <c r="G481" s="738">
        <v>356.46862005190007</v>
      </c>
    </row>
    <row r="482" spans="2:7" x14ac:dyDescent="0.25">
      <c r="B482" s="737" t="s">
        <v>3413</v>
      </c>
      <c r="C482" s="737" t="s">
        <v>3414</v>
      </c>
      <c r="D482" s="738">
        <v>3510.5518999999999</v>
      </c>
      <c r="E482" s="738">
        <v>2838.2950000000001</v>
      </c>
      <c r="F482" s="738">
        <v>22457.606400000001</v>
      </c>
      <c r="G482" s="738">
        <v>356.46862005190007</v>
      </c>
    </row>
    <row r="483" spans="2:7" x14ac:dyDescent="0.25">
      <c r="B483" s="737" t="s">
        <v>3415</v>
      </c>
      <c r="C483" s="737" t="s">
        <v>3416</v>
      </c>
      <c r="D483" s="738">
        <v>3531.9991</v>
      </c>
      <c r="E483" s="738">
        <v>2808.6734000000001</v>
      </c>
      <c r="F483" s="738">
        <v>23032.427299999999</v>
      </c>
      <c r="G483" s="738">
        <v>356.46862005190007</v>
      </c>
    </row>
    <row r="484" spans="2:7" x14ac:dyDescent="0.25">
      <c r="B484" s="737" t="s">
        <v>3417</v>
      </c>
      <c r="C484" s="737" t="s">
        <v>3418</v>
      </c>
      <c r="D484" s="738">
        <v>3476.2507000000001</v>
      </c>
      <c r="E484" s="738">
        <v>3202.6136000000001</v>
      </c>
      <c r="F484" s="738">
        <v>19489.6214</v>
      </c>
      <c r="G484" s="738">
        <v>356.46862005190007</v>
      </c>
    </row>
    <row r="485" spans="2:7" x14ac:dyDescent="0.25">
      <c r="B485" s="737" t="s">
        <v>3419</v>
      </c>
      <c r="C485" s="737" t="s">
        <v>3420</v>
      </c>
      <c r="D485" s="738">
        <v>3452.7685000000001</v>
      </c>
      <c r="E485" s="738">
        <v>2949.2696000000001</v>
      </c>
      <c r="F485" s="738">
        <v>20670.022199999999</v>
      </c>
      <c r="G485" s="738">
        <v>356.46862005190007</v>
      </c>
    </row>
    <row r="486" spans="2:7" x14ac:dyDescent="0.25">
      <c r="B486" s="737" t="s">
        <v>3421</v>
      </c>
      <c r="C486" s="737" t="s">
        <v>3422</v>
      </c>
      <c r="D486" s="738">
        <v>3537.9488999999999</v>
      </c>
      <c r="E486" s="738">
        <v>2876.0653000000002</v>
      </c>
      <c r="F486" s="738">
        <v>22711.4483</v>
      </c>
      <c r="G486" s="738">
        <v>356.46862005190007</v>
      </c>
    </row>
    <row r="487" spans="2:7" x14ac:dyDescent="0.25">
      <c r="B487" s="737" t="s">
        <v>3423</v>
      </c>
      <c r="C487" s="737" t="s">
        <v>3424</v>
      </c>
      <c r="D487" s="738">
        <v>3408.5556000000001</v>
      </c>
      <c r="E487" s="738">
        <v>2717.1046999999999</v>
      </c>
      <c r="F487" s="738">
        <v>21355.465400000001</v>
      </c>
      <c r="G487" s="738">
        <v>356.46862005190007</v>
      </c>
    </row>
    <row r="488" spans="2:7" x14ac:dyDescent="0.25">
      <c r="B488" s="737" t="s">
        <v>3425</v>
      </c>
      <c r="C488" s="737" t="s">
        <v>3426</v>
      </c>
      <c r="D488" s="738">
        <v>3565.0435000000002</v>
      </c>
      <c r="E488" s="738">
        <v>2897.5812999999998</v>
      </c>
      <c r="F488" s="738">
        <v>23058.6561</v>
      </c>
      <c r="G488" s="738">
        <v>356.46862005190007</v>
      </c>
    </row>
    <row r="489" spans="2:7" x14ac:dyDescent="0.25">
      <c r="B489" s="737" t="s">
        <v>3427</v>
      </c>
      <c r="C489" s="737" t="s">
        <v>3428</v>
      </c>
      <c r="D489" s="738">
        <v>3567.8092000000001</v>
      </c>
      <c r="E489" s="738">
        <v>2972.2737999999999</v>
      </c>
      <c r="F489" s="738">
        <v>22596.103299999999</v>
      </c>
      <c r="G489" s="738">
        <v>356.46862005190007</v>
      </c>
    </row>
    <row r="490" spans="2:7" x14ac:dyDescent="0.25">
      <c r="B490" s="737" t="s">
        <v>3429</v>
      </c>
      <c r="C490" s="737" t="s">
        <v>3430</v>
      </c>
      <c r="D490" s="738">
        <v>3389.2957999999999</v>
      </c>
      <c r="E490" s="738">
        <v>2739.1536000000001</v>
      </c>
      <c r="F490" s="738">
        <v>20897.152399999999</v>
      </c>
      <c r="G490" s="738">
        <v>356.46862005190007</v>
      </c>
    </row>
    <row r="491" spans="2:7" x14ac:dyDescent="0.25">
      <c r="B491" s="737" t="s">
        <v>3431</v>
      </c>
      <c r="C491" s="737" t="s">
        <v>3432</v>
      </c>
      <c r="D491" s="738">
        <v>3590.9558999999999</v>
      </c>
      <c r="E491" s="738">
        <v>2821.6934000000001</v>
      </c>
      <c r="F491" s="738">
        <v>23974.463299999999</v>
      </c>
      <c r="G491" s="738">
        <v>356.46862005190007</v>
      </c>
    </row>
    <row r="492" spans="2:7" x14ac:dyDescent="0.25">
      <c r="B492" s="737" t="s">
        <v>3433</v>
      </c>
      <c r="C492" s="737" t="s">
        <v>3434</v>
      </c>
      <c r="D492" s="738">
        <v>3486.4474</v>
      </c>
      <c r="E492" s="738">
        <v>2941.7307000000001</v>
      </c>
      <c r="F492" s="738">
        <v>21357.932400000002</v>
      </c>
      <c r="G492" s="738">
        <v>356.46862005190007</v>
      </c>
    </row>
    <row r="493" spans="2:7" x14ac:dyDescent="0.25">
      <c r="B493" s="737" t="s">
        <v>3435</v>
      </c>
      <c r="C493" s="737" t="s">
        <v>3436</v>
      </c>
      <c r="D493" s="738">
        <v>3478.1903000000002</v>
      </c>
      <c r="E493" s="738">
        <v>2837.6388999999999</v>
      </c>
      <c r="F493" s="738">
        <v>21877.893100000001</v>
      </c>
      <c r="G493" s="738">
        <v>356.46862005190007</v>
      </c>
    </row>
    <row r="494" spans="2:7" x14ac:dyDescent="0.25">
      <c r="B494" s="737" t="s">
        <v>3437</v>
      </c>
      <c r="C494" s="737" t="s">
        <v>3438</v>
      </c>
      <c r="D494" s="738">
        <v>3447.9369000000002</v>
      </c>
      <c r="E494" s="738">
        <v>2832.5304000000001</v>
      </c>
      <c r="F494" s="738">
        <v>21327.0013</v>
      </c>
      <c r="G494" s="738">
        <v>356.46862005190007</v>
      </c>
    </row>
    <row r="495" spans="2:7" x14ac:dyDescent="0.25">
      <c r="B495" s="737" t="s">
        <v>3439</v>
      </c>
      <c r="C495" s="737" t="s">
        <v>3440</v>
      </c>
      <c r="D495" s="738">
        <v>3412.9769999999999</v>
      </c>
      <c r="E495" s="738">
        <v>2865.4303</v>
      </c>
      <c r="F495" s="738">
        <v>20519.283200000002</v>
      </c>
      <c r="G495" s="738">
        <v>356.46862005190007</v>
      </c>
    </row>
    <row r="496" spans="2:7" x14ac:dyDescent="0.25">
      <c r="B496" s="737" t="s">
        <v>3441</v>
      </c>
      <c r="C496" s="737" t="s">
        <v>3442</v>
      </c>
      <c r="D496" s="738">
        <v>3519.5979000000002</v>
      </c>
      <c r="E496" s="738">
        <v>2904.7910999999999</v>
      </c>
      <c r="F496" s="738">
        <v>22188.828399999999</v>
      </c>
      <c r="G496" s="738">
        <v>356.46862005190007</v>
      </c>
    </row>
    <row r="497" spans="2:7" x14ac:dyDescent="0.25">
      <c r="B497" s="737" t="s">
        <v>3443</v>
      </c>
      <c r="C497" s="737" t="s">
        <v>3444</v>
      </c>
      <c r="D497" s="738">
        <v>3577.3809000000001</v>
      </c>
      <c r="E497" s="738">
        <v>3012.2053999999998</v>
      </c>
      <c r="F497" s="738">
        <v>22543.356400000001</v>
      </c>
      <c r="G497" s="738">
        <v>356.46862005190007</v>
      </c>
    </row>
    <row r="498" spans="2:7" x14ac:dyDescent="0.25">
      <c r="B498" s="737" t="s">
        <v>3445</v>
      </c>
      <c r="C498" s="737" t="s">
        <v>3446</v>
      </c>
      <c r="D498" s="738">
        <v>3456.4879000000001</v>
      </c>
      <c r="E498" s="738">
        <v>3192.8083000000001</v>
      </c>
      <c r="F498" s="738">
        <v>19198.3652</v>
      </c>
      <c r="G498" s="738">
        <v>356.46862005190007</v>
      </c>
    </row>
    <row r="499" spans="2:7" x14ac:dyDescent="0.25">
      <c r="B499" s="737" t="s">
        <v>3447</v>
      </c>
      <c r="C499" s="737" t="s">
        <v>3448</v>
      </c>
      <c r="D499" s="738">
        <v>3570.7525999999998</v>
      </c>
      <c r="E499" s="738">
        <v>3161.3148000000001</v>
      </c>
      <c r="F499" s="738">
        <v>21464.0075</v>
      </c>
      <c r="G499" s="738">
        <v>356.46862005190007</v>
      </c>
    </row>
    <row r="500" spans="2:7" x14ac:dyDescent="0.25">
      <c r="B500" s="737" t="s">
        <v>3449</v>
      </c>
      <c r="C500" s="737" t="s">
        <v>3450</v>
      </c>
      <c r="D500" s="738">
        <v>3476.1487999999999</v>
      </c>
      <c r="E500" s="738">
        <v>3069.5652</v>
      </c>
      <c r="F500" s="738">
        <v>20342.904399999999</v>
      </c>
      <c r="G500" s="738">
        <v>356.46862005190007</v>
      </c>
    </row>
    <row r="501" spans="2:7" x14ac:dyDescent="0.25">
      <c r="B501" s="737" t="s">
        <v>3451</v>
      </c>
      <c r="C501" s="737" t="s">
        <v>3452</v>
      </c>
      <c r="D501" s="738">
        <v>3504.8494999999998</v>
      </c>
      <c r="E501" s="738">
        <v>3242.8036999999999</v>
      </c>
      <c r="F501" s="738">
        <v>19737.016199999998</v>
      </c>
      <c r="G501" s="738">
        <v>356.46862005190007</v>
      </c>
    </row>
    <row r="502" spans="2:7" x14ac:dyDescent="0.25">
      <c r="B502" s="737" t="s">
        <v>3453</v>
      </c>
      <c r="C502" s="737" t="s">
        <v>3454</v>
      </c>
      <c r="D502" s="738">
        <v>3850.4693000000002</v>
      </c>
      <c r="E502" s="738">
        <v>2917.8481000000002</v>
      </c>
      <c r="F502" s="738">
        <v>20763.558300000001</v>
      </c>
      <c r="G502" s="738">
        <v>492.83421322927796</v>
      </c>
    </row>
    <row r="503" spans="2:7" x14ac:dyDescent="0.25">
      <c r="B503" s="737" t="s">
        <v>3455</v>
      </c>
      <c r="C503" s="737" t="s">
        <v>3456</v>
      </c>
      <c r="D503" s="738">
        <v>3545.5137</v>
      </c>
      <c r="E503" s="738">
        <v>2747.93</v>
      </c>
      <c r="F503" s="738">
        <v>23667.9683</v>
      </c>
      <c r="G503" s="738">
        <v>356.46862005190007</v>
      </c>
    </row>
    <row r="504" spans="2:7" x14ac:dyDescent="0.25">
      <c r="B504" s="737" t="s">
        <v>3457</v>
      </c>
      <c r="C504" s="737" t="s">
        <v>3458</v>
      </c>
      <c r="D504" s="738">
        <v>3443.9267</v>
      </c>
      <c r="E504" s="738">
        <v>2750.4695000000002</v>
      </c>
      <c r="F504" s="738">
        <v>21823.9512</v>
      </c>
      <c r="G504" s="738">
        <v>356.46862005190007</v>
      </c>
    </row>
    <row r="505" spans="2:7" x14ac:dyDescent="0.25">
      <c r="B505" s="737" t="s">
        <v>3459</v>
      </c>
      <c r="C505" s="737" t="s">
        <v>3460</v>
      </c>
      <c r="D505" s="738">
        <v>3515.4231</v>
      </c>
      <c r="E505" s="738">
        <v>2809.6988999999999</v>
      </c>
      <c r="F505" s="738">
        <v>22727.6813</v>
      </c>
      <c r="G505" s="738">
        <v>356.46862005190007</v>
      </c>
    </row>
    <row r="506" spans="2:7" x14ac:dyDescent="0.25">
      <c r="B506" s="737" t="s">
        <v>3461</v>
      </c>
      <c r="C506" s="737" t="s">
        <v>3462</v>
      </c>
      <c r="D506" s="738">
        <v>3455.5207</v>
      </c>
      <c r="E506" s="738">
        <v>2806.7773000000002</v>
      </c>
      <c r="F506" s="738">
        <v>21669.2873</v>
      </c>
      <c r="G506" s="738">
        <v>356.46862005190007</v>
      </c>
    </row>
    <row r="507" spans="2:7" x14ac:dyDescent="0.25">
      <c r="B507" s="737" t="s">
        <v>3463</v>
      </c>
      <c r="C507" s="737" t="s">
        <v>3464</v>
      </c>
      <c r="D507" s="738">
        <v>3402.5468000000001</v>
      </c>
      <c r="E507" s="738">
        <v>2514.2071000000001</v>
      </c>
      <c r="F507" s="738">
        <v>22552.210800000001</v>
      </c>
      <c r="G507" s="738">
        <v>356.46862005190007</v>
      </c>
    </row>
    <row r="508" spans="2:7" x14ac:dyDescent="0.25">
      <c r="B508" s="737" t="s">
        <v>3465</v>
      </c>
      <c r="C508" s="737" t="s">
        <v>3466</v>
      </c>
      <c r="D508" s="738">
        <v>3462.5603999999998</v>
      </c>
      <c r="E508" s="738">
        <v>2671.3696</v>
      </c>
      <c r="F508" s="738">
        <v>22665.722699999998</v>
      </c>
      <c r="G508" s="738">
        <v>356.46862005190007</v>
      </c>
    </row>
    <row r="509" spans="2:7" x14ac:dyDescent="0.25">
      <c r="B509" s="737" t="s">
        <v>3467</v>
      </c>
      <c r="C509" s="737" t="s">
        <v>3468</v>
      </c>
      <c r="D509" s="738">
        <v>3526.6057000000001</v>
      </c>
      <c r="E509" s="738">
        <v>2498.0230000000001</v>
      </c>
      <c r="F509" s="738">
        <v>24954.369900000002</v>
      </c>
      <c r="G509" s="738">
        <v>356.46862005190007</v>
      </c>
    </row>
    <row r="510" spans="2:7" x14ac:dyDescent="0.25">
      <c r="B510" s="737" t="s">
        <v>3469</v>
      </c>
      <c r="C510" s="737" t="s">
        <v>3470</v>
      </c>
      <c r="D510" s="738">
        <v>3542.0509000000002</v>
      </c>
      <c r="E510" s="738">
        <v>2725.1255000000001</v>
      </c>
      <c r="F510" s="738">
        <v>23757.9234</v>
      </c>
      <c r="G510" s="738">
        <v>356.46862005190007</v>
      </c>
    </row>
    <row r="511" spans="2:7" x14ac:dyDescent="0.25">
      <c r="B511" s="737" t="s">
        <v>3471</v>
      </c>
      <c r="C511" s="737" t="s">
        <v>3472</v>
      </c>
      <c r="D511" s="738">
        <v>3854.8020999999999</v>
      </c>
      <c r="E511" s="738">
        <v>2453.9362999999998</v>
      </c>
      <c r="F511" s="738">
        <v>24884.5576</v>
      </c>
      <c r="G511" s="738">
        <v>495.05453300292947</v>
      </c>
    </row>
    <row r="512" spans="2:7" x14ac:dyDescent="0.25">
      <c r="B512" s="737" t="s">
        <v>3473</v>
      </c>
      <c r="C512" s="737" t="s">
        <v>3474</v>
      </c>
      <c r="D512" s="738">
        <v>3435.1277</v>
      </c>
      <c r="E512" s="738">
        <v>2713.6595000000002</v>
      </c>
      <c r="F512" s="738">
        <v>21892.2824</v>
      </c>
      <c r="G512" s="738">
        <v>356.46862005190007</v>
      </c>
    </row>
    <row r="513" spans="2:7" x14ac:dyDescent="0.25">
      <c r="B513" s="737" t="s">
        <v>3475</v>
      </c>
      <c r="C513" s="737" t="s">
        <v>3476</v>
      </c>
      <c r="D513" s="738">
        <v>3943.4616999999998</v>
      </c>
      <c r="E513" s="738">
        <v>2905.0156999999999</v>
      </c>
      <c r="F513" s="738">
        <v>22532.596600000001</v>
      </c>
      <c r="G513" s="738">
        <v>492.83421322927796</v>
      </c>
    </row>
    <row r="514" spans="2:7" x14ac:dyDescent="0.25">
      <c r="B514" s="737" t="s">
        <v>3477</v>
      </c>
      <c r="C514" s="737" t="s">
        <v>3478</v>
      </c>
      <c r="D514" s="738">
        <v>3913.3108999999999</v>
      </c>
      <c r="E514" s="738">
        <v>2855.5216999999998</v>
      </c>
      <c r="F514" s="738">
        <v>22339.216</v>
      </c>
      <c r="G514" s="738">
        <v>495.05453300292947</v>
      </c>
    </row>
    <row r="515" spans="2:7" x14ac:dyDescent="0.25">
      <c r="B515" s="737" t="s">
        <v>3479</v>
      </c>
      <c r="C515" s="737" t="s">
        <v>3480</v>
      </c>
      <c r="D515" s="738">
        <v>3885.3449000000001</v>
      </c>
      <c r="E515" s="738">
        <v>3026.4429</v>
      </c>
      <c r="F515" s="738">
        <v>20301.518400000001</v>
      </c>
      <c r="G515" s="738">
        <v>495.05453300292947</v>
      </c>
    </row>
    <row r="516" spans="2:7" x14ac:dyDescent="0.25">
      <c r="B516" s="737" t="s">
        <v>3481</v>
      </c>
      <c r="C516" s="737" t="s">
        <v>3482</v>
      </c>
      <c r="D516" s="738">
        <v>3922.7828</v>
      </c>
      <c r="E516" s="738">
        <v>2915.1866</v>
      </c>
      <c r="F516" s="738">
        <v>21973.5069</v>
      </c>
      <c r="G516" s="738">
        <v>495.05453300292947</v>
      </c>
    </row>
    <row r="517" spans="2:7" x14ac:dyDescent="0.25">
      <c r="B517" s="737" t="s">
        <v>3483</v>
      </c>
      <c r="C517" s="737" t="s">
        <v>3484</v>
      </c>
      <c r="D517" s="738">
        <v>3942.7478999999998</v>
      </c>
      <c r="E517" s="738">
        <v>2757.8427999999999</v>
      </c>
      <c r="F517" s="738">
        <v>23741.266299999999</v>
      </c>
      <c r="G517" s="738">
        <v>495.05453300292947</v>
      </c>
    </row>
    <row r="518" spans="2:7" x14ac:dyDescent="0.25">
      <c r="B518" s="737" t="s">
        <v>3485</v>
      </c>
      <c r="C518" s="737" t="s">
        <v>3486</v>
      </c>
      <c r="D518" s="738">
        <v>3833.9213</v>
      </c>
      <c r="E518" s="738">
        <v>2585.6016</v>
      </c>
      <c r="F518" s="738">
        <v>23312.148399999998</v>
      </c>
      <c r="G518" s="738">
        <v>495.05453300292947</v>
      </c>
    </row>
    <row r="519" spans="2:7" x14ac:dyDescent="0.25">
      <c r="B519" s="737" t="s">
        <v>3487</v>
      </c>
      <c r="C519" s="737" t="s">
        <v>3488</v>
      </c>
      <c r="D519" s="738">
        <v>3968.7359999999999</v>
      </c>
      <c r="E519" s="738">
        <v>2865.7307000000001</v>
      </c>
      <c r="F519" s="738">
        <v>23242.3927</v>
      </c>
      <c r="G519" s="738">
        <v>495.05453300292947</v>
      </c>
    </row>
    <row r="520" spans="2:7" x14ac:dyDescent="0.25">
      <c r="B520" s="737" t="s">
        <v>3489</v>
      </c>
      <c r="C520" s="737" t="s">
        <v>3490</v>
      </c>
      <c r="D520" s="738">
        <v>4248.1539000000002</v>
      </c>
      <c r="E520" s="738">
        <v>2937.2557999999999</v>
      </c>
      <c r="F520" s="738">
        <v>24168.892400000001</v>
      </c>
      <c r="G520" s="738">
        <v>799.61173339843594</v>
      </c>
    </row>
    <row r="521" spans="2:7" x14ac:dyDescent="0.25">
      <c r="B521" s="737" t="s">
        <v>3491</v>
      </c>
      <c r="C521" s="737" t="s">
        <v>3492</v>
      </c>
      <c r="D521" s="738">
        <v>4066.8009000000002</v>
      </c>
      <c r="E521" s="738">
        <v>3125.9025999999999</v>
      </c>
      <c r="F521" s="738">
        <v>22678.8485</v>
      </c>
      <c r="G521" s="738">
        <v>495.05453300292947</v>
      </c>
    </row>
    <row r="522" spans="2:7" x14ac:dyDescent="0.25">
      <c r="B522" s="737" t="s">
        <v>3493</v>
      </c>
      <c r="C522" s="737" t="s">
        <v>3494</v>
      </c>
      <c r="D522" s="738">
        <v>4025.3771999999999</v>
      </c>
      <c r="E522" s="738">
        <v>3012.2365</v>
      </c>
      <c r="F522" s="738">
        <v>22895.636900000001</v>
      </c>
      <c r="G522" s="738">
        <v>495.05453300292947</v>
      </c>
    </row>
    <row r="523" spans="2:7" x14ac:dyDescent="0.25">
      <c r="B523" s="737" t="s">
        <v>3495</v>
      </c>
      <c r="C523" s="737" t="s">
        <v>3496</v>
      </c>
      <c r="D523" s="738">
        <v>3883.6264000000001</v>
      </c>
      <c r="E523" s="738">
        <v>2972.5798</v>
      </c>
      <c r="F523" s="738">
        <v>20750.436600000001</v>
      </c>
      <c r="G523" s="738">
        <v>495.05453300292947</v>
      </c>
    </row>
    <row r="524" spans="2:7" x14ac:dyDescent="0.25">
      <c r="B524" s="737" t="s">
        <v>3497</v>
      </c>
      <c r="C524" s="737" t="s">
        <v>3498</v>
      </c>
      <c r="D524" s="738">
        <v>3935.9182000000001</v>
      </c>
      <c r="E524" s="738">
        <v>3016.8670999999999</v>
      </c>
      <c r="F524" s="738">
        <v>21295.681700000001</v>
      </c>
      <c r="G524" s="738">
        <v>495.05453300292947</v>
      </c>
    </row>
    <row r="525" spans="2:7" x14ac:dyDescent="0.25">
      <c r="B525" s="737" t="s">
        <v>3499</v>
      </c>
      <c r="C525" s="737" t="s">
        <v>3500</v>
      </c>
      <c r="D525" s="738">
        <v>3850.6563000000001</v>
      </c>
      <c r="E525" s="738">
        <v>2814.1188999999999</v>
      </c>
      <c r="F525" s="738">
        <v>21578.0998</v>
      </c>
      <c r="G525" s="738">
        <v>495.05453300292947</v>
      </c>
    </row>
    <row r="526" spans="2:7" x14ac:dyDescent="0.25">
      <c r="B526" s="737" t="s">
        <v>3501</v>
      </c>
      <c r="C526" s="737" t="s">
        <v>3502</v>
      </c>
      <c r="D526" s="738">
        <v>3946.8343</v>
      </c>
      <c r="E526" s="738">
        <v>2829.7873</v>
      </c>
      <c r="F526" s="738">
        <v>23106.1037</v>
      </c>
      <c r="G526" s="738">
        <v>495.05453300292947</v>
      </c>
    </row>
    <row r="527" spans="2:7" x14ac:dyDescent="0.25">
      <c r="B527" s="737" t="s">
        <v>3503</v>
      </c>
      <c r="C527" s="737" t="s">
        <v>3504</v>
      </c>
      <c r="D527" s="738">
        <v>3763.4288999999999</v>
      </c>
      <c r="E527" s="738">
        <v>3128.0819999999999</v>
      </c>
      <c r="F527" s="738">
        <v>22115.608700000001</v>
      </c>
      <c r="G527" s="738">
        <v>409.33283156992513</v>
      </c>
    </row>
    <row r="528" spans="2:7" x14ac:dyDescent="0.25">
      <c r="B528" s="737" t="s">
        <v>3505</v>
      </c>
      <c r="C528" s="737" t="s">
        <v>3506</v>
      </c>
      <c r="D528" s="738">
        <v>3831.2222000000002</v>
      </c>
      <c r="E528" s="738">
        <v>3147.8751999999999</v>
      </c>
      <c r="F528" s="738">
        <v>23192.683700000001</v>
      </c>
      <c r="G528" s="738">
        <v>409.33283156992513</v>
      </c>
    </row>
    <row r="529" spans="2:7" x14ac:dyDescent="0.25">
      <c r="B529" s="737" t="s">
        <v>3507</v>
      </c>
      <c r="C529" s="737" t="s">
        <v>3508</v>
      </c>
      <c r="D529" s="738">
        <v>4132.9224999999997</v>
      </c>
      <c r="E529" s="738">
        <v>2824.1570999999999</v>
      </c>
      <c r="F529" s="738">
        <v>23171.842199999999</v>
      </c>
      <c r="G529" s="738">
        <v>409.33283156992513</v>
      </c>
    </row>
    <row r="530" spans="2:7" x14ac:dyDescent="0.25">
      <c r="B530" s="737" t="s">
        <v>3509</v>
      </c>
      <c r="C530" s="737" t="s">
        <v>3510</v>
      </c>
      <c r="D530" s="738">
        <v>4277.8023000000003</v>
      </c>
      <c r="E530" s="738">
        <v>2951.3629000000001</v>
      </c>
      <c r="F530" s="738">
        <v>24551.039000000001</v>
      </c>
      <c r="G530" s="738">
        <v>409.33283156992513</v>
      </c>
    </row>
    <row r="531" spans="2:7" x14ac:dyDescent="0.25">
      <c r="B531" s="737" t="s">
        <v>3511</v>
      </c>
      <c r="C531" s="737" t="s">
        <v>3512</v>
      </c>
      <c r="D531" s="738">
        <v>3741.2148000000002</v>
      </c>
      <c r="E531" s="738">
        <v>3088.4382000000001</v>
      </c>
      <c r="F531" s="738">
        <v>22002.311600000001</v>
      </c>
      <c r="G531" s="738">
        <v>409.33283156992513</v>
      </c>
    </row>
    <row r="532" spans="2:7" x14ac:dyDescent="0.25">
      <c r="B532" s="737" t="s">
        <v>3513</v>
      </c>
      <c r="C532" s="737" t="s">
        <v>3514</v>
      </c>
      <c r="D532" s="738">
        <v>3716.2186999999999</v>
      </c>
      <c r="E532" s="738">
        <v>3163.4485</v>
      </c>
      <c r="F532" s="738">
        <v>20959.7847</v>
      </c>
      <c r="G532" s="738">
        <v>409.33283156992513</v>
      </c>
    </row>
    <row r="533" spans="2:7" x14ac:dyDescent="0.25">
      <c r="B533" s="737" t="s">
        <v>3515</v>
      </c>
      <c r="C533" s="737" t="s">
        <v>3516</v>
      </c>
      <c r="D533" s="738">
        <v>3892.8415</v>
      </c>
      <c r="E533" s="738">
        <v>3337.0277999999998</v>
      </c>
      <c r="F533" s="738">
        <v>22880.5344</v>
      </c>
      <c r="G533" s="738">
        <v>409.33283156992513</v>
      </c>
    </row>
    <row r="534" spans="2:7" x14ac:dyDescent="0.25">
      <c r="B534" s="737" t="s">
        <v>3517</v>
      </c>
      <c r="C534" s="737" t="s">
        <v>3518</v>
      </c>
      <c r="D534" s="738">
        <v>3724.4540999999999</v>
      </c>
      <c r="E534" s="738">
        <v>3326.4807000000001</v>
      </c>
      <c r="F534" s="738">
        <v>19936.159500000002</v>
      </c>
      <c r="G534" s="738">
        <v>409.33283156992513</v>
      </c>
    </row>
    <row r="535" spans="2:7" x14ac:dyDescent="0.25">
      <c r="B535" s="737" t="s">
        <v>3519</v>
      </c>
      <c r="C535" s="737" t="s">
        <v>3520</v>
      </c>
      <c r="D535" s="738">
        <v>3780.1781000000001</v>
      </c>
      <c r="E535" s="738">
        <v>3368.1368000000002</v>
      </c>
      <c r="F535" s="738">
        <v>20632.3017</v>
      </c>
      <c r="G535" s="738">
        <v>409.33283156992513</v>
      </c>
    </row>
    <row r="536" spans="2:7" x14ac:dyDescent="0.25">
      <c r="B536" s="737" t="s">
        <v>3521</v>
      </c>
      <c r="C536" s="737" t="s">
        <v>3522</v>
      </c>
      <c r="D536" s="738">
        <v>4091.0884000000001</v>
      </c>
      <c r="E536" s="738">
        <v>2677.0342999999998</v>
      </c>
      <c r="F536" s="738">
        <v>23885.774399999998</v>
      </c>
      <c r="G536" s="738">
        <v>559.25496480859351</v>
      </c>
    </row>
    <row r="537" spans="2:7" x14ac:dyDescent="0.25">
      <c r="B537" s="737" t="s">
        <v>3523</v>
      </c>
      <c r="C537" s="737" t="s">
        <v>3524</v>
      </c>
      <c r="D537" s="738">
        <v>3783.4321</v>
      </c>
      <c r="E537" s="738">
        <v>3008.5372000000002</v>
      </c>
      <c r="F537" s="738">
        <v>23359.0753</v>
      </c>
      <c r="G537" s="738">
        <v>559.25496480859351</v>
      </c>
    </row>
    <row r="538" spans="2:7" x14ac:dyDescent="0.25">
      <c r="B538" s="737" t="s">
        <v>3525</v>
      </c>
      <c r="C538" s="737" t="s">
        <v>3526</v>
      </c>
      <c r="D538" s="738">
        <v>4045.5659000000001</v>
      </c>
      <c r="E538" s="738">
        <v>2662.4639999999999</v>
      </c>
      <c r="F538" s="738">
        <v>23224.3858</v>
      </c>
      <c r="G538" s="738">
        <v>559.25496480859351</v>
      </c>
    </row>
    <row r="539" spans="2:7" x14ac:dyDescent="0.25">
      <c r="B539" s="737" t="s">
        <v>3527</v>
      </c>
      <c r="C539" s="737" t="s">
        <v>3528</v>
      </c>
      <c r="D539" s="738">
        <v>4192.9165999999996</v>
      </c>
      <c r="E539" s="738">
        <v>2726.027</v>
      </c>
      <c r="F539" s="738">
        <v>25232.6813</v>
      </c>
      <c r="G539" s="738">
        <v>559.25496480859351</v>
      </c>
    </row>
    <row r="540" spans="2:7" x14ac:dyDescent="0.25">
      <c r="B540" s="737" t="s">
        <v>3529</v>
      </c>
      <c r="C540" s="737" t="s">
        <v>3530</v>
      </c>
      <c r="D540" s="738">
        <v>4161.9955</v>
      </c>
      <c r="E540" s="738">
        <v>2884.7691</v>
      </c>
      <c r="F540" s="738">
        <v>23144.603500000001</v>
      </c>
      <c r="G540" s="738">
        <v>559.25496480859351</v>
      </c>
    </row>
    <row r="541" spans="2:7" x14ac:dyDescent="0.25">
      <c r="B541" s="737" t="s">
        <v>3531</v>
      </c>
      <c r="C541" s="737" t="s">
        <v>3532</v>
      </c>
      <c r="D541" s="738">
        <v>4129.3158999999996</v>
      </c>
      <c r="E541" s="738">
        <v>2783.1278000000002</v>
      </c>
      <c r="F541" s="738">
        <v>23579.937300000001</v>
      </c>
      <c r="G541" s="738">
        <v>409.33283156992513</v>
      </c>
    </row>
    <row r="542" spans="2:7" x14ac:dyDescent="0.25">
      <c r="B542" s="737" t="s">
        <v>3533</v>
      </c>
      <c r="C542" s="737" t="s">
        <v>3534</v>
      </c>
      <c r="D542" s="738">
        <v>3603.5715</v>
      </c>
      <c r="E542" s="738">
        <v>2613.5255000000002</v>
      </c>
      <c r="F542" s="738">
        <v>22990.136399999999</v>
      </c>
      <c r="G542" s="738">
        <v>409.33283156992513</v>
      </c>
    </row>
    <row r="543" spans="2:7" x14ac:dyDescent="0.25">
      <c r="B543" s="737" t="s">
        <v>3535</v>
      </c>
      <c r="C543" s="737" t="s">
        <v>3536</v>
      </c>
      <c r="D543" s="738">
        <v>3644.8274999999999</v>
      </c>
      <c r="E543" s="738">
        <v>2685.5509999999999</v>
      </c>
      <c r="F543" s="738">
        <v>23189.651300000001</v>
      </c>
      <c r="G543" s="738">
        <v>409.33283156992513</v>
      </c>
    </row>
    <row r="544" spans="2:7" x14ac:dyDescent="0.25">
      <c r="B544" s="737" t="s">
        <v>3537</v>
      </c>
      <c r="C544" s="737" t="s">
        <v>3538</v>
      </c>
      <c r="D544" s="738">
        <v>4149.9557999999997</v>
      </c>
      <c r="E544" s="738">
        <v>2670.2293</v>
      </c>
      <c r="F544" s="738">
        <v>25021.6829</v>
      </c>
      <c r="G544" s="738">
        <v>559.25496480859351</v>
      </c>
    </row>
    <row r="545" spans="2:7" x14ac:dyDescent="0.25">
      <c r="B545" s="737" t="s">
        <v>3539</v>
      </c>
      <c r="C545" s="737" t="s">
        <v>3540</v>
      </c>
      <c r="D545" s="738">
        <v>4837.8338999999996</v>
      </c>
      <c r="E545" s="738">
        <v>2738.567</v>
      </c>
      <c r="F545" s="738">
        <v>24731.341899999999</v>
      </c>
      <c r="G545" s="738">
        <v>799.61173339843594</v>
      </c>
    </row>
    <row r="546" spans="2:7" x14ac:dyDescent="0.25">
      <c r="B546" s="737" t="s">
        <v>3541</v>
      </c>
      <c r="C546" s="737" t="s">
        <v>3542</v>
      </c>
      <c r="D546" s="738">
        <v>4134.7831999999999</v>
      </c>
      <c r="E546" s="738">
        <v>2858.5781000000002</v>
      </c>
      <c r="F546" s="738">
        <v>22942.410400000001</v>
      </c>
      <c r="G546" s="738">
        <v>799.61173339843594</v>
      </c>
    </row>
    <row r="547" spans="2:7" x14ac:dyDescent="0.25">
      <c r="B547" s="737" t="s">
        <v>3543</v>
      </c>
      <c r="C547" s="737" t="s">
        <v>3544</v>
      </c>
      <c r="D547" s="738">
        <v>3692.2228</v>
      </c>
      <c r="E547" s="738">
        <v>2861.0594999999998</v>
      </c>
      <c r="F547" s="738">
        <v>20839.352599999998</v>
      </c>
      <c r="G547" s="738">
        <v>446.34082781772616</v>
      </c>
    </row>
    <row r="548" spans="2:7" x14ac:dyDescent="0.25">
      <c r="B548" s="737" t="s">
        <v>3545</v>
      </c>
      <c r="C548" s="737" t="s">
        <v>3546</v>
      </c>
      <c r="D548" s="738">
        <v>4022.1448</v>
      </c>
      <c r="E548" s="738">
        <v>2767.4848999999999</v>
      </c>
      <c r="F548" s="738">
        <v>21779.441999999999</v>
      </c>
      <c r="G548" s="738">
        <v>559.25496480859351</v>
      </c>
    </row>
    <row r="549" spans="2:7" x14ac:dyDescent="0.25">
      <c r="B549" s="737" t="s">
        <v>3547</v>
      </c>
      <c r="C549" s="737" t="s">
        <v>3548</v>
      </c>
      <c r="D549" s="738">
        <v>4064.509</v>
      </c>
      <c r="E549" s="738">
        <v>2752.4238999999998</v>
      </c>
      <c r="F549" s="738">
        <v>22712.8115</v>
      </c>
      <c r="G549" s="738">
        <v>559.25496480859351</v>
      </c>
    </row>
    <row r="550" spans="2:7" x14ac:dyDescent="0.25">
      <c r="B550" s="737" t="s">
        <v>3549</v>
      </c>
      <c r="C550" s="737" t="s">
        <v>3550</v>
      </c>
      <c r="D550" s="738">
        <v>4146.4755999999998</v>
      </c>
      <c r="E550" s="738">
        <v>2720.5706</v>
      </c>
      <c r="F550" s="738">
        <v>24505.744299999998</v>
      </c>
      <c r="G550" s="738">
        <v>559.25496480859351</v>
      </c>
    </row>
    <row r="551" spans="2:7" x14ac:dyDescent="0.25">
      <c r="B551" s="737" t="s">
        <v>3551</v>
      </c>
      <c r="C551" s="737" t="s">
        <v>3552</v>
      </c>
      <c r="D551" s="738">
        <v>4707.1647999999996</v>
      </c>
      <c r="E551" s="738">
        <v>2571.7795999999998</v>
      </c>
      <c r="F551" s="738">
        <v>24718.246599999999</v>
      </c>
      <c r="G551" s="738">
        <v>559.25496480859351</v>
      </c>
    </row>
    <row r="552" spans="2:7" x14ac:dyDescent="0.25">
      <c r="B552" s="737" t="s">
        <v>3553</v>
      </c>
      <c r="C552" s="737" t="s">
        <v>3554</v>
      </c>
      <c r="D552" s="738">
        <v>4079.3171000000002</v>
      </c>
      <c r="E552" s="738">
        <v>2775.1284999999998</v>
      </c>
      <c r="F552" s="738">
        <v>22752.118999999999</v>
      </c>
      <c r="G552" s="738">
        <v>559.25496480859351</v>
      </c>
    </row>
    <row r="553" spans="2:7" x14ac:dyDescent="0.25">
      <c r="B553" s="737" t="s">
        <v>3555</v>
      </c>
      <c r="C553" s="737" t="s">
        <v>3556</v>
      </c>
      <c r="D553" s="738">
        <v>4093.4596000000001</v>
      </c>
      <c r="E553" s="738">
        <v>2578.3353000000002</v>
      </c>
      <c r="F553" s="738">
        <v>24992.034</v>
      </c>
      <c r="G553" s="738">
        <v>559.25496480859351</v>
      </c>
    </row>
    <row r="554" spans="2:7" x14ac:dyDescent="0.25">
      <c r="B554" s="737" t="s">
        <v>3557</v>
      </c>
      <c r="C554" s="737" t="s">
        <v>3558</v>
      </c>
      <c r="D554" s="738">
        <v>4194.4849999999997</v>
      </c>
      <c r="E554" s="738">
        <v>2839.6550999999999</v>
      </c>
      <c r="F554" s="738">
        <v>24180.661400000001</v>
      </c>
      <c r="G554" s="738">
        <v>559.25496480859351</v>
      </c>
    </row>
    <row r="555" spans="2:7" x14ac:dyDescent="0.25">
      <c r="B555" s="737" t="s">
        <v>3559</v>
      </c>
      <c r="C555" s="737" t="s">
        <v>3560</v>
      </c>
      <c r="D555" s="738">
        <v>4124.3980000000001</v>
      </c>
      <c r="E555" s="738">
        <v>2740.3150000000001</v>
      </c>
      <c r="F555" s="738">
        <v>23917.178800000002</v>
      </c>
      <c r="G555" s="738">
        <v>559.25496480859351</v>
      </c>
    </row>
    <row r="556" spans="2:7" x14ac:dyDescent="0.25">
      <c r="B556" s="737" t="s">
        <v>3561</v>
      </c>
      <c r="C556" s="737" t="s">
        <v>3562</v>
      </c>
      <c r="D556" s="738">
        <v>4174.4034000000001</v>
      </c>
      <c r="E556" s="738">
        <v>2891.5196999999998</v>
      </c>
      <c r="F556" s="738">
        <v>23268.771199999999</v>
      </c>
      <c r="G556" s="738">
        <v>559.25496480859351</v>
      </c>
    </row>
    <row r="557" spans="2:7" x14ac:dyDescent="0.25">
      <c r="B557" s="737" t="s">
        <v>3563</v>
      </c>
      <c r="C557" s="737" t="s">
        <v>3564</v>
      </c>
      <c r="D557" s="738">
        <v>4175.9718000000003</v>
      </c>
      <c r="E557" s="738">
        <v>2886.3654000000001</v>
      </c>
      <c r="F557" s="738">
        <v>23357.097699999998</v>
      </c>
      <c r="G557" s="738">
        <v>559.25496480859351</v>
      </c>
    </row>
    <row r="558" spans="2:7" x14ac:dyDescent="0.25">
      <c r="B558" s="737" t="s">
        <v>3565</v>
      </c>
      <c r="C558" s="737" t="s">
        <v>3566</v>
      </c>
      <c r="D558" s="738">
        <v>4012.8492000000001</v>
      </c>
      <c r="E558" s="738">
        <v>2717.6547</v>
      </c>
      <c r="F558" s="738">
        <v>22118.9912</v>
      </c>
      <c r="G558" s="738">
        <v>559.25496480859351</v>
      </c>
    </row>
    <row r="559" spans="2:7" x14ac:dyDescent="0.25">
      <c r="B559" s="737" t="s">
        <v>3567</v>
      </c>
      <c r="C559" s="737" t="s">
        <v>3568</v>
      </c>
      <c r="D559" s="738">
        <v>4245.2175999999999</v>
      </c>
      <c r="E559" s="738">
        <v>2946.9324999999999</v>
      </c>
      <c r="F559" s="738">
        <v>24024.2569</v>
      </c>
      <c r="G559" s="738">
        <v>559.25496480859351</v>
      </c>
    </row>
    <row r="560" spans="2:7" x14ac:dyDescent="0.25">
      <c r="B560" s="737" t="s">
        <v>3569</v>
      </c>
      <c r="C560" s="737" t="s">
        <v>3570</v>
      </c>
      <c r="D560" s="738">
        <v>4132.8977999999997</v>
      </c>
      <c r="E560" s="738">
        <v>2670.9776000000002</v>
      </c>
      <c r="F560" s="738">
        <v>24760.048599999998</v>
      </c>
      <c r="G560" s="738">
        <v>559.25496480859351</v>
      </c>
    </row>
    <row r="561" spans="2:7" x14ac:dyDescent="0.25">
      <c r="B561" s="737" t="s">
        <v>3571</v>
      </c>
      <c r="C561" s="737" t="s">
        <v>3572</v>
      </c>
      <c r="D561" s="738">
        <v>3849.9023999999999</v>
      </c>
      <c r="E561" s="738">
        <v>3092.4186</v>
      </c>
      <c r="F561" s="738">
        <v>21828.802199999998</v>
      </c>
      <c r="G561" s="738">
        <v>559.25496480859351</v>
      </c>
    </row>
    <row r="562" spans="2:7" x14ac:dyDescent="0.25">
      <c r="B562" s="737" t="s">
        <v>3573</v>
      </c>
      <c r="C562" s="737" t="s">
        <v>3574</v>
      </c>
      <c r="D562" s="738">
        <v>4091.1356000000001</v>
      </c>
      <c r="E562" s="738">
        <v>2919.6338999999998</v>
      </c>
      <c r="F562" s="738">
        <v>21504.448499999999</v>
      </c>
      <c r="G562" s="738">
        <v>559.25496480859351</v>
      </c>
    </row>
    <row r="563" spans="2:7" x14ac:dyDescent="0.25">
      <c r="B563" s="737" t="s">
        <v>3575</v>
      </c>
      <c r="C563" s="737" t="s">
        <v>3576</v>
      </c>
      <c r="D563" s="738">
        <v>3827.8535999999999</v>
      </c>
      <c r="E563" s="738">
        <v>2087.3027999999999</v>
      </c>
      <c r="F563" s="738">
        <v>27843.372500000001</v>
      </c>
      <c r="G563" s="738">
        <v>489.61063262108257</v>
      </c>
    </row>
    <row r="564" spans="2:7" x14ac:dyDescent="0.25">
      <c r="B564" s="737" t="s">
        <v>3577</v>
      </c>
      <c r="C564" s="737" t="s">
        <v>3578</v>
      </c>
      <c r="D564" s="738">
        <v>3609.1143999999999</v>
      </c>
      <c r="E564" s="738">
        <v>2581.0034999999998</v>
      </c>
      <c r="F564" s="738">
        <v>21600.828399999999</v>
      </c>
      <c r="G564" s="738">
        <v>446.34082781772616</v>
      </c>
    </row>
    <row r="565" spans="2:7" x14ac:dyDescent="0.25">
      <c r="B565" s="737" t="s">
        <v>3579</v>
      </c>
      <c r="C565" s="737" t="s">
        <v>3580</v>
      </c>
      <c r="D565" s="738">
        <v>4097.4645</v>
      </c>
      <c r="E565" s="738">
        <v>1991.7732000000001</v>
      </c>
      <c r="F565" s="738">
        <v>33591.010199999997</v>
      </c>
      <c r="G565" s="738">
        <v>306.55245831338061</v>
      </c>
    </row>
    <row r="566" spans="2:7" x14ac:dyDescent="0.25">
      <c r="B566" s="737" t="s">
        <v>3581</v>
      </c>
      <c r="C566" s="737" t="s">
        <v>3582</v>
      </c>
      <c r="D566" s="738">
        <v>3928.7667000000001</v>
      </c>
      <c r="E566" s="738">
        <v>2270.0565999999999</v>
      </c>
      <c r="F566" s="738">
        <v>25155.268800000002</v>
      </c>
      <c r="G566" s="738">
        <v>559.25496480859351</v>
      </c>
    </row>
    <row r="567" spans="2:7" x14ac:dyDescent="0.25">
      <c r="B567" s="737" t="s">
        <v>3583</v>
      </c>
      <c r="C567" s="737" t="s">
        <v>3584</v>
      </c>
      <c r="D567" s="738">
        <v>3782.8771999999999</v>
      </c>
      <c r="E567" s="738">
        <v>2085.4416999999999</v>
      </c>
      <c r="F567" s="738">
        <v>27075.003400000001</v>
      </c>
      <c r="G567" s="738">
        <v>489.61063262108257</v>
      </c>
    </row>
    <row r="568" spans="2:7" x14ac:dyDescent="0.25">
      <c r="B568" s="737" t="s">
        <v>3585</v>
      </c>
      <c r="C568" s="737" t="s">
        <v>3586</v>
      </c>
      <c r="D568" s="738">
        <v>3976.8431999999998</v>
      </c>
      <c r="E568" s="738">
        <v>1988.6207999999999</v>
      </c>
      <c r="F568" s="738">
        <v>31405.709299999999</v>
      </c>
      <c r="G568" s="738">
        <v>489.61063262108257</v>
      </c>
    </row>
    <row r="569" spans="2:7" x14ac:dyDescent="0.25">
      <c r="B569" s="737" t="s">
        <v>3587</v>
      </c>
      <c r="C569" s="737" t="s">
        <v>3588</v>
      </c>
      <c r="D569" s="738">
        <v>4012.9757</v>
      </c>
      <c r="E569" s="738">
        <v>2136.8640999999998</v>
      </c>
      <c r="F569" s="738">
        <v>30745.3089</v>
      </c>
      <c r="G569" s="738">
        <v>306.55245831338061</v>
      </c>
    </row>
    <row r="570" spans="2:7" x14ac:dyDescent="0.25">
      <c r="B570" s="737" t="s">
        <v>3589</v>
      </c>
      <c r="C570" s="737" t="s">
        <v>3590</v>
      </c>
      <c r="D570" s="738">
        <v>4317.0600000000004</v>
      </c>
      <c r="E570" s="738">
        <v>1928.6899000000001</v>
      </c>
      <c r="F570" s="738">
        <v>38003.114200000004</v>
      </c>
      <c r="G570" s="738">
        <v>489.61063262108257</v>
      </c>
    </row>
    <row r="571" spans="2:7" x14ac:dyDescent="0.25">
      <c r="B571" s="737" t="s">
        <v>3591</v>
      </c>
      <c r="C571" s="737" t="s">
        <v>3592</v>
      </c>
      <c r="D571" s="738">
        <v>3902.1569</v>
      </c>
      <c r="E571" s="738">
        <v>2210.4614999999999</v>
      </c>
      <c r="F571" s="738">
        <v>25272.332600000002</v>
      </c>
      <c r="G571" s="738">
        <v>559.25496480859351</v>
      </c>
    </row>
    <row r="572" spans="2:7" x14ac:dyDescent="0.25">
      <c r="B572" s="737" t="s">
        <v>3593</v>
      </c>
      <c r="C572" s="737" t="s">
        <v>3594</v>
      </c>
      <c r="D572" s="738">
        <v>3995.3335999999999</v>
      </c>
      <c r="E572" s="738">
        <v>1954.1079</v>
      </c>
      <c r="F572" s="738">
        <v>32035.459200000001</v>
      </c>
      <c r="G572" s="738">
        <v>489.61063262108257</v>
      </c>
    </row>
    <row r="573" spans="2:7" x14ac:dyDescent="0.25">
      <c r="B573" s="737" t="s">
        <v>3595</v>
      </c>
      <c r="C573" s="737" t="s">
        <v>3596</v>
      </c>
      <c r="D573" s="738">
        <v>3733.5234</v>
      </c>
      <c r="E573" s="738">
        <v>2502.1068</v>
      </c>
      <c r="F573" s="738">
        <v>22459.043300000001</v>
      </c>
      <c r="G573" s="738">
        <v>489.61063262108257</v>
      </c>
    </row>
    <row r="574" spans="2:7" x14ac:dyDescent="0.25">
      <c r="B574" s="737" t="s">
        <v>3597</v>
      </c>
      <c r="C574" s="737" t="s">
        <v>3598</v>
      </c>
      <c r="D574" s="738">
        <v>4102.8492999999999</v>
      </c>
      <c r="E574" s="738">
        <v>2338.0837000000001</v>
      </c>
      <c r="F574" s="738">
        <v>25354.752100000002</v>
      </c>
      <c r="G574" s="738">
        <v>306.55245831338061</v>
      </c>
    </row>
    <row r="575" spans="2:7" x14ac:dyDescent="0.25">
      <c r="B575" s="737" t="s">
        <v>3599</v>
      </c>
      <c r="C575" s="737" t="s">
        <v>3600</v>
      </c>
      <c r="D575" s="738">
        <v>3818.8645000000001</v>
      </c>
      <c r="E575" s="738">
        <v>2115.8191999999999</v>
      </c>
      <c r="F575" s="738">
        <v>27450.958500000001</v>
      </c>
      <c r="G575" s="738">
        <v>489.61063262108257</v>
      </c>
    </row>
    <row r="576" spans="2:7" x14ac:dyDescent="0.25">
      <c r="B576" s="737" t="s">
        <v>3601</v>
      </c>
      <c r="C576" s="737" t="s">
        <v>3602</v>
      </c>
      <c r="D576" s="738">
        <v>3919.0371</v>
      </c>
      <c r="E576" s="738">
        <v>2188.9355999999998</v>
      </c>
      <c r="F576" s="738">
        <v>28607.068800000001</v>
      </c>
      <c r="G576" s="738">
        <v>306.55245831338061</v>
      </c>
    </row>
    <row r="577" spans="2:7" x14ac:dyDescent="0.25">
      <c r="B577" s="737" t="s">
        <v>3603</v>
      </c>
      <c r="C577" s="737" t="s">
        <v>3604</v>
      </c>
      <c r="D577" s="738">
        <v>3910.4141</v>
      </c>
      <c r="E577" s="738">
        <v>2000.8844999999999</v>
      </c>
      <c r="F577" s="738">
        <v>30070.140599999999</v>
      </c>
      <c r="G577" s="738">
        <v>489.61063262108257</v>
      </c>
    </row>
    <row r="578" spans="2:7" x14ac:dyDescent="0.25">
      <c r="B578" s="737" t="s">
        <v>3605</v>
      </c>
      <c r="C578" s="737" t="s">
        <v>3606</v>
      </c>
      <c r="D578" s="738">
        <v>4238.2843000000003</v>
      </c>
      <c r="E578" s="738">
        <v>1881.7345</v>
      </c>
      <c r="F578" s="738">
        <v>37115.152099999999</v>
      </c>
      <c r="G578" s="738">
        <v>489.61063262108257</v>
      </c>
    </row>
    <row r="579" spans="2:7" x14ac:dyDescent="0.25">
      <c r="B579" s="737" t="s">
        <v>3607</v>
      </c>
      <c r="C579" s="737" t="s">
        <v>3608</v>
      </c>
      <c r="D579" s="738">
        <v>4272.2317000000003</v>
      </c>
      <c r="E579" s="738">
        <v>1994.7887000000001</v>
      </c>
      <c r="F579" s="738">
        <v>36673.819000000003</v>
      </c>
      <c r="G579" s="738">
        <v>489.61063262108257</v>
      </c>
    </row>
    <row r="580" spans="2:7" x14ac:dyDescent="0.25">
      <c r="B580" s="737" t="s">
        <v>3609</v>
      </c>
      <c r="C580" s="737" t="s">
        <v>3610</v>
      </c>
      <c r="D580" s="738">
        <v>2737.9830999999999</v>
      </c>
      <c r="E580" s="738">
        <v>2923.5324000000001</v>
      </c>
      <c r="F580" s="738">
        <v>14331.388499999999</v>
      </c>
      <c r="G580" s="738">
        <v>237.61611909057012</v>
      </c>
    </row>
    <row r="581" spans="2:7" x14ac:dyDescent="0.25">
      <c r="B581" s="737" t="s">
        <v>3611</v>
      </c>
      <c r="C581" s="737" t="s">
        <v>3612</v>
      </c>
      <c r="D581" s="738">
        <v>3062.8926000000001</v>
      </c>
      <c r="E581" s="738">
        <v>2351.9034999999999</v>
      </c>
      <c r="F581" s="738">
        <v>22660.593700000001</v>
      </c>
      <c r="G581" s="738">
        <v>237.61611909057012</v>
      </c>
    </row>
    <row r="582" spans="2:7" x14ac:dyDescent="0.25">
      <c r="B582" s="737" t="s">
        <v>3613</v>
      </c>
      <c r="C582" s="737" t="s">
        <v>3614</v>
      </c>
      <c r="D582" s="738">
        <v>2818.5767999999998</v>
      </c>
      <c r="E582" s="738">
        <v>2463.7078999999999</v>
      </c>
      <c r="F582" s="738">
        <v>17768.642500000002</v>
      </c>
      <c r="G582" s="738">
        <v>237.61611909057012</v>
      </c>
    </row>
    <row r="583" spans="2:7" x14ac:dyDescent="0.25">
      <c r="B583" s="737" t="s">
        <v>3615</v>
      </c>
      <c r="C583" s="737" t="s">
        <v>3616</v>
      </c>
      <c r="D583" s="738">
        <v>2929.5617000000002</v>
      </c>
      <c r="E583" s="738">
        <v>2288.1570000000002</v>
      </c>
      <c r="F583" s="738">
        <v>20523.1548</v>
      </c>
      <c r="G583" s="738">
        <v>237.61611909057012</v>
      </c>
    </row>
    <row r="584" spans="2:7" x14ac:dyDescent="0.25">
      <c r="B584" s="737" t="s">
        <v>3617</v>
      </c>
      <c r="C584" s="737" t="s">
        <v>3618</v>
      </c>
      <c r="D584" s="738">
        <v>2976.7997999999998</v>
      </c>
      <c r="E584" s="738">
        <v>2281.3888000000002</v>
      </c>
      <c r="F584" s="738">
        <v>21405.355599999999</v>
      </c>
      <c r="G584" s="738">
        <v>237.61611909057012</v>
      </c>
    </row>
    <row r="585" spans="2:7" x14ac:dyDescent="0.25">
      <c r="B585" s="737" t="s">
        <v>3619</v>
      </c>
      <c r="C585" s="737" t="s">
        <v>3620</v>
      </c>
      <c r="D585" s="738">
        <v>3080.9285</v>
      </c>
      <c r="E585" s="738">
        <v>1978.8315</v>
      </c>
      <c r="F585" s="738">
        <v>24597.4195</v>
      </c>
      <c r="G585" s="738">
        <v>237.61611909057012</v>
      </c>
    </row>
    <row r="586" spans="2:7" x14ac:dyDescent="0.25">
      <c r="B586" s="737" t="s">
        <v>3621</v>
      </c>
      <c r="C586" s="737" t="s">
        <v>3622</v>
      </c>
      <c r="D586" s="738">
        <v>2608.2955000000002</v>
      </c>
      <c r="E586" s="738">
        <v>2242.3126999999999</v>
      </c>
      <c r="F586" s="738">
        <v>14932.438399999999</v>
      </c>
      <c r="G586" s="738">
        <v>237.61611909057012</v>
      </c>
    </row>
    <row r="587" spans="2:7" x14ac:dyDescent="0.25">
      <c r="B587" s="737" t="s">
        <v>3623</v>
      </c>
      <c r="C587" s="737" t="s">
        <v>3624</v>
      </c>
      <c r="D587" s="738">
        <v>3678.6284999999998</v>
      </c>
      <c r="E587" s="738">
        <v>2658.1581000000001</v>
      </c>
      <c r="F587" s="738">
        <v>20107.172500000001</v>
      </c>
      <c r="G587" s="738">
        <v>489.61063262108257</v>
      </c>
    </row>
    <row r="588" spans="2:7" x14ac:dyDescent="0.25">
      <c r="B588" s="737" t="s">
        <v>3625</v>
      </c>
      <c r="C588" s="737" t="s">
        <v>3626</v>
      </c>
      <c r="D588" s="738">
        <v>3727.72</v>
      </c>
      <c r="E588" s="738">
        <v>2898.1169</v>
      </c>
      <c r="F588" s="738">
        <v>18853.955900000001</v>
      </c>
      <c r="G588" s="738">
        <v>489.61063262108257</v>
      </c>
    </row>
    <row r="589" spans="2:7" x14ac:dyDescent="0.25">
      <c r="B589" s="737" t="s">
        <v>3627</v>
      </c>
      <c r="C589" s="737" t="s">
        <v>3628</v>
      </c>
      <c r="D589" s="738">
        <v>3275.3031000000001</v>
      </c>
      <c r="E589" s="738">
        <v>2481.8096999999998</v>
      </c>
      <c r="F589" s="738">
        <v>22777.071499999998</v>
      </c>
      <c r="G589" s="738">
        <v>489.61063262108257</v>
      </c>
    </row>
    <row r="590" spans="2:7" x14ac:dyDescent="0.25">
      <c r="B590" s="737" t="s">
        <v>3629</v>
      </c>
      <c r="C590" s="737" t="s">
        <v>3630</v>
      </c>
      <c r="D590" s="738">
        <v>2596.7917000000002</v>
      </c>
      <c r="E590" s="738">
        <v>2198.8708000000001</v>
      </c>
      <c r="F590" s="738">
        <v>14912.4246</v>
      </c>
      <c r="G590" s="738">
        <v>237.61611909057012</v>
      </c>
    </row>
    <row r="591" spans="2:7" x14ac:dyDescent="0.25">
      <c r="B591" s="737" t="s">
        <v>3631</v>
      </c>
      <c r="C591" s="737" t="s">
        <v>3632</v>
      </c>
      <c r="D591" s="738">
        <v>2698.3640999999998</v>
      </c>
      <c r="E591" s="738">
        <v>2117.8312999999998</v>
      </c>
      <c r="F591" s="738">
        <v>17077.242999999999</v>
      </c>
      <c r="G591" s="738">
        <v>237.61611909057012</v>
      </c>
    </row>
    <row r="592" spans="2:7" x14ac:dyDescent="0.25">
      <c r="B592" s="737" t="s">
        <v>3633</v>
      </c>
      <c r="C592" s="737" t="s">
        <v>3634</v>
      </c>
      <c r="D592" s="738">
        <v>2798.0855999999999</v>
      </c>
      <c r="E592" s="738">
        <v>2184.8098</v>
      </c>
      <c r="F592" s="738">
        <v>18594.342799999999</v>
      </c>
      <c r="G592" s="738">
        <v>237.61611909057012</v>
      </c>
    </row>
    <row r="593" spans="2:7" x14ac:dyDescent="0.25">
      <c r="B593" s="737" t="s">
        <v>3635</v>
      </c>
      <c r="C593" s="737" t="s">
        <v>3636</v>
      </c>
      <c r="D593" s="738">
        <v>2686.4331000000002</v>
      </c>
      <c r="E593" s="738">
        <v>2181.1122</v>
      </c>
      <c r="F593" s="738">
        <v>16618.627100000002</v>
      </c>
      <c r="G593" s="738">
        <v>237.61611909057012</v>
      </c>
    </row>
    <row r="594" spans="2:7" x14ac:dyDescent="0.25">
      <c r="B594" s="737" t="s">
        <v>3637</v>
      </c>
      <c r="C594" s="737" t="s">
        <v>3638</v>
      </c>
      <c r="D594" s="738">
        <v>2689.4250000000002</v>
      </c>
      <c r="E594" s="738">
        <v>2143.6556</v>
      </c>
      <c r="F594" s="738">
        <v>16832.564399999999</v>
      </c>
      <c r="G594" s="738">
        <v>237.61611909057012</v>
      </c>
    </row>
    <row r="595" spans="2:7" x14ac:dyDescent="0.25">
      <c r="B595" s="737" t="s">
        <v>3639</v>
      </c>
      <c r="C595" s="737" t="s">
        <v>3640</v>
      </c>
      <c r="D595" s="738">
        <v>2676.0160000000001</v>
      </c>
      <c r="E595" s="738">
        <v>2131.9762000000001</v>
      </c>
      <c r="F595" s="738">
        <v>16636.663199999999</v>
      </c>
      <c r="G595" s="738">
        <v>237.61611909057012</v>
      </c>
    </row>
    <row r="596" spans="2:7" x14ac:dyDescent="0.25">
      <c r="B596" s="737" t="s">
        <v>3641</v>
      </c>
      <c r="C596" s="737" t="s">
        <v>3642</v>
      </c>
      <c r="D596" s="738">
        <v>2681.3247000000001</v>
      </c>
      <c r="E596" s="738">
        <v>2189.7768999999998</v>
      </c>
      <c r="F596" s="738">
        <v>16489.622299999999</v>
      </c>
      <c r="G596" s="738">
        <v>237.61611909057012</v>
      </c>
    </row>
    <row r="597" spans="2:7" x14ac:dyDescent="0.25">
      <c r="B597" s="737" t="s">
        <v>3643</v>
      </c>
      <c r="C597" s="737" t="s">
        <v>3644</v>
      </c>
      <c r="D597" s="738">
        <v>2694.4023999999999</v>
      </c>
      <c r="E597" s="738">
        <v>1914.2493999999999</v>
      </c>
      <c r="F597" s="738">
        <v>17904.301299999999</v>
      </c>
      <c r="G597" s="738">
        <v>237.61611909057012</v>
      </c>
    </row>
    <row r="598" spans="2:7" x14ac:dyDescent="0.25">
      <c r="B598" s="737" t="s">
        <v>3645</v>
      </c>
      <c r="C598" s="737" t="s">
        <v>3646</v>
      </c>
      <c r="D598" s="738">
        <v>2761.1747</v>
      </c>
      <c r="E598" s="738">
        <v>2038.3388</v>
      </c>
      <c r="F598" s="738">
        <v>18574.6679</v>
      </c>
      <c r="G598" s="738">
        <v>237.61611909057012</v>
      </c>
    </row>
    <row r="599" spans="2:7" x14ac:dyDescent="0.25">
      <c r="B599" s="737" t="s">
        <v>3647</v>
      </c>
      <c r="C599" s="737" t="s">
        <v>3648</v>
      </c>
      <c r="D599" s="738">
        <v>3529.5432999999998</v>
      </c>
      <c r="E599" s="738">
        <v>2735.76</v>
      </c>
      <c r="F599" s="738">
        <v>23463.7101</v>
      </c>
      <c r="G599" s="738">
        <v>356.46862005190007</v>
      </c>
    </row>
    <row r="600" spans="2:7" x14ac:dyDescent="0.25">
      <c r="B600" s="737" t="s">
        <v>3649</v>
      </c>
      <c r="C600" s="737" t="s">
        <v>3650</v>
      </c>
      <c r="D600" s="738">
        <v>3552.8715000000002</v>
      </c>
      <c r="E600" s="738">
        <v>2928.1131999999998</v>
      </c>
      <c r="F600" s="738">
        <v>22592.236799999999</v>
      </c>
      <c r="G600" s="738">
        <v>356.46862005190007</v>
      </c>
    </row>
    <row r="601" spans="2:7" x14ac:dyDescent="0.25">
      <c r="B601" s="737" t="s">
        <v>3651</v>
      </c>
      <c r="C601" s="737" t="s">
        <v>3652</v>
      </c>
      <c r="D601" s="738">
        <v>3468.5673000000002</v>
      </c>
      <c r="E601" s="738">
        <v>2570.9402</v>
      </c>
      <c r="F601" s="738">
        <v>23408.7192</v>
      </c>
      <c r="G601" s="738">
        <v>356.46862005190007</v>
      </c>
    </row>
    <row r="602" spans="2:7" x14ac:dyDescent="0.25">
      <c r="B602" s="737" t="s">
        <v>3653</v>
      </c>
      <c r="C602" s="737" t="s">
        <v>3654</v>
      </c>
      <c r="D602" s="738">
        <v>3515.6322</v>
      </c>
      <c r="E602" s="738">
        <v>2613.7076999999999</v>
      </c>
      <c r="F602" s="738">
        <v>23949.228200000001</v>
      </c>
      <c r="G602" s="738">
        <v>559.86250076040449</v>
      </c>
    </row>
    <row r="603" spans="2:7" x14ac:dyDescent="0.25">
      <c r="B603" s="737" t="s">
        <v>3655</v>
      </c>
      <c r="C603" s="737" t="s">
        <v>3656</v>
      </c>
      <c r="D603" s="738">
        <v>3499.1732000000002</v>
      </c>
      <c r="E603" s="738">
        <v>2808.9290999999998</v>
      </c>
      <c r="F603" s="738">
        <v>23079.424800000001</v>
      </c>
      <c r="G603" s="738">
        <v>343.33840427704536</v>
      </c>
    </row>
    <row r="604" spans="2:7" x14ac:dyDescent="0.25">
      <c r="B604" s="737" t="s">
        <v>3657</v>
      </c>
      <c r="C604" s="737" t="s">
        <v>3658</v>
      </c>
      <c r="D604" s="738">
        <v>3614.2330000000002</v>
      </c>
      <c r="E604" s="738">
        <v>2550.8181</v>
      </c>
      <c r="F604" s="738">
        <v>26188.626700000001</v>
      </c>
      <c r="G604" s="738">
        <v>356.46862005190007</v>
      </c>
    </row>
    <row r="605" spans="2:7" x14ac:dyDescent="0.25">
      <c r="B605" s="737" t="s">
        <v>3659</v>
      </c>
      <c r="C605" s="737" t="s">
        <v>3660</v>
      </c>
      <c r="D605" s="738">
        <v>3615.9650999999999</v>
      </c>
      <c r="E605" s="738">
        <v>2621.721</v>
      </c>
      <c r="F605" s="738">
        <v>25705.8642</v>
      </c>
      <c r="G605" s="738">
        <v>356.46862005190007</v>
      </c>
    </row>
    <row r="606" spans="2:7" x14ac:dyDescent="0.25">
      <c r="B606" s="737" t="s">
        <v>3661</v>
      </c>
      <c r="C606" s="737" t="s">
        <v>3662</v>
      </c>
      <c r="D606" s="738">
        <v>3493.0218</v>
      </c>
      <c r="E606" s="738">
        <v>2683.3516</v>
      </c>
      <c r="F606" s="738">
        <v>23795.1495</v>
      </c>
      <c r="G606" s="738">
        <v>356.46862005190007</v>
      </c>
    </row>
    <row r="607" spans="2:7" x14ac:dyDescent="0.25">
      <c r="B607" s="737" t="s">
        <v>3663</v>
      </c>
      <c r="C607" s="737" t="s">
        <v>3664</v>
      </c>
      <c r="D607" s="738">
        <v>3644.1338000000001</v>
      </c>
      <c r="E607" s="738">
        <v>2431.8962999999999</v>
      </c>
      <c r="F607" s="738">
        <v>27435.609400000001</v>
      </c>
      <c r="G607" s="738">
        <v>356.46862005190007</v>
      </c>
    </row>
    <row r="608" spans="2:7" x14ac:dyDescent="0.25">
      <c r="B608" s="737" t="s">
        <v>3665</v>
      </c>
      <c r="C608" s="737" t="s">
        <v>3666</v>
      </c>
      <c r="D608" s="738">
        <v>3652.6471000000001</v>
      </c>
      <c r="E608" s="738">
        <v>2712.3112999999998</v>
      </c>
      <c r="F608" s="738">
        <v>25837.984499999999</v>
      </c>
      <c r="G608" s="738">
        <v>356.46862005190007</v>
      </c>
    </row>
    <row r="609" spans="2:7" x14ac:dyDescent="0.25">
      <c r="B609" s="737" t="s">
        <v>3667</v>
      </c>
      <c r="C609" s="737" t="s">
        <v>3668</v>
      </c>
      <c r="D609" s="738">
        <v>3463.2474000000002</v>
      </c>
      <c r="E609" s="738">
        <v>2881.8159000000001</v>
      </c>
      <c r="F609" s="738">
        <v>22024.276600000001</v>
      </c>
      <c r="G609" s="738">
        <v>343.33840427704536</v>
      </c>
    </row>
    <row r="610" spans="2:7" x14ac:dyDescent="0.25">
      <c r="B610" s="737" t="s">
        <v>3669</v>
      </c>
      <c r="C610" s="737" t="s">
        <v>3670</v>
      </c>
      <c r="D610" s="738">
        <v>3460.1035999999999</v>
      </c>
      <c r="E610" s="738">
        <v>2721.7543000000001</v>
      </c>
      <c r="F610" s="738">
        <v>22956.956699999999</v>
      </c>
      <c r="G610" s="738">
        <v>343.33840427704536</v>
      </c>
    </row>
    <row r="611" spans="2:7" x14ac:dyDescent="0.25">
      <c r="B611" s="737" t="s">
        <v>3671</v>
      </c>
      <c r="C611" s="737" t="s">
        <v>3672</v>
      </c>
      <c r="D611" s="738">
        <v>3509.4771000000001</v>
      </c>
      <c r="E611" s="738">
        <v>2653.0583000000001</v>
      </c>
      <c r="F611" s="738">
        <v>24276.191599999998</v>
      </c>
      <c r="G611" s="738">
        <v>356.46862005190007</v>
      </c>
    </row>
    <row r="612" spans="2:7" x14ac:dyDescent="0.25">
      <c r="B612" s="737" t="s">
        <v>3673</v>
      </c>
      <c r="C612" s="737" t="s">
        <v>3674</v>
      </c>
      <c r="D612" s="738">
        <v>3605.6707999999999</v>
      </c>
      <c r="E612" s="738">
        <v>2398.7586000000001</v>
      </c>
      <c r="F612" s="738">
        <v>26948.025399999999</v>
      </c>
      <c r="G612" s="738">
        <v>356.46862005190007</v>
      </c>
    </row>
    <row r="613" spans="2:7" x14ac:dyDescent="0.25">
      <c r="B613" s="737" t="s">
        <v>3675</v>
      </c>
      <c r="C613" s="737" t="s">
        <v>3676</v>
      </c>
      <c r="D613" s="738">
        <v>3645.3033</v>
      </c>
      <c r="E613" s="738">
        <v>2467.6945000000001</v>
      </c>
      <c r="F613" s="738">
        <v>27220.073199999999</v>
      </c>
      <c r="G613" s="738">
        <v>356.46862005190007</v>
      </c>
    </row>
    <row r="614" spans="2:7" x14ac:dyDescent="0.25">
      <c r="B614" s="737" t="s">
        <v>3677</v>
      </c>
      <c r="C614" s="737" t="s">
        <v>3678</v>
      </c>
      <c r="D614" s="738">
        <v>3977.1885000000002</v>
      </c>
      <c r="E614" s="738">
        <v>2232.1044000000002</v>
      </c>
      <c r="F614" s="738">
        <v>26321.5913</v>
      </c>
      <c r="G614" s="738">
        <v>559.86250076040449</v>
      </c>
    </row>
    <row r="615" spans="2:7" x14ac:dyDescent="0.25">
      <c r="B615" s="737" t="s">
        <v>3679</v>
      </c>
      <c r="C615" s="737" t="s">
        <v>3680</v>
      </c>
      <c r="D615" s="738">
        <v>3993.9688999999998</v>
      </c>
      <c r="E615" s="738">
        <v>2284.7206000000001</v>
      </c>
      <c r="F615" s="738">
        <v>26069.149300000001</v>
      </c>
      <c r="G615" s="738">
        <v>559.86250076040449</v>
      </c>
    </row>
    <row r="616" spans="2:7" x14ac:dyDescent="0.25">
      <c r="B616" s="737" t="s">
        <v>3681</v>
      </c>
      <c r="C616" s="737" t="s">
        <v>3682</v>
      </c>
      <c r="D616" s="738">
        <v>3536.9573999999998</v>
      </c>
      <c r="E616" s="738">
        <v>2531.6907000000001</v>
      </c>
      <c r="F616" s="738">
        <v>25520.8904</v>
      </c>
      <c r="G616" s="738">
        <v>343.33840427704536</v>
      </c>
    </row>
    <row r="617" spans="2:7" x14ac:dyDescent="0.25">
      <c r="B617" s="737" t="s">
        <v>3683</v>
      </c>
      <c r="C617" s="737" t="s">
        <v>3684</v>
      </c>
      <c r="D617" s="738">
        <v>4098.7071999999998</v>
      </c>
      <c r="E617" s="738">
        <v>2452.7262999999998</v>
      </c>
      <c r="F617" s="738">
        <v>26320.924500000001</v>
      </c>
      <c r="G617" s="738">
        <v>559.86250076040449</v>
      </c>
    </row>
    <row r="618" spans="2:7" x14ac:dyDescent="0.25">
      <c r="B618" s="737" t="s">
        <v>3685</v>
      </c>
      <c r="C618" s="737" t="s">
        <v>3686</v>
      </c>
      <c r="D618" s="738">
        <v>3538.7813999999998</v>
      </c>
      <c r="E618" s="738">
        <v>2449.0050000000001</v>
      </c>
      <c r="F618" s="738">
        <v>26075.6345</v>
      </c>
      <c r="G618" s="738">
        <v>343.33840427704536</v>
      </c>
    </row>
    <row r="619" spans="2:7" x14ac:dyDescent="0.25">
      <c r="B619" s="737" t="s">
        <v>3687</v>
      </c>
      <c r="C619" s="737" t="s">
        <v>3688</v>
      </c>
      <c r="D619" s="738">
        <v>3557.3730999999998</v>
      </c>
      <c r="E619" s="738">
        <v>2625.4517999999998</v>
      </c>
      <c r="F619" s="738">
        <v>25317.722699999998</v>
      </c>
      <c r="G619" s="738">
        <v>343.33840427704536</v>
      </c>
    </row>
    <row r="620" spans="2:7" x14ac:dyDescent="0.25">
      <c r="B620" s="737" t="s">
        <v>3689</v>
      </c>
      <c r="C620" s="737" t="s">
        <v>3690</v>
      </c>
      <c r="D620" s="738">
        <v>3539.3744000000002</v>
      </c>
      <c r="E620" s="738">
        <v>2494.2882</v>
      </c>
      <c r="F620" s="738">
        <v>25802.233199999999</v>
      </c>
      <c r="G620" s="738">
        <v>343.33840427704536</v>
      </c>
    </row>
    <row r="621" spans="2:7" x14ac:dyDescent="0.25">
      <c r="B621" s="737" t="s">
        <v>3691</v>
      </c>
      <c r="C621" s="737" t="s">
        <v>3692</v>
      </c>
      <c r="D621" s="738">
        <v>3509.6066000000001</v>
      </c>
      <c r="E621" s="738">
        <v>2232.9911999999999</v>
      </c>
      <c r="F621" s="738">
        <v>26830.879700000001</v>
      </c>
      <c r="G621" s="738">
        <v>343.33840427704536</v>
      </c>
    </row>
    <row r="622" spans="2:7" x14ac:dyDescent="0.25">
      <c r="B622" s="737" t="s">
        <v>3693</v>
      </c>
      <c r="C622" s="737" t="s">
        <v>3694</v>
      </c>
      <c r="D622" s="738">
        <v>3516.1858999999999</v>
      </c>
      <c r="E622" s="738">
        <v>2494.4187000000002</v>
      </c>
      <c r="F622" s="738">
        <v>25373.8914</v>
      </c>
      <c r="G622" s="738">
        <v>343.33840427704536</v>
      </c>
    </row>
    <row r="623" spans="2:7" x14ac:dyDescent="0.25">
      <c r="B623" s="737" t="s">
        <v>3695</v>
      </c>
      <c r="C623" s="737" t="s">
        <v>3696</v>
      </c>
      <c r="D623" s="738">
        <v>3480.8404999999998</v>
      </c>
      <c r="E623" s="738">
        <v>2403.5875000000001</v>
      </c>
      <c r="F623" s="738">
        <v>25311.9689</v>
      </c>
      <c r="G623" s="738">
        <v>343.33840427704536</v>
      </c>
    </row>
    <row r="624" spans="2:7" x14ac:dyDescent="0.25">
      <c r="B624" s="737" t="s">
        <v>3697</v>
      </c>
      <c r="C624" s="737" t="s">
        <v>3698</v>
      </c>
      <c r="D624" s="738">
        <v>3569.2773000000002</v>
      </c>
      <c r="E624" s="738">
        <v>2506.7846</v>
      </c>
      <c r="F624" s="738">
        <v>26267.9787</v>
      </c>
      <c r="G624" s="738">
        <v>343.33840427704536</v>
      </c>
    </row>
    <row r="625" spans="2:7" x14ac:dyDescent="0.25">
      <c r="B625" s="737" t="s">
        <v>3699</v>
      </c>
      <c r="C625" s="737" t="s">
        <v>3700</v>
      </c>
      <c r="D625" s="738">
        <v>3584.893</v>
      </c>
      <c r="E625" s="738">
        <v>2496.7665000000002</v>
      </c>
      <c r="F625" s="738">
        <v>26611.288</v>
      </c>
      <c r="G625" s="738">
        <v>343.33840427704536</v>
      </c>
    </row>
    <row r="626" spans="2:7" x14ac:dyDescent="0.25">
      <c r="B626" s="737" t="s">
        <v>3701</v>
      </c>
      <c r="C626" s="737" t="s">
        <v>3702</v>
      </c>
      <c r="D626" s="738">
        <v>3484.4295999999999</v>
      </c>
      <c r="E626" s="738">
        <v>2262.2811000000002</v>
      </c>
      <c r="F626" s="738">
        <v>26245.5314</v>
      </c>
      <c r="G626" s="738">
        <v>343.33840427704536</v>
      </c>
    </row>
    <row r="627" spans="2:7" x14ac:dyDescent="0.25">
      <c r="B627" s="737" t="s">
        <v>3703</v>
      </c>
      <c r="C627" s="737" t="s">
        <v>3704</v>
      </c>
      <c r="D627" s="738">
        <v>3570.1678000000002</v>
      </c>
      <c r="E627" s="738">
        <v>2510.4004</v>
      </c>
      <c r="F627" s="738">
        <v>26262.5344</v>
      </c>
      <c r="G627" s="738">
        <v>343.33840427704536</v>
      </c>
    </row>
    <row r="628" spans="2:7" x14ac:dyDescent="0.25">
      <c r="B628" s="737" t="s">
        <v>3705</v>
      </c>
      <c r="C628" s="737" t="s">
        <v>3706</v>
      </c>
      <c r="D628" s="738">
        <v>3556.3652000000002</v>
      </c>
      <c r="E628" s="738">
        <v>2461.6642000000002</v>
      </c>
      <c r="F628" s="738">
        <v>26314.229299999999</v>
      </c>
      <c r="G628" s="738">
        <v>343.33840427704536</v>
      </c>
    </row>
    <row r="629" spans="2:7" x14ac:dyDescent="0.25">
      <c r="B629" s="737" t="s">
        <v>3707</v>
      </c>
      <c r="C629" s="737" t="s">
        <v>3708</v>
      </c>
      <c r="D629" s="738">
        <v>4082.6945000000001</v>
      </c>
      <c r="E629" s="738">
        <v>2592.6957000000002</v>
      </c>
      <c r="F629" s="738">
        <v>24644.554199999999</v>
      </c>
      <c r="G629" s="738">
        <v>559.86250076040449</v>
      </c>
    </row>
    <row r="630" spans="2:7" x14ac:dyDescent="0.25">
      <c r="B630" s="737" t="s">
        <v>3709</v>
      </c>
      <c r="C630" s="737" t="s">
        <v>3710</v>
      </c>
      <c r="D630" s="738">
        <v>4155.5679</v>
      </c>
      <c r="E630" s="738">
        <v>2523.1896000000002</v>
      </c>
      <c r="F630" s="738">
        <v>26591.578799999999</v>
      </c>
      <c r="G630" s="738">
        <v>559.86250076040449</v>
      </c>
    </row>
    <row r="631" spans="2:7" x14ac:dyDescent="0.25">
      <c r="B631" s="737" t="s">
        <v>3711</v>
      </c>
      <c r="C631" s="737" t="s">
        <v>3712</v>
      </c>
      <c r="D631" s="738">
        <v>3537.2591000000002</v>
      </c>
      <c r="E631" s="738">
        <v>2810.7953000000002</v>
      </c>
      <c r="F631" s="738">
        <v>23110.244500000001</v>
      </c>
      <c r="G631" s="738">
        <v>559.86250076040449</v>
      </c>
    </row>
    <row r="632" spans="2:7" x14ac:dyDescent="0.25">
      <c r="B632" s="737" t="s">
        <v>3713</v>
      </c>
      <c r="C632" s="737" t="s">
        <v>3714</v>
      </c>
      <c r="D632" s="738">
        <v>4138.0214999999998</v>
      </c>
      <c r="E632" s="738">
        <v>2319.9566</v>
      </c>
      <c r="F632" s="738">
        <v>28317.926200000002</v>
      </c>
      <c r="G632" s="738">
        <v>559.86250076040449</v>
      </c>
    </row>
    <row r="633" spans="2:7" x14ac:dyDescent="0.25">
      <c r="B633" s="737" t="s">
        <v>3715</v>
      </c>
      <c r="C633" s="737" t="s">
        <v>3716</v>
      </c>
      <c r="D633" s="738">
        <v>4009.7424000000001</v>
      </c>
      <c r="E633" s="738">
        <v>2494.6289000000002</v>
      </c>
      <c r="F633" s="738">
        <v>24332.277999999998</v>
      </c>
      <c r="G633" s="738">
        <v>559.86250076040449</v>
      </c>
    </row>
    <row r="634" spans="2:7" x14ac:dyDescent="0.25">
      <c r="B634" s="737" t="s">
        <v>3717</v>
      </c>
      <c r="C634" s="737" t="s">
        <v>3718</v>
      </c>
      <c r="D634" s="738">
        <v>4084.5158000000001</v>
      </c>
      <c r="E634" s="738">
        <v>2317.7426999999998</v>
      </c>
      <c r="F634" s="738">
        <v>27392.833600000002</v>
      </c>
      <c r="G634" s="738">
        <v>559.86250076040449</v>
      </c>
    </row>
    <row r="635" spans="2:7" x14ac:dyDescent="0.25">
      <c r="B635" s="737" t="s">
        <v>3719</v>
      </c>
      <c r="C635" s="737" t="s">
        <v>3720</v>
      </c>
      <c r="D635" s="738">
        <v>3690.6028999999999</v>
      </c>
      <c r="E635" s="738">
        <v>2010.5237</v>
      </c>
      <c r="F635" s="738">
        <v>30996.905299999999</v>
      </c>
      <c r="G635" s="738">
        <v>356.46862005190007</v>
      </c>
    </row>
    <row r="636" spans="2:7" x14ac:dyDescent="0.25">
      <c r="B636" s="737" t="s">
        <v>3721</v>
      </c>
      <c r="C636" s="737" t="s">
        <v>3722</v>
      </c>
      <c r="D636" s="738">
        <v>4000.0814999999998</v>
      </c>
      <c r="E636" s="738">
        <v>2195.0309000000002</v>
      </c>
      <c r="F636" s="738">
        <v>27168.915000000001</v>
      </c>
      <c r="G636" s="738">
        <v>559.86250076040449</v>
      </c>
    </row>
    <row r="637" spans="2:7" x14ac:dyDescent="0.25">
      <c r="B637" s="737" t="s">
        <v>3723</v>
      </c>
      <c r="C637" s="737" t="s">
        <v>3724</v>
      </c>
      <c r="D637" s="738">
        <v>4037.6242999999999</v>
      </c>
      <c r="E637" s="738">
        <v>2311.7570999999998</v>
      </c>
      <c r="F637" s="738">
        <v>26597.384600000001</v>
      </c>
      <c r="G637" s="738">
        <v>559.86250076040449</v>
      </c>
    </row>
    <row r="638" spans="2:7" x14ac:dyDescent="0.25">
      <c r="B638" s="737" t="s">
        <v>3725</v>
      </c>
      <c r="C638" s="737" t="s">
        <v>3726</v>
      </c>
      <c r="D638" s="738">
        <v>4109.4426000000003</v>
      </c>
      <c r="E638" s="738">
        <v>2341.9214999999999</v>
      </c>
      <c r="F638" s="738">
        <v>27668.5173</v>
      </c>
      <c r="G638" s="738">
        <v>559.86250076040449</v>
      </c>
    </row>
    <row r="639" spans="2:7" x14ac:dyDescent="0.25">
      <c r="B639" s="737" t="s">
        <v>3727</v>
      </c>
      <c r="C639" s="737" t="s">
        <v>3728</v>
      </c>
      <c r="D639" s="738">
        <v>3946.3670000000002</v>
      </c>
      <c r="E639" s="738">
        <v>2261.8234000000002</v>
      </c>
      <c r="F639" s="738">
        <v>25539.855200000002</v>
      </c>
      <c r="G639" s="738">
        <v>559.86250076040449</v>
      </c>
    </row>
    <row r="640" spans="2:7" x14ac:dyDescent="0.25">
      <c r="B640" s="737" t="s">
        <v>3729</v>
      </c>
      <c r="C640" s="737" t="s">
        <v>3730</v>
      </c>
      <c r="D640" s="738">
        <v>4176.0555999999997</v>
      </c>
      <c r="E640" s="738">
        <v>2242.6723999999999</v>
      </c>
      <c r="F640" s="738">
        <v>29775.385300000002</v>
      </c>
      <c r="G640" s="738">
        <v>559.86250076040449</v>
      </c>
    </row>
    <row r="641" spans="2:7" x14ac:dyDescent="0.25">
      <c r="B641" s="737" t="s">
        <v>3731</v>
      </c>
      <c r="C641" s="737" t="s">
        <v>3732</v>
      </c>
      <c r="D641" s="738">
        <v>4125.5677999999998</v>
      </c>
      <c r="E641" s="738">
        <v>2563.9022</v>
      </c>
      <c r="F641" s="738">
        <v>25724.4166</v>
      </c>
      <c r="G641" s="738">
        <v>559.86250076040449</v>
      </c>
    </row>
    <row r="642" spans="2:7" x14ac:dyDescent="0.25">
      <c r="B642" s="737" t="s">
        <v>3733</v>
      </c>
      <c r="C642" s="737" t="s">
        <v>3734</v>
      </c>
      <c r="D642" s="738">
        <v>4153.6270000000004</v>
      </c>
      <c r="E642" s="738">
        <v>2254.8995</v>
      </c>
      <c r="F642" s="738">
        <v>29379.0164</v>
      </c>
      <c r="G642" s="738">
        <v>559.86250076040449</v>
      </c>
    </row>
    <row r="643" spans="2:7" x14ac:dyDescent="0.25">
      <c r="B643" s="737" t="s">
        <v>3735</v>
      </c>
      <c r="C643" s="737" t="s">
        <v>3736</v>
      </c>
      <c r="D643" s="738">
        <v>4081.8737999999998</v>
      </c>
      <c r="E643" s="738">
        <v>2401.9068000000002</v>
      </c>
      <c r="F643" s="738">
        <v>26549.468400000002</v>
      </c>
      <c r="G643" s="738">
        <v>559.86250076040449</v>
      </c>
    </row>
    <row r="644" spans="2:7" x14ac:dyDescent="0.25">
      <c r="B644" s="737" t="s">
        <v>3737</v>
      </c>
      <c r="C644" s="737" t="s">
        <v>3738</v>
      </c>
      <c r="D644" s="738">
        <v>4027.3182000000002</v>
      </c>
      <c r="E644" s="738">
        <v>2356.9036999999998</v>
      </c>
      <c r="F644" s="738">
        <v>26046.744600000002</v>
      </c>
      <c r="G644" s="738">
        <v>559.86250076040449</v>
      </c>
    </row>
    <row r="645" spans="2:7" x14ac:dyDescent="0.25">
      <c r="B645" s="737" t="s">
        <v>3739</v>
      </c>
      <c r="C645" s="737" t="s">
        <v>3740</v>
      </c>
      <c r="D645" s="738">
        <v>3970.3141999999998</v>
      </c>
      <c r="E645" s="738">
        <v>2408.5295000000001</v>
      </c>
      <c r="F645" s="738">
        <v>24486.413</v>
      </c>
      <c r="G645" s="738">
        <v>559.86250076040449</v>
      </c>
    </row>
    <row r="646" spans="2:7" x14ac:dyDescent="0.25">
      <c r="B646" s="737" t="s">
        <v>3741</v>
      </c>
      <c r="C646" s="737" t="s">
        <v>3742</v>
      </c>
      <c r="D646" s="738">
        <v>4112.8815999999997</v>
      </c>
      <c r="E646" s="738">
        <v>2436.8674999999998</v>
      </c>
      <c r="F646" s="738">
        <v>26769.8</v>
      </c>
      <c r="G646" s="738">
        <v>495.05453300292947</v>
      </c>
    </row>
    <row r="647" spans="2:7" x14ac:dyDescent="0.25">
      <c r="B647" s="737" t="s">
        <v>3743</v>
      </c>
      <c r="C647" s="737" t="s">
        <v>3744</v>
      </c>
      <c r="D647" s="738">
        <v>4024.0599000000002</v>
      </c>
      <c r="E647" s="738">
        <v>2638.8184000000001</v>
      </c>
      <c r="F647" s="738">
        <v>26273.791799999999</v>
      </c>
      <c r="G647" s="738">
        <v>495.05453300292947</v>
      </c>
    </row>
    <row r="648" spans="2:7" x14ac:dyDescent="0.25">
      <c r="B648" s="737" t="s">
        <v>3745</v>
      </c>
      <c r="C648" s="737" t="s">
        <v>3746</v>
      </c>
      <c r="D648" s="738">
        <v>4013.6437999999998</v>
      </c>
      <c r="E648" s="738">
        <v>2714.0821999999998</v>
      </c>
      <c r="F648" s="738">
        <v>25413.5069</v>
      </c>
      <c r="G648" s="738">
        <v>495.05453300292947</v>
      </c>
    </row>
    <row r="649" spans="2:7" x14ac:dyDescent="0.25">
      <c r="B649" s="737" t="s">
        <v>3747</v>
      </c>
      <c r="C649" s="737" t="s">
        <v>3748</v>
      </c>
      <c r="D649" s="738">
        <v>3981.1858000000002</v>
      </c>
      <c r="E649" s="738">
        <v>2809.5776999999998</v>
      </c>
      <c r="F649" s="738">
        <v>23948.373200000002</v>
      </c>
      <c r="G649" s="738">
        <v>495.05453300292947</v>
      </c>
    </row>
    <row r="650" spans="2:7" x14ac:dyDescent="0.25">
      <c r="B650" s="737" t="s">
        <v>3749</v>
      </c>
      <c r="C650" s="737" t="s">
        <v>3750</v>
      </c>
      <c r="D650" s="738">
        <v>3830.24</v>
      </c>
      <c r="E650" s="738">
        <v>2543.3710999999998</v>
      </c>
      <c r="F650" s="738">
        <v>23631.8325</v>
      </c>
      <c r="G650" s="738">
        <v>495.05453300292947</v>
      </c>
    </row>
    <row r="651" spans="2:7" x14ac:dyDescent="0.25">
      <c r="B651" s="737" t="s">
        <v>3751</v>
      </c>
      <c r="C651" s="737" t="s">
        <v>3752</v>
      </c>
      <c r="D651" s="738">
        <v>3823.2977999999998</v>
      </c>
      <c r="E651" s="738">
        <v>2281.1405</v>
      </c>
      <c r="F651" s="738">
        <v>25765.7255</v>
      </c>
      <c r="G651" s="738">
        <v>495.05453300292947</v>
      </c>
    </row>
    <row r="652" spans="2:7" x14ac:dyDescent="0.25">
      <c r="B652" s="737" t="s">
        <v>3753</v>
      </c>
      <c r="C652" s="737" t="s">
        <v>3754</v>
      </c>
      <c r="D652" s="738">
        <v>3960.5102000000002</v>
      </c>
      <c r="E652" s="738">
        <v>2555.7779999999998</v>
      </c>
      <c r="F652" s="738">
        <v>25868.6132</v>
      </c>
      <c r="G652" s="738">
        <v>495.05453300292947</v>
      </c>
    </row>
    <row r="653" spans="2:7" x14ac:dyDescent="0.25">
      <c r="B653" s="737" t="s">
        <v>3755</v>
      </c>
      <c r="C653" s="737" t="s">
        <v>3756</v>
      </c>
      <c r="D653" s="738">
        <v>3904.5781999999999</v>
      </c>
      <c r="E653" s="738">
        <v>2556.5623999999998</v>
      </c>
      <c r="F653" s="738">
        <v>24833.789400000001</v>
      </c>
      <c r="G653" s="738">
        <v>495.05453300292947</v>
      </c>
    </row>
    <row r="654" spans="2:7" x14ac:dyDescent="0.25">
      <c r="B654" s="737" t="s">
        <v>3757</v>
      </c>
      <c r="C654" s="737" t="s">
        <v>3758</v>
      </c>
      <c r="D654" s="738">
        <v>4112.8258999999998</v>
      </c>
      <c r="E654" s="738">
        <v>2550.8586</v>
      </c>
      <c r="F654" s="738">
        <v>25620.531999999999</v>
      </c>
      <c r="G654" s="738">
        <v>559.86250076040449</v>
      </c>
    </row>
    <row r="655" spans="2:7" x14ac:dyDescent="0.25">
      <c r="B655" s="737" t="s">
        <v>3759</v>
      </c>
      <c r="C655" s="737" t="s">
        <v>3760</v>
      </c>
      <c r="D655" s="738">
        <v>4174.7066999999997</v>
      </c>
      <c r="E655" s="738">
        <v>2561.1410000000001</v>
      </c>
      <c r="F655" s="738">
        <v>26620.491000000002</v>
      </c>
      <c r="G655" s="738">
        <v>559.86250076040449</v>
      </c>
    </row>
    <row r="656" spans="2:7" x14ac:dyDescent="0.25">
      <c r="B656" s="737" t="s">
        <v>3761</v>
      </c>
      <c r="C656" s="737" t="s">
        <v>3762</v>
      </c>
      <c r="D656" s="738">
        <v>4126.4988000000003</v>
      </c>
      <c r="E656" s="738">
        <v>2297.0113000000001</v>
      </c>
      <c r="F656" s="738">
        <v>28413.410899999999</v>
      </c>
      <c r="G656" s="738">
        <v>559.86250076040449</v>
      </c>
    </row>
    <row r="657" spans="2:7" x14ac:dyDescent="0.25">
      <c r="B657" s="737" t="s">
        <v>3763</v>
      </c>
      <c r="C657" s="737" t="s">
        <v>3764</v>
      </c>
      <c r="D657" s="738">
        <v>4096.3270000000002</v>
      </c>
      <c r="E657" s="738">
        <v>2340.8759</v>
      </c>
      <c r="F657" s="738">
        <v>27456.7984</v>
      </c>
      <c r="G657" s="738">
        <v>559.86250076040449</v>
      </c>
    </row>
    <row r="658" spans="2:7" x14ac:dyDescent="0.25">
      <c r="B658" s="737" t="s">
        <v>3765</v>
      </c>
      <c r="C658" s="737" t="s">
        <v>3766</v>
      </c>
      <c r="D658" s="738">
        <v>4031.3939999999998</v>
      </c>
      <c r="E658" s="738">
        <v>2385.8685</v>
      </c>
      <c r="F658" s="738">
        <v>25820.1113</v>
      </c>
      <c r="G658" s="738">
        <v>559.86250076040449</v>
      </c>
    </row>
    <row r="659" spans="2:7" x14ac:dyDescent="0.25">
      <c r="B659" s="737" t="s">
        <v>3767</v>
      </c>
      <c r="C659" s="737" t="s">
        <v>3768</v>
      </c>
      <c r="D659" s="738">
        <v>4176.7236000000003</v>
      </c>
      <c r="E659" s="738">
        <v>2543.7473</v>
      </c>
      <c r="F659" s="738">
        <v>26837.644899999999</v>
      </c>
      <c r="G659" s="738">
        <v>559.86250076040449</v>
      </c>
    </row>
    <row r="660" spans="2:7" x14ac:dyDescent="0.25">
      <c r="B660" s="737" t="s">
        <v>3769</v>
      </c>
      <c r="C660" s="737" t="s">
        <v>3770</v>
      </c>
      <c r="D660" s="738">
        <v>4223.4327000000003</v>
      </c>
      <c r="E660" s="738">
        <v>2428.0315000000001</v>
      </c>
      <c r="F660" s="738">
        <v>28853.4244</v>
      </c>
      <c r="G660" s="738">
        <v>559.86250076040449</v>
      </c>
    </row>
    <row r="661" spans="2:7" x14ac:dyDescent="0.25">
      <c r="B661" s="737" t="s">
        <v>3771</v>
      </c>
      <c r="C661" s="737" t="s">
        <v>3772</v>
      </c>
      <c r="D661" s="738">
        <v>4119.3723</v>
      </c>
      <c r="E661" s="738">
        <v>2533.8526000000002</v>
      </c>
      <c r="F661" s="738">
        <v>25907.227800000001</v>
      </c>
      <c r="G661" s="738">
        <v>495.05453300292947</v>
      </c>
    </row>
    <row r="662" spans="2:7" x14ac:dyDescent="0.25">
      <c r="B662" s="737" t="s">
        <v>3773</v>
      </c>
      <c r="C662" s="737" t="s">
        <v>3774</v>
      </c>
      <c r="D662" s="738">
        <v>4136.2559000000001</v>
      </c>
      <c r="E662" s="738">
        <v>2668.4872999999998</v>
      </c>
      <c r="F662" s="738">
        <v>24836.1404</v>
      </c>
      <c r="G662" s="738">
        <v>559.86250076040449</v>
      </c>
    </row>
    <row r="663" spans="2:7" x14ac:dyDescent="0.25">
      <c r="B663" s="737" t="s">
        <v>3775</v>
      </c>
      <c r="C663" s="737" t="s">
        <v>3776</v>
      </c>
      <c r="D663" s="738">
        <v>4805.6462000000001</v>
      </c>
      <c r="E663" s="738">
        <v>2612.5695000000001</v>
      </c>
      <c r="F663" s="738">
        <v>25820.3357</v>
      </c>
      <c r="G663" s="738">
        <v>799.61173339843594</v>
      </c>
    </row>
    <row r="664" spans="2:7" x14ac:dyDescent="0.25">
      <c r="B664" s="737" t="s">
        <v>3777</v>
      </c>
      <c r="C664" s="737" t="s">
        <v>3778</v>
      </c>
      <c r="D664" s="738">
        <v>5007.4014999999999</v>
      </c>
      <c r="E664" s="738">
        <v>2922.0718000000002</v>
      </c>
      <c r="F664" s="738">
        <v>25092.323499999999</v>
      </c>
      <c r="G664" s="738">
        <v>799.61173339843594</v>
      </c>
    </row>
    <row r="665" spans="2:7" x14ac:dyDescent="0.25">
      <c r="B665" s="737" t="s">
        <v>3779</v>
      </c>
      <c r="C665" s="737" t="s">
        <v>3780</v>
      </c>
      <c r="D665" s="738">
        <v>4839.7466000000004</v>
      </c>
      <c r="E665" s="738">
        <v>2558.9603000000002</v>
      </c>
      <c r="F665" s="738">
        <v>27333.003799999999</v>
      </c>
      <c r="G665" s="738">
        <v>799.61173339843594</v>
      </c>
    </row>
    <row r="666" spans="2:7" x14ac:dyDescent="0.25">
      <c r="B666" s="737" t="s">
        <v>3781</v>
      </c>
      <c r="C666" s="737" t="s">
        <v>3782</v>
      </c>
      <c r="D666" s="738">
        <v>4767.9654</v>
      </c>
      <c r="E666" s="738">
        <v>2623.3829000000001</v>
      </c>
      <c r="F666" s="738">
        <v>24995.620699999999</v>
      </c>
      <c r="G666" s="738">
        <v>799.61173339843594</v>
      </c>
    </row>
    <row r="667" spans="2:7" x14ac:dyDescent="0.25">
      <c r="B667" s="737" t="s">
        <v>3783</v>
      </c>
      <c r="C667" s="737" t="s">
        <v>3784</v>
      </c>
      <c r="D667" s="738">
        <v>4737.8225000000002</v>
      </c>
      <c r="E667" s="738">
        <v>2553.6386000000002</v>
      </c>
      <c r="F667" s="738">
        <v>25544.350600000002</v>
      </c>
      <c r="G667" s="738">
        <v>799.61173339843594</v>
      </c>
    </row>
    <row r="668" spans="2:7" x14ac:dyDescent="0.25">
      <c r="B668" s="737" t="s">
        <v>3785</v>
      </c>
      <c r="C668" s="737" t="s">
        <v>3786</v>
      </c>
      <c r="D668" s="738">
        <v>4716.0793999999996</v>
      </c>
      <c r="E668" s="738">
        <v>2605.0682000000002</v>
      </c>
      <c r="F668" s="738">
        <v>24436.706399999999</v>
      </c>
      <c r="G668" s="738">
        <v>799.61173339843594</v>
      </c>
    </row>
    <row r="669" spans="2:7" x14ac:dyDescent="0.25">
      <c r="B669" s="737" t="s">
        <v>3787</v>
      </c>
      <c r="C669" s="737" t="s">
        <v>3788</v>
      </c>
      <c r="D669" s="738">
        <v>3902.8139000000001</v>
      </c>
      <c r="E669" s="738">
        <v>2777.4137999999998</v>
      </c>
      <c r="F669" s="738">
        <v>22837.182700000001</v>
      </c>
      <c r="G669" s="738">
        <v>495.05453300292947</v>
      </c>
    </row>
    <row r="670" spans="2:7" x14ac:dyDescent="0.25">
      <c r="B670" s="737" t="s">
        <v>3789</v>
      </c>
      <c r="C670" s="737" t="s">
        <v>3790</v>
      </c>
      <c r="D670" s="738">
        <v>3878.8157999999999</v>
      </c>
      <c r="E670" s="738">
        <v>2634.2557000000002</v>
      </c>
      <c r="F670" s="738">
        <v>23620.9673</v>
      </c>
      <c r="G670" s="738">
        <v>495.05453300292947</v>
      </c>
    </row>
    <row r="671" spans="2:7" x14ac:dyDescent="0.25">
      <c r="B671" s="737" t="s">
        <v>3791</v>
      </c>
      <c r="C671" s="737" t="s">
        <v>3792</v>
      </c>
      <c r="D671" s="738">
        <v>4098.0532000000003</v>
      </c>
      <c r="E671" s="738">
        <v>2666.1556999999998</v>
      </c>
      <c r="F671" s="738">
        <v>24104.7078</v>
      </c>
      <c r="G671" s="738">
        <v>559.86250076040449</v>
      </c>
    </row>
    <row r="672" spans="2:7" x14ac:dyDescent="0.25">
      <c r="B672" s="737" t="s">
        <v>3793</v>
      </c>
      <c r="C672" s="737" t="s">
        <v>3794</v>
      </c>
      <c r="D672" s="738">
        <v>4256.1728000000003</v>
      </c>
      <c r="E672" s="738">
        <v>2684.6977999999999</v>
      </c>
      <c r="F672" s="738">
        <v>26849.9663</v>
      </c>
      <c r="G672" s="738">
        <v>559.86250076040449</v>
      </c>
    </row>
    <row r="673" spans="2:7" x14ac:dyDescent="0.25">
      <c r="B673" s="737" t="s">
        <v>3795</v>
      </c>
      <c r="C673" s="737" t="s">
        <v>3796</v>
      </c>
      <c r="D673" s="738">
        <v>4274.4682000000003</v>
      </c>
      <c r="E673" s="738">
        <v>2663.9459999999999</v>
      </c>
      <c r="F673" s="738">
        <v>27334.657800000001</v>
      </c>
      <c r="G673" s="738">
        <v>799.61173339843594</v>
      </c>
    </row>
    <row r="674" spans="2:7" x14ac:dyDescent="0.25">
      <c r="B674" s="737" t="s">
        <v>3797</v>
      </c>
      <c r="C674" s="737" t="s">
        <v>3798</v>
      </c>
      <c r="D674" s="738">
        <v>4254.8643000000002</v>
      </c>
      <c r="E674" s="738">
        <v>2497.83</v>
      </c>
      <c r="F674" s="738">
        <v>28730.363799999999</v>
      </c>
      <c r="G674" s="738">
        <v>559.86250076040449</v>
      </c>
    </row>
    <row r="675" spans="2:7" x14ac:dyDescent="0.25">
      <c r="B675" s="737" t="s">
        <v>3799</v>
      </c>
      <c r="C675" s="737" t="s">
        <v>3800</v>
      </c>
      <c r="D675" s="738">
        <v>4268.3698000000004</v>
      </c>
      <c r="E675" s="738">
        <v>2515.0428999999999</v>
      </c>
      <c r="F675" s="738">
        <v>28772.624100000001</v>
      </c>
      <c r="G675" s="738">
        <v>559.86250076040449</v>
      </c>
    </row>
    <row r="676" spans="2:7" x14ac:dyDescent="0.25">
      <c r="B676" s="737" t="s">
        <v>3801</v>
      </c>
      <c r="C676" s="737" t="s">
        <v>3802</v>
      </c>
      <c r="D676" s="738">
        <v>4852.3663999999999</v>
      </c>
      <c r="E676" s="738">
        <v>2541.5844999999999</v>
      </c>
      <c r="F676" s="738">
        <v>27831.4951</v>
      </c>
      <c r="G676" s="738">
        <v>799.61173339843594</v>
      </c>
    </row>
    <row r="677" spans="2:7" x14ac:dyDescent="0.25">
      <c r="B677" s="737" t="s">
        <v>3803</v>
      </c>
      <c r="C677" s="737" t="s">
        <v>3804</v>
      </c>
      <c r="D677" s="738">
        <v>4784.5625</v>
      </c>
      <c r="E677" s="738">
        <v>2538.2907</v>
      </c>
      <c r="F677" s="738">
        <v>26664.325199999999</v>
      </c>
      <c r="G677" s="738">
        <v>799.61173339843594</v>
      </c>
    </row>
    <row r="678" spans="2:7" x14ac:dyDescent="0.25">
      <c r="B678" s="737" t="s">
        <v>3805</v>
      </c>
      <c r="C678" s="737" t="s">
        <v>3806</v>
      </c>
      <c r="D678" s="738">
        <v>4743.0191999999997</v>
      </c>
      <c r="E678" s="738">
        <v>2299.0457999999999</v>
      </c>
      <c r="F678" s="738">
        <v>29188.340899999999</v>
      </c>
      <c r="G678" s="738">
        <v>799.61173339843594</v>
      </c>
    </row>
    <row r="679" spans="2:7" x14ac:dyDescent="0.25">
      <c r="B679" s="737" t="s">
        <v>3807</v>
      </c>
      <c r="C679" s="737" t="s">
        <v>3808</v>
      </c>
      <c r="D679" s="738">
        <v>4117.0196999999998</v>
      </c>
      <c r="E679" s="738">
        <v>2571.0192999999999</v>
      </c>
      <c r="F679" s="738">
        <v>25509.656599999998</v>
      </c>
      <c r="G679" s="738">
        <v>558.70703795723489</v>
      </c>
    </row>
    <row r="680" spans="2:7" x14ac:dyDescent="0.25">
      <c r="B680" s="737" t="s">
        <v>3809</v>
      </c>
      <c r="C680" s="737" t="s">
        <v>3810</v>
      </c>
      <c r="D680" s="738">
        <v>4815.7258000000002</v>
      </c>
      <c r="E680" s="738">
        <v>2541.2051000000001</v>
      </c>
      <c r="F680" s="738">
        <v>27158.6351</v>
      </c>
      <c r="G680" s="738">
        <v>799.61173339843594</v>
      </c>
    </row>
    <row r="681" spans="2:7" x14ac:dyDescent="0.25">
      <c r="B681" s="737" t="s">
        <v>3811</v>
      </c>
      <c r="C681" s="737" t="s">
        <v>3812</v>
      </c>
      <c r="D681" s="738">
        <v>4709.4371000000001</v>
      </c>
      <c r="E681" s="738">
        <v>2532.0493999999999</v>
      </c>
      <c r="F681" s="738">
        <v>25245.888800000001</v>
      </c>
      <c r="G681" s="738">
        <v>799.61173339843594</v>
      </c>
    </row>
    <row r="682" spans="2:7" x14ac:dyDescent="0.25">
      <c r="B682" s="737" t="s">
        <v>3813</v>
      </c>
      <c r="C682" s="737" t="s">
        <v>3814</v>
      </c>
      <c r="D682" s="738">
        <v>5065.0924000000005</v>
      </c>
      <c r="E682" s="738">
        <v>2620.0259000000001</v>
      </c>
      <c r="F682" s="738">
        <v>30546.4584</v>
      </c>
      <c r="G682" s="738">
        <v>799.61173339843594</v>
      </c>
    </row>
    <row r="683" spans="2:7" x14ac:dyDescent="0.25">
      <c r="B683" s="737" t="s">
        <v>3815</v>
      </c>
      <c r="C683" s="737" t="s">
        <v>3816</v>
      </c>
      <c r="D683" s="738">
        <v>4695.8599000000004</v>
      </c>
      <c r="E683" s="738">
        <v>2518.7615999999998</v>
      </c>
      <c r="F683" s="738">
        <v>25342.927899999999</v>
      </c>
      <c r="G683" s="738">
        <v>799.61173339843594</v>
      </c>
    </row>
    <row r="684" spans="2:7" x14ac:dyDescent="0.25">
      <c r="B684" s="737" t="s">
        <v>3817</v>
      </c>
      <c r="C684" s="737" t="s">
        <v>3818</v>
      </c>
      <c r="D684" s="738">
        <v>4816.7615999999998</v>
      </c>
      <c r="E684" s="738">
        <v>2635.2593999999999</v>
      </c>
      <c r="F684" s="738">
        <v>25816.033500000001</v>
      </c>
      <c r="G684" s="738">
        <v>799.61173339843594</v>
      </c>
    </row>
    <row r="685" spans="2:7" x14ac:dyDescent="0.25">
      <c r="B685" s="737" t="s">
        <v>3819</v>
      </c>
      <c r="C685" s="737" t="s">
        <v>3820</v>
      </c>
      <c r="D685" s="738">
        <v>4897.7025000000003</v>
      </c>
      <c r="E685" s="738">
        <v>2777.8820999999998</v>
      </c>
      <c r="F685" s="738">
        <v>25203.0317</v>
      </c>
      <c r="G685" s="738">
        <v>799.61173339843594</v>
      </c>
    </row>
    <row r="686" spans="2:7" x14ac:dyDescent="0.25">
      <c r="B686" s="737" t="s">
        <v>3821</v>
      </c>
      <c r="C686" s="737" t="s">
        <v>3822</v>
      </c>
      <c r="D686" s="738">
        <v>4900.3561</v>
      </c>
      <c r="E686" s="738">
        <v>2736.0057000000002</v>
      </c>
      <c r="F686" s="738">
        <v>25750.853599999999</v>
      </c>
      <c r="G686" s="738">
        <v>799.61173339843594</v>
      </c>
    </row>
    <row r="687" spans="2:7" x14ac:dyDescent="0.25">
      <c r="B687" s="737" t="s">
        <v>3823</v>
      </c>
      <c r="C687" s="737" t="s">
        <v>3824</v>
      </c>
      <c r="D687" s="738">
        <v>4274.8774000000003</v>
      </c>
      <c r="E687" s="738">
        <v>2598.4821999999999</v>
      </c>
      <c r="F687" s="738">
        <v>28107.335800000001</v>
      </c>
      <c r="G687" s="738">
        <v>558.70703795723489</v>
      </c>
    </row>
    <row r="688" spans="2:7" x14ac:dyDescent="0.25">
      <c r="B688" s="737" t="s">
        <v>3825</v>
      </c>
      <c r="C688" s="737" t="s">
        <v>3826</v>
      </c>
      <c r="D688" s="738">
        <v>4278.8702000000003</v>
      </c>
      <c r="E688" s="738">
        <v>2922.4863</v>
      </c>
      <c r="F688" s="738">
        <v>24895.629000000001</v>
      </c>
      <c r="G688" s="738">
        <v>558.70703795723489</v>
      </c>
    </row>
    <row r="689" spans="2:7" x14ac:dyDescent="0.25">
      <c r="B689" s="737" t="s">
        <v>3827</v>
      </c>
      <c r="C689" s="737" t="s">
        <v>3828</v>
      </c>
      <c r="D689" s="738">
        <v>4742.4067999999997</v>
      </c>
      <c r="E689" s="738">
        <v>2523.0158000000001</v>
      </c>
      <c r="F689" s="738">
        <v>26087.2844</v>
      </c>
      <c r="G689" s="738">
        <v>799.61173339843594</v>
      </c>
    </row>
    <row r="690" spans="2:7" x14ac:dyDescent="0.25">
      <c r="B690" s="737" t="s">
        <v>3829</v>
      </c>
      <c r="C690" s="737" t="s">
        <v>3830</v>
      </c>
      <c r="D690" s="738">
        <v>4184.3197</v>
      </c>
      <c r="E690" s="738">
        <v>2676.2134000000001</v>
      </c>
      <c r="F690" s="738">
        <v>25676.6564</v>
      </c>
      <c r="G690" s="738">
        <v>558.70703795723489</v>
      </c>
    </row>
    <row r="691" spans="2:7" x14ac:dyDescent="0.25">
      <c r="B691" s="737" t="s">
        <v>3831</v>
      </c>
      <c r="C691" s="737" t="s">
        <v>3832</v>
      </c>
      <c r="D691" s="738">
        <v>4258.9029</v>
      </c>
      <c r="E691" s="738">
        <v>2718.0585000000001</v>
      </c>
      <c r="F691" s="738">
        <v>26590.395100000002</v>
      </c>
      <c r="G691" s="738">
        <v>558.70703795723489</v>
      </c>
    </row>
    <row r="692" spans="2:7" x14ac:dyDescent="0.25">
      <c r="B692" s="737" t="s">
        <v>3833</v>
      </c>
      <c r="C692" s="737" t="s">
        <v>3834</v>
      </c>
      <c r="D692" s="738">
        <v>4355.2556999999997</v>
      </c>
      <c r="E692" s="738">
        <v>2689.7186000000002</v>
      </c>
      <c r="F692" s="738">
        <v>28605.2372</v>
      </c>
      <c r="G692" s="738">
        <v>558.70703795723489</v>
      </c>
    </row>
    <row r="693" spans="2:7" x14ac:dyDescent="0.25">
      <c r="B693" s="737" t="s">
        <v>3835</v>
      </c>
      <c r="C693" s="737" t="s">
        <v>3836</v>
      </c>
      <c r="D693" s="738">
        <v>4056.39</v>
      </c>
      <c r="E693" s="738">
        <v>2540.7226000000001</v>
      </c>
      <c r="F693" s="738">
        <v>24746.669600000001</v>
      </c>
      <c r="G693" s="738">
        <v>558.70703795723489</v>
      </c>
    </row>
    <row r="694" spans="2:7" x14ac:dyDescent="0.25">
      <c r="B694" s="737" t="s">
        <v>3837</v>
      </c>
      <c r="C694" s="737" t="s">
        <v>3838</v>
      </c>
      <c r="D694" s="738">
        <v>4164.1589000000004</v>
      </c>
      <c r="E694" s="738">
        <v>2617.0328</v>
      </c>
      <c r="F694" s="738">
        <v>25913.374100000001</v>
      </c>
      <c r="G694" s="738">
        <v>558.70703795723489</v>
      </c>
    </row>
    <row r="695" spans="2:7" x14ac:dyDescent="0.25">
      <c r="B695" s="737" t="s">
        <v>3839</v>
      </c>
      <c r="C695" s="737" t="s">
        <v>3840</v>
      </c>
      <c r="D695" s="738">
        <v>4057.5805</v>
      </c>
      <c r="E695" s="738">
        <v>2494.5680000000002</v>
      </c>
      <c r="F695" s="738">
        <v>25214.254099999998</v>
      </c>
      <c r="G695" s="738">
        <v>558.70703795723489</v>
      </c>
    </row>
    <row r="696" spans="2:7" x14ac:dyDescent="0.25">
      <c r="B696" s="737" t="s">
        <v>3841</v>
      </c>
      <c r="C696" s="737" t="s">
        <v>3842</v>
      </c>
      <c r="D696" s="738">
        <v>4149.5024000000003</v>
      </c>
      <c r="E696" s="738">
        <v>2616.6305000000002</v>
      </c>
      <c r="F696" s="738">
        <v>25648.8616</v>
      </c>
      <c r="G696" s="738">
        <v>558.70703795723489</v>
      </c>
    </row>
    <row r="697" spans="2:7" x14ac:dyDescent="0.25">
      <c r="B697" s="737" t="s">
        <v>3843</v>
      </c>
      <c r="C697" s="737" t="s">
        <v>3844</v>
      </c>
      <c r="D697" s="738">
        <v>4326.9758000000002</v>
      </c>
      <c r="E697" s="738">
        <v>2928.3427999999999</v>
      </c>
      <c r="F697" s="738">
        <v>25710.467000000001</v>
      </c>
      <c r="G697" s="738">
        <v>558.70703795723489</v>
      </c>
    </row>
    <row r="698" spans="2:7" x14ac:dyDescent="0.25">
      <c r="B698" s="737" t="s">
        <v>3845</v>
      </c>
      <c r="C698" s="737" t="s">
        <v>3846</v>
      </c>
      <c r="D698" s="738">
        <v>4135.4434000000001</v>
      </c>
      <c r="E698" s="738">
        <v>2476.6635999999999</v>
      </c>
      <c r="F698" s="738">
        <v>26713.278600000001</v>
      </c>
      <c r="G698" s="738">
        <v>558.70703795723489</v>
      </c>
    </row>
    <row r="699" spans="2:7" x14ac:dyDescent="0.25">
      <c r="B699" s="737" t="s">
        <v>3847</v>
      </c>
      <c r="C699" s="737" t="s">
        <v>3848</v>
      </c>
      <c r="D699" s="738">
        <v>4088.5608000000002</v>
      </c>
      <c r="E699" s="738">
        <v>2347.9877999999999</v>
      </c>
      <c r="F699" s="738">
        <v>27277.6888</v>
      </c>
      <c r="G699" s="738">
        <v>558.70703795723489</v>
      </c>
    </row>
    <row r="700" spans="2:7" x14ac:dyDescent="0.25">
      <c r="B700" s="737" t="s">
        <v>3849</v>
      </c>
      <c r="C700" s="737" t="s">
        <v>3850</v>
      </c>
      <c r="D700" s="738">
        <v>4165.5425999999998</v>
      </c>
      <c r="E700" s="738">
        <v>2366.3984999999998</v>
      </c>
      <c r="F700" s="738">
        <v>28454.829399999999</v>
      </c>
      <c r="G700" s="738">
        <v>558.70703795723489</v>
      </c>
    </row>
    <row r="701" spans="2:7" x14ac:dyDescent="0.25">
      <c r="B701" s="737" t="s">
        <v>3851</v>
      </c>
      <c r="C701" s="737" t="s">
        <v>3852</v>
      </c>
      <c r="D701" s="738">
        <v>4111.8725000000004</v>
      </c>
      <c r="E701" s="738">
        <v>2448.8447000000001</v>
      </c>
      <c r="F701" s="738">
        <v>26587.928199999998</v>
      </c>
      <c r="G701" s="738">
        <v>558.70703795723489</v>
      </c>
    </row>
    <row r="702" spans="2:7" x14ac:dyDescent="0.25">
      <c r="B702" s="737" t="s">
        <v>3853</v>
      </c>
      <c r="C702" s="737" t="s">
        <v>3854</v>
      </c>
      <c r="D702" s="738">
        <v>4062.7975000000001</v>
      </c>
      <c r="E702" s="738">
        <v>2345.3249999999998</v>
      </c>
      <c r="F702" s="738">
        <v>26752.747500000001</v>
      </c>
      <c r="G702" s="738">
        <v>558.70703795723489</v>
      </c>
    </row>
    <row r="703" spans="2:7" x14ac:dyDescent="0.25">
      <c r="B703" s="737" t="s">
        <v>3855</v>
      </c>
      <c r="C703" s="737" t="s">
        <v>3856</v>
      </c>
      <c r="D703" s="738">
        <v>4005.8335999999999</v>
      </c>
      <c r="E703" s="738">
        <v>2267.0639999999999</v>
      </c>
      <c r="F703" s="738">
        <v>26507.0903</v>
      </c>
      <c r="G703" s="738">
        <v>558.70703795723489</v>
      </c>
    </row>
    <row r="704" spans="2:7" x14ac:dyDescent="0.25">
      <c r="B704" s="737" t="s">
        <v>3857</v>
      </c>
      <c r="C704" s="737" t="s">
        <v>3858</v>
      </c>
      <c r="D704" s="738">
        <v>4149.1018999999997</v>
      </c>
      <c r="E704" s="738">
        <v>2643.6473000000001</v>
      </c>
      <c r="F704" s="738">
        <v>25361.7248</v>
      </c>
      <c r="G704" s="738">
        <v>558.70703795723489</v>
      </c>
    </row>
    <row r="705" spans="2:7" x14ac:dyDescent="0.25">
      <c r="B705" s="737" t="s">
        <v>3859</v>
      </c>
      <c r="C705" s="737" t="s">
        <v>3860</v>
      </c>
      <c r="D705" s="738">
        <v>4319.9053000000004</v>
      </c>
      <c r="E705" s="738">
        <v>2774.6983</v>
      </c>
      <c r="F705" s="738">
        <v>27112.493299999998</v>
      </c>
      <c r="G705" s="738">
        <v>558.70703795723489</v>
      </c>
    </row>
    <row r="706" spans="2:7" x14ac:dyDescent="0.25">
      <c r="B706" s="737" t="s">
        <v>3861</v>
      </c>
      <c r="C706" s="737" t="s">
        <v>3862</v>
      </c>
      <c r="D706" s="738">
        <v>4397.1531999999997</v>
      </c>
      <c r="E706" s="738">
        <v>2711.2689</v>
      </c>
      <c r="F706" s="738">
        <v>29165.3786</v>
      </c>
      <c r="G706" s="738">
        <v>558.70703795723489</v>
      </c>
    </row>
    <row r="707" spans="2:7" x14ac:dyDescent="0.25">
      <c r="B707" s="737" t="s">
        <v>3863</v>
      </c>
      <c r="C707" s="737" t="s">
        <v>3864</v>
      </c>
      <c r="D707" s="738">
        <v>4223.9066999999995</v>
      </c>
      <c r="E707" s="738">
        <v>2641.8854000000001</v>
      </c>
      <c r="F707" s="738">
        <v>26757.158599999999</v>
      </c>
      <c r="G707" s="738">
        <v>558.70703795723489</v>
      </c>
    </row>
    <row r="708" spans="2:7" x14ac:dyDescent="0.25">
      <c r="B708" s="737" t="s">
        <v>3865</v>
      </c>
      <c r="C708" s="737" t="s">
        <v>3866</v>
      </c>
      <c r="D708" s="738">
        <v>4303.4503000000004</v>
      </c>
      <c r="E708" s="738">
        <v>2778.3957999999998</v>
      </c>
      <c r="F708" s="738">
        <v>26789.334200000001</v>
      </c>
      <c r="G708" s="738">
        <v>558.70703795723489</v>
      </c>
    </row>
    <row r="709" spans="2:7" x14ac:dyDescent="0.25">
      <c r="B709" s="737" t="s">
        <v>3867</v>
      </c>
      <c r="C709" s="737" t="s">
        <v>3868</v>
      </c>
      <c r="D709" s="738">
        <v>4138.2848999999997</v>
      </c>
      <c r="E709" s="738">
        <v>2511.4485</v>
      </c>
      <c r="F709" s="738">
        <v>26520.249299999999</v>
      </c>
      <c r="G709" s="738">
        <v>558.70703795723489</v>
      </c>
    </row>
    <row r="710" spans="2:7" x14ac:dyDescent="0.25">
      <c r="B710" s="737" t="s">
        <v>3869</v>
      </c>
      <c r="C710" s="737" t="s">
        <v>3870</v>
      </c>
      <c r="D710" s="738">
        <v>4106.9551000000001</v>
      </c>
      <c r="E710" s="738">
        <v>2411.6313</v>
      </c>
      <c r="F710" s="738">
        <v>26976.086800000001</v>
      </c>
      <c r="G710" s="738">
        <v>558.70703795723489</v>
      </c>
    </row>
    <row r="711" spans="2:7" x14ac:dyDescent="0.25">
      <c r="B711" s="737" t="s">
        <v>3871</v>
      </c>
      <c r="C711" s="737" t="s">
        <v>3872</v>
      </c>
      <c r="D711" s="738">
        <v>4151.5775999999996</v>
      </c>
      <c r="E711" s="738">
        <v>2608.3218000000002</v>
      </c>
      <c r="F711" s="738">
        <v>25778.535599999999</v>
      </c>
      <c r="G711" s="738">
        <v>558.70703795723489</v>
      </c>
    </row>
    <row r="712" spans="2:7" x14ac:dyDescent="0.25">
      <c r="B712" s="737" t="s">
        <v>3873</v>
      </c>
      <c r="C712" s="737" t="s">
        <v>3874</v>
      </c>
      <c r="D712" s="738">
        <v>4717.6450000000004</v>
      </c>
      <c r="E712" s="738">
        <v>1866.2353000000001</v>
      </c>
      <c r="F712" s="738">
        <v>41762.326699999998</v>
      </c>
      <c r="G712" s="738">
        <v>610.82636803808782</v>
      </c>
    </row>
    <row r="713" spans="2:7" x14ac:dyDescent="0.25">
      <c r="B713" s="737" t="s">
        <v>3875</v>
      </c>
      <c r="C713" s="737" t="s">
        <v>3876</v>
      </c>
      <c r="D713" s="738">
        <v>4437.1144999999997</v>
      </c>
      <c r="E713" s="738">
        <v>1922.6515999999999</v>
      </c>
      <c r="F713" s="738">
        <v>35977.580300000001</v>
      </c>
      <c r="G713" s="738">
        <v>610.82636803808782</v>
      </c>
    </row>
    <row r="714" spans="2:7" x14ac:dyDescent="0.25">
      <c r="B714" s="737" t="s">
        <v>3877</v>
      </c>
      <c r="C714" s="737" t="s">
        <v>3878</v>
      </c>
      <c r="D714" s="738">
        <v>4157.5165999999999</v>
      </c>
      <c r="E714" s="738">
        <v>2149.6929</v>
      </c>
      <c r="F714" s="738">
        <v>28415.077799999999</v>
      </c>
      <c r="G714" s="738">
        <v>610.82636803808782</v>
      </c>
    </row>
    <row r="715" spans="2:7" x14ac:dyDescent="0.25">
      <c r="B715" s="737" t="s">
        <v>3879</v>
      </c>
      <c r="C715" s="737" t="s">
        <v>3880</v>
      </c>
      <c r="D715" s="738">
        <v>4258.5847000000003</v>
      </c>
      <c r="E715" s="738">
        <v>2219.8615</v>
      </c>
      <c r="F715" s="738">
        <v>29464.8789</v>
      </c>
      <c r="G715" s="738">
        <v>610.82636803808782</v>
      </c>
    </row>
    <row r="716" spans="2:7" x14ac:dyDescent="0.25">
      <c r="B716" s="737" t="s">
        <v>3881</v>
      </c>
      <c r="C716" s="737" t="s">
        <v>3882</v>
      </c>
      <c r="D716" s="738">
        <v>4172.6656000000003</v>
      </c>
      <c r="E716" s="738">
        <v>2124.3784999999998</v>
      </c>
      <c r="F716" s="738">
        <v>29005.1842</v>
      </c>
      <c r="G716" s="738">
        <v>610.82636803808782</v>
      </c>
    </row>
    <row r="717" spans="2:7" x14ac:dyDescent="0.25">
      <c r="B717" s="737" t="s">
        <v>3883</v>
      </c>
      <c r="C717" s="737" t="s">
        <v>3884</v>
      </c>
      <c r="D717" s="738">
        <v>4200.4085999999998</v>
      </c>
      <c r="E717" s="738">
        <v>2025.5802000000001</v>
      </c>
      <c r="F717" s="738">
        <v>30540.526300000001</v>
      </c>
      <c r="G717" s="738">
        <v>610.82636803808782</v>
      </c>
    </row>
    <row r="718" spans="2:7" x14ac:dyDescent="0.25">
      <c r="B718" s="737" t="s">
        <v>3885</v>
      </c>
      <c r="C718" s="737" t="s">
        <v>3886</v>
      </c>
      <c r="D718" s="738">
        <v>4113.2837</v>
      </c>
      <c r="E718" s="738">
        <v>2114.3461000000002</v>
      </c>
      <c r="F718" s="738">
        <v>30096.564399999999</v>
      </c>
      <c r="G718" s="738">
        <v>558.70703795723489</v>
      </c>
    </row>
    <row r="719" spans="2:7" x14ac:dyDescent="0.25">
      <c r="B719" s="737" t="s">
        <v>3887</v>
      </c>
      <c r="C719" s="737" t="s">
        <v>3888</v>
      </c>
      <c r="D719" s="738">
        <v>4192.5195000000003</v>
      </c>
      <c r="E719" s="738">
        <v>2333.5962</v>
      </c>
      <c r="F719" s="738">
        <v>29295.3832</v>
      </c>
      <c r="G719" s="738">
        <v>558.70703795723489</v>
      </c>
    </row>
    <row r="720" spans="2:7" x14ac:dyDescent="0.25">
      <c r="B720" s="737" t="s">
        <v>3889</v>
      </c>
      <c r="C720" s="737" t="s">
        <v>3890</v>
      </c>
      <c r="D720" s="738">
        <v>4315.9703</v>
      </c>
      <c r="E720" s="738">
        <v>1967.5307</v>
      </c>
      <c r="F720" s="738">
        <v>33321.929300000003</v>
      </c>
      <c r="G720" s="738">
        <v>610.82636803808782</v>
      </c>
    </row>
    <row r="721" spans="2:7" x14ac:dyDescent="0.25">
      <c r="B721" s="737" t="s">
        <v>3891</v>
      </c>
      <c r="C721" s="737" t="s">
        <v>3892</v>
      </c>
      <c r="D721" s="738">
        <v>4344.4148999999998</v>
      </c>
      <c r="E721" s="738">
        <v>1981.0922</v>
      </c>
      <c r="F721" s="738">
        <v>33676.483500000002</v>
      </c>
      <c r="G721" s="738">
        <v>610.82636803808782</v>
      </c>
    </row>
    <row r="722" spans="2:7" x14ac:dyDescent="0.25">
      <c r="B722" s="737" t="s">
        <v>3893</v>
      </c>
      <c r="C722" s="737" t="s">
        <v>3894</v>
      </c>
      <c r="D722" s="738">
        <v>4239.2093999999997</v>
      </c>
      <c r="E722" s="738">
        <v>1945.4742000000001</v>
      </c>
      <c r="F722" s="738">
        <v>32158.228800000001</v>
      </c>
      <c r="G722" s="738">
        <v>610.82636803808782</v>
      </c>
    </row>
    <row r="723" spans="2:7" x14ac:dyDescent="0.25">
      <c r="B723" s="737" t="s">
        <v>3895</v>
      </c>
      <c r="C723" s="737" t="s">
        <v>3896</v>
      </c>
      <c r="D723" s="738">
        <v>5087.8118000000004</v>
      </c>
      <c r="E723" s="738">
        <v>1784.7455</v>
      </c>
      <c r="F723" s="738">
        <v>49257.199800000002</v>
      </c>
      <c r="G723" s="738">
        <v>610.82636803808782</v>
      </c>
    </row>
    <row r="724" spans="2:7" x14ac:dyDescent="0.25">
      <c r="B724" s="737" t="s">
        <v>3897</v>
      </c>
      <c r="C724" s="737" t="s">
        <v>3898</v>
      </c>
      <c r="D724" s="738">
        <v>4633.9816000000001</v>
      </c>
      <c r="E724" s="738">
        <v>1917.145</v>
      </c>
      <c r="F724" s="738">
        <v>39584.650099999999</v>
      </c>
      <c r="G724" s="738">
        <v>610.82636803808782</v>
      </c>
    </row>
    <row r="725" spans="2:7" x14ac:dyDescent="0.25">
      <c r="B725" s="737" t="s">
        <v>3899</v>
      </c>
      <c r="C725" s="737" t="s">
        <v>3900</v>
      </c>
      <c r="D725" s="738">
        <v>4727.0034999999998</v>
      </c>
      <c r="E725" s="738">
        <v>1858.3581999999999</v>
      </c>
      <c r="F725" s="738">
        <v>41927.912499999999</v>
      </c>
      <c r="G725" s="738">
        <v>610.82636803808782</v>
      </c>
    </row>
    <row r="726" spans="2:7" x14ac:dyDescent="0.25">
      <c r="B726" s="737" t="s">
        <v>3901</v>
      </c>
      <c r="C726" s="737" t="s">
        <v>3902</v>
      </c>
      <c r="D726" s="738">
        <v>4914.9278999999997</v>
      </c>
      <c r="E726" s="738">
        <v>1838.1624999999999</v>
      </c>
      <c r="F726" s="738">
        <v>45455.450400000002</v>
      </c>
      <c r="G726" s="738">
        <v>610.82636803808782</v>
      </c>
    </row>
    <row r="727" spans="2:7" x14ac:dyDescent="0.25">
      <c r="B727" s="737" t="s">
        <v>3903</v>
      </c>
      <c r="C727" s="737" t="s">
        <v>3904</v>
      </c>
      <c r="D727" s="738">
        <v>4334.0819000000001</v>
      </c>
      <c r="E727" s="738">
        <v>2052.2593000000002</v>
      </c>
      <c r="F727" s="738">
        <v>32667.4329</v>
      </c>
      <c r="G727" s="738">
        <v>610.82636803808782</v>
      </c>
    </row>
    <row r="728" spans="2:7" x14ac:dyDescent="0.25">
      <c r="B728" s="737" t="s">
        <v>3905</v>
      </c>
      <c r="C728" s="737" t="s">
        <v>3906</v>
      </c>
      <c r="D728" s="738">
        <v>4260.5703999999996</v>
      </c>
      <c r="E728" s="738">
        <v>2051.2759000000001</v>
      </c>
      <c r="F728" s="738">
        <v>31362.395400000001</v>
      </c>
      <c r="G728" s="738">
        <v>610.82636803808782</v>
      </c>
    </row>
    <row r="729" spans="2:7" x14ac:dyDescent="0.25">
      <c r="B729" s="737" t="s">
        <v>3907</v>
      </c>
      <c r="C729" s="737" t="s">
        <v>3908</v>
      </c>
      <c r="D729" s="738">
        <v>4220.2052000000003</v>
      </c>
      <c r="E729" s="738">
        <v>1978.5218</v>
      </c>
      <c r="F729" s="738">
        <v>31490.9872</v>
      </c>
      <c r="G729" s="738">
        <v>610.82636803808782</v>
      </c>
    </row>
    <row r="730" spans="2:7" x14ac:dyDescent="0.25">
      <c r="B730" s="737" t="s">
        <v>3909</v>
      </c>
      <c r="C730" s="737" t="s">
        <v>3910</v>
      </c>
      <c r="D730" s="738">
        <v>3692.7321999999999</v>
      </c>
      <c r="E730" s="738">
        <v>2130.9155000000001</v>
      </c>
      <c r="F730" s="738">
        <v>32248.1446</v>
      </c>
      <c r="G730" s="738">
        <v>306.55245831338061</v>
      </c>
    </row>
    <row r="731" spans="2:7" x14ac:dyDescent="0.25">
      <c r="B731" s="737" t="s">
        <v>3911</v>
      </c>
      <c r="C731" s="737" t="s">
        <v>3912</v>
      </c>
      <c r="D731" s="738">
        <v>3630.2581</v>
      </c>
      <c r="E731" s="738">
        <v>2335.8714</v>
      </c>
      <c r="F731" s="738">
        <v>29950.919099999999</v>
      </c>
      <c r="G731" s="738">
        <v>306.55245831338061</v>
      </c>
    </row>
    <row r="732" spans="2:7" x14ac:dyDescent="0.25">
      <c r="B732" s="737" t="s">
        <v>3913</v>
      </c>
      <c r="C732" s="737" t="s">
        <v>3914</v>
      </c>
      <c r="D732" s="738">
        <v>3241.3586</v>
      </c>
      <c r="E732" s="738">
        <v>2583.5558000000001</v>
      </c>
      <c r="F732" s="738">
        <v>21582.604899999998</v>
      </c>
      <c r="G732" s="738">
        <v>306.55245831338061</v>
      </c>
    </row>
    <row r="733" spans="2:7" x14ac:dyDescent="0.25">
      <c r="B733" s="737" t="s">
        <v>3915</v>
      </c>
      <c r="C733" s="737" t="s">
        <v>3916</v>
      </c>
      <c r="D733" s="738">
        <v>3680.4079000000002</v>
      </c>
      <c r="E733" s="738">
        <v>2050.4063000000001</v>
      </c>
      <c r="F733" s="738">
        <v>32503.602599999998</v>
      </c>
      <c r="G733" s="738">
        <v>306.55245831338061</v>
      </c>
    </row>
    <row r="734" spans="2:7" x14ac:dyDescent="0.25">
      <c r="B734" s="737" t="s">
        <v>3917</v>
      </c>
      <c r="C734" s="737" t="s">
        <v>3918</v>
      </c>
      <c r="D734" s="738">
        <v>4223.5944</v>
      </c>
      <c r="E734" s="738">
        <v>1880.7782</v>
      </c>
      <c r="F734" s="738">
        <v>43224.303200000002</v>
      </c>
      <c r="G734" s="738">
        <v>306.55245831338061</v>
      </c>
    </row>
    <row r="735" spans="2:7" x14ac:dyDescent="0.25">
      <c r="B735" s="737" t="s">
        <v>3919</v>
      </c>
      <c r="C735" s="737" t="s">
        <v>3920</v>
      </c>
      <c r="D735" s="738">
        <v>4220.4087</v>
      </c>
      <c r="E735" s="738">
        <v>2123.5610000000001</v>
      </c>
      <c r="F735" s="738">
        <v>29853.0232</v>
      </c>
      <c r="G735" s="738">
        <v>610.82636803808782</v>
      </c>
    </row>
    <row r="736" spans="2:7" x14ac:dyDescent="0.25">
      <c r="B736" s="737" t="s">
        <v>3921</v>
      </c>
      <c r="C736" s="737" t="s">
        <v>3922</v>
      </c>
      <c r="D736" s="738">
        <v>4326.9224999999997</v>
      </c>
      <c r="E736" s="738">
        <v>2049.3996000000002</v>
      </c>
      <c r="F736" s="738">
        <v>32584.8714</v>
      </c>
      <c r="G736" s="738">
        <v>610.82636803808782</v>
      </c>
    </row>
    <row r="737" spans="2:7" x14ac:dyDescent="0.25">
      <c r="B737" s="737" t="s">
        <v>3923</v>
      </c>
      <c r="C737" s="737" t="s">
        <v>3924</v>
      </c>
      <c r="D737" s="738">
        <v>4368.2826999999997</v>
      </c>
      <c r="E737" s="738">
        <v>2094.2815000000001</v>
      </c>
      <c r="F737" s="738">
        <v>32820.243999999999</v>
      </c>
      <c r="G737" s="738">
        <v>610.82636803808782</v>
      </c>
    </row>
    <row r="738" spans="2:7" x14ac:dyDescent="0.25">
      <c r="B738" s="737" t="s">
        <v>3925</v>
      </c>
      <c r="C738" s="737" t="s">
        <v>3926</v>
      </c>
      <c r="D738" s="738">
        <v>4369.4233999999997</v>
      </c>
      <c r="E738" s="738">
        <v>1962.2544</v>
      </c>
      <c r="F738" s="738">
        <v>34195.818700000003</v>
      </c>
      <c r="G738" s="738">
        <v>610.82636803808782</v>
      </c>
    </row>
    <row r="739" spans="2:7" x14ac:dyDescent="0.25">
      <c r="B739" s="737" t="s">
        <v>3927</v>
      </c>
      <c r="C739" s="737" t="s">
        <v>3928</v>
      </c>
      <c r="D739" s="738">
        <v>4387.6931000000004</v>
      </c>
      <c r="E739" s="738">
        <v>1954.8344999999999</v>
      </c>
      <c r="F739" s="738">
        <v>34651.332699999999</v>
      </c>
      <c r="G739" s="738">
        <v>610.82636803808782</v>
      </c>
    </row>
    <row r="740" spans="2:7" x14ac:dyDescent="0.25">
      <c r="B740" s="737" t="s">
        <v>3929</v>
      </c>
      <c r="C740" s="737" t="s">
        <v>3930</v>
      </c>
      <c r="D740" s="738">
        <v>3561.1396</v>
      </c>
      <c r="E740" s="738">
        <v>2176.9688999999998</v>
      </c>
      <c r="F740" s="738">
        <v>29613.022199999999</v>
      </c>
      <c r="G740" s="738">
        <v>306.55245831338061</v>
      </c>
    </row>
    <row r="741" spans="2:7" x14ac:dyDescent="0.25">
      <c r="B741" s="737" t="s">
        <v>3931</v>
      </c>
      <c r="C741" s="737" t="s">
        <v>3932</v>
      </c>
      <c r="D741" s="738">
        <v>3648.8996999999999</v>
      </c>
      <c r="E741" s="738">
        <v>2053.3285999999998</v>
      </c>
      <c r="F741" s="738">
        <v>31890.217700000001</v>
      </c>
      <c r="G741" s="738">
        <v>306.55245831338061</v>
      </c>
    </row>
    <row r="742" spans="2:7" x14ac:dyDescent="0.25">
      <c r="B742" s="737" t="s">
        <v>3933</v>
      </c>
      <c r="C742" s="737" t="s">
        <v>3934</v>
      </c>
      <c r="D742" s="738">
        <v>3365.3724000000002</v>
      </c>
      <c r="E742" s="738">
        <v>2326.9427999999998</v>
      </c>
      <c r="F742" s="738">
        <v>28227.909500000002</v>
      </c>
      <c r="G742" s="738">
        <v>237.61611909057012</v>
      </c>
    </row>
    <row r="743" spans="2:7" x14ac:dyDescent="0.25">
      <c r="B743" s="737" t="s">
        <v>3935</v>
      </c>
      <c r="C743" s="737" t="s">
        <v>3936</v>
      </c>
      <c r="D743" s="738">
        <v>2650.8510000000001</v>
      </c>
      <c r="E743" s="738">
        <v>2158.7328000000002</v>
      </c>
      <c r="F743" s="738">
        <v>16058.9038</v>
      </c>
      <c r="G743" s="738">
        <v>237.61611909057012</v>
      </c>
    </row>
    <row r="744" spans="2:7" x14ac:dyDescent="0.25">
      <c r="B744" s="737" t="s">
        <v>3937</v>
      </c>
      <c r="C744" s="737" t="s">
        <v>3938</v>
      </c>
      <c r="D744" s="738">
        <v>2691.1061</v>
      </c>
      <c r="E744" s="738">
        <v>2107.4439000000002</v>
      </c>
      <c r="F744" s="738">
        <v>17010.208500000001</v>
      </c>
      <c r="G744" s="738">
        <v>237.61611909057012</v>
      </c>
    </row>
    <row r="745" spans="2:7" x14ac:dyDescent="0.25">
      <c r="B745" s="737" t="s">
        <v>3939</v>
      </c>
      <c r="C745" s="737" t="s">
        <v>3940</v>
      </c>
      <c r="D745" s="738">
        <v>2727.5880999999999</v>
      </c>
      <c r="E745" s="738">
        <v>2208.8341999999998</v>
      </c>
      <c r="F745" s="738">
        <v>17232.130799999999</v>
      </c>
      <c r="G745" s="738">
        <v>237.61611909057012</v>
      </c>
    </row>
    <row r="746" spans="2:7" x14ac:dyDescent="0.25">
      <c r="B746" s="737" t="s">
        <v>3941</v>
      </c>
      <c r="C746" s="737" t="s">
        <v>3942</v>
      </c>
      <c r="D746" s="738">
        <v>2689.0396000000001</v>
      </c>
      <c r="E746" s="738">
        <v>2182.2865000000002</v>
      </c>
      <c r="F746" s="738">
        <v>16650.7137</v>
      </c>
      <c r="G746" s="738">
        <v>237.61611909057012</v>
      </c>
    </row>
    <row r="747" spans="2:7" x14ac:dyDescent="0.25">
      <c r="B747" s="737" t="s">
        <v>3943</v>
      </c>
      <c r="C747" s="737" t="s">
        <v>3944</v>
      </c>
      <c r="D747" s="738">
        <v>2703.9020999999998</v>
      </c>
      <c r="E747" s="738">
        <v>2159.1837</v>
      </c>
      <c r="F747" s="738">
        <v>17021.496200000001</v>
      </c>
      <c r="G747" s="738">
        <v>237.61611909057012</v>
      </c>
    </row>
    <row r="748" spans="2:7" x14ac:dyDescent="0.25">
      <c r="B748" s="737" t="s">
        <v>3945</v>
      </c>
      <c r="C748" s="737" t="s">
        <v>3946</v>
      </c>
      <c r="D748" s="738">
        <v>3740.8627999999999</v>
      </c>
      <c r="E748" s="738">
        <v>2122.5495999999998</v>
      </c>
      <c r="F748" s="738">
        <v>33190.453999999998</v>
      </c>
      <c r="G748" s="738">
        <v>306.55245831338061</v>
      </c>
    </row>
    <row r="749" spans="2:7" x14ac:dyDescent="0.25">
      <c r="B749" s="737" t="s">
        <v>3947</v>
      </c>
      <c r="C749" s="737" t="s">
        <v>3948</v>
      </c>
      <c r="D749" s="738">
        <v>3996.8732</v>
      </c>
      <c r="E749" s="738">
        <v>1960.5263</v>
      </c>
      <c r="F749" s="738">
        <v>38710.369899999998</v>
      </c>
      <c r="G749" s="738">
        <v>306.55245831338061</v>
      </c>
    </row>
    <row r="750" spans="2:7" x14ac:dyDescent="0.25">
      <c r="B750" s="737" t="s">
        <v>3949</v>
      </c>
      <c r="C750" s="737" t="s">
        <v>3950</v>
      </c>
      <c r="D750" s="738">
        <v>3606.6289999999999</v>
      </c>
      <c r="E750" s="738">
        <v>2086.9396999999999</v>
      </c>
      <c r="F750" s="738">
        <v>30970.019400000001</v>
      </c>
      <c r="G750" s="738">
        <v>306.55245831338061</v>
      </c>
    </row>
    <row r="751" spans="2:7" x14ac:dyDescent="0.25">
      <c r="B751" s="737" t="s">
        <v>3951</v>
      </c>
      <c r="C751" s="737" t="s">
        <v>3952</v>
      </c>
      <c r="D751" s="738">
        <v>3587.4722999999999</v>
      </c>
      <c r="E751" s="738">
        <v>2149.3748000000001</v>
      </c>
      <c r="F751" s="738">
        <v>30249.251799999998</v>
      </c>
      <c r="G751" s="738">
        <v>306.55245831338061</v>
      </c>
    </row>
    <row r="752" spans="2:7" x14ac:dyDescent="0.25">
      <c r="B752" s="737" t="s">
        <v>3953</v>
      </c>
      <c r="C752" s="737" t="s">
        <v>3954</v>
      </c>
      <c r="D752" s="738">
        <v>2700.2017999999998</v>
      </c>
      <c r="E752" s="738">
        <v>1911.5658000000001</v>
      </c>
      <c r="F752" s="738">
        <v>18022.735199999999</v>
      </c>
      <c r="G752" s="738">
        <v>237.61611909057012</v>
      </c>
    </row>
    <row r="753" spans="2:7" x14ac:dyDescent="0.25">
      <c r="B753" s="737" t="s">
        <v>3955</v>
      </c>
      <c r="C753" s="737" t="s">
        <v>3956</v>
      </c>
      <c r="D753" s="738">
        <v>2688.8415</v>
      </c>
      <c r="E753" s="738">
        <v>1929.3395</v>
      </c>
      <c r="F753" s="738">
        <v>17745.290099999998</v>
      </c>
      <c r="G753" s="738">
        <v>237.61611909057012</v>
      </c>
    </row>
    <row r="754" spans="2:7" x14ac:dyDescent="0.25">
      <c r="B754" s="737" t="s">
        <v>3957</v>
      </c>
      <c r="C754" s="737" t="s">
        <v>3958</v>
      </c>
      <c r="D754" s="738">
        <v>2653.2289999999998</v>
      </c>
      <c r="E754" s="738">
        <v>2119.9373999999998</v>
      </c>
      <c r="F754" s="738">
        <v>16273.0216</v>
      </c>
      <c r="G754" s="738">
        <v>237.61611909057012</v>
      </c>
    </row>
    <row r="755" spans="2:7" x14ac:dyDescent="0.25">
      <c r="B755" s="737" t="s">
        <v>3959</v>
      </c>
      <c r="C755" s="737" t="s">
        <v>3960</v>
      </c>
      <c r="D755" s="738">
        <v>2590.1084000000001</v>
      </c>
      <c r="E755" s="738">
        <v>2088.0147000000002</v>
      </c>
      <c r="F755" s="738">
        <v>15269.2745</v>
      </c>
      <c r="G755" s="738">
        <v>237.61611909057012</v>
      </c>
    </row>
    <row r="756" spans="2:7" x14ac:dyDescent="0.25">
      <c r="B756" s="737" t="s">
        <v>3961</v>
      </c>
      <c r="C756" s="737" t="s">
        <v>3962</v>
      </c>
      <c r="D756" s="738">
        <v>2716.0569999999998</v>
      </c>
      <c r="E756" s="738">
        <v>1967.2170000000001</v>
      </c>
      <c r="F756" s="738">
        <v>18064.7994</v>
      </c>
      <c r="G756" s="738">
        <v>237.61611909057012</v>
      </c>
    </row>
    <row r="757" spans="2:7" x14ac:dyDescent="0.25">
      <c r="B757" s="737" t="s">
        <v>3963</v>
      </c>
      <c r="C757" s="737" t="s">
        <v>3964</v>
      </c>
      <c r="D757" s="738">
        <v>2653.2707</v>
      </c>
      <c r="E757" s="738">
        <v>1987.5617999999999</v>
      </c>
      <c r="F757" s="738">
        <v>16853.746999999999</v>
      </c>
      <c r="G757" s="738">
        <v>237.61611909057012</v>
      </c>
    </row>
    <row r="758" spans="2:7" x14ac:dyDescent="0.25">
      <c r="B758" s="737" t="s">
        <v>3965</v>
      </c>
      <c r="C758" s="737" t="s">
        <v>3966</v>
      </c>
      <c r="D758" s="738">
        <v>2643.7534999999998</v>
      </c>
      <c r="E758" s="738">
        <v>2045.8185000000001</v>
      </c>
      <c r="F758" s="738">
        <v>16428.629499999999</v>
      </c>
      <c r="G758" s="738">
        <v>237.61611909057012</v>
      </c>
    </row>
    <row r="759" spans="2:7" x14ac:dyDescent="0.25">
      <c r="B759" s="737" t="s">
        <v>3967</v>
      </c>
      <c r="C759" s="737" t="s">
        <v>3968</v>
      </c>
      <c r="D759" s="738">
        <v>2606.855</v>
      </c>
      <c r="E759" s="738">
        <v>1945.2583999999999</v>
      </c>
      <c r="F759" s="738">
        <v>16191.424300000001</v>
      </c>
      <c r="G759" s="738">
        <v>237.61611909057012</v>
      </c>
    </row>
    <row r="760" spans="2:7" x14ac:dyDescent="0.25">
      <c r="B760" s="737" t="s">
        <v>3969</v>
      </c>
      <c r="C760" s="737" t="s">
        <v>3970</v>
      </c>
      <c r="D760" s="738">
        <v>2611.5061999999998</v>
      </c>
      <c r="E760" s="738">
        <v>1894.6679999999999</v>
      </c>
      <c r="F760" s="738">
        <v>16497.820299999999</v>
      </c>
      <c r="G760" s="738">
        <v>237.61611909057012</v>
      </c>
    </row>
    <row r="761" spans="2:7" x14ac:dyDescent="0.25">
      <c r="B761" s="737" t="s">
        <v>3971</v>
      </c>
      <c r="C761" s="737" t="s">
        <v>3972</v>
      </c>
      <c r="D761" s="738">
        <v>2634.1792</v>
      </c>
      <c r="E761" s="738">
        <v>1992.2385999999999</v>
      </c>
      <c r="F761" s="738">
        <v>16486.211200000002</v>
      </c>
      <c r="G761" s="738">
        <v>237.61611909057012</v>
      </c>
    </row>
    <row r="762" spans="2:7" x14ac:dyDescent="0.25">
      <c r="B762" s="737" t="s">
        <v>3973</v>
      </c>
      <c r="C762" s="737" t="s">
        <v>3974</v>
      </c>
      <c r="D762" s="738">
        <v>2742.6705000000002</v>
      </c>
      <c r="E762" s="738">
        <v>1995.9626000000001</v>
      </c>
      <c r="F762" s="738">
        <v>18427.337599999999</v>
      </c>
      <c r="G762" s="738">
        <v>237.61611909057012</v>
      </c>
    </row>
    <row r="763" spans="2:7" x14ac:dyDescent="0.25">
      <c r="B763" s="737" t="s">
        <v>3975</v>
      </c>
      <c r="C763" s="737" t="s">
        <v>3976</v>
      </c>
      <c r="D763" s="738">
        <v>2718.3834000000002</v>
      </c>
      <c r="E763" s="738">
        <v>1989.3368</v>
      </c>
      <c r="F763" s="738">
        <v>18019.642400000001</v>
      </c>
      <c r="G763" s="738">
        <v>237.61611909057012</v>
      </c>
    </row>
    <row r="764" spans="2:7" x14ac:dyDescent="0.25">
      <c r="B764" s="737" t="s">
        <v>3977</v>
      </c>
      <c r="C764" s="737" t="s">
        <v>3978</v>
      </c>
      <c r="D764" s="738">
        <v>3528.0605</v>
      </c>
      <c r="E764" s="738">
        <v>2408.4382999999998</v>
      </c>
      <c r="F764" s="738">
        <v>26136.794000000002</v>
      </c>
      <c r="G764" s="738">
        <v>343.33840427704536</v>
      </c>
    </row>
    <row r="765" spans="2:7" x14ac:dyDescent="0.25">
      <c r="B765" s="737" t="s">
        <v>3979</v>
      </c>
      <c r="C765" s="737" t="s">
        <v>3980</v>
      </c>
      <c r="D765" s="738">
        <v>3413.1990999999998</v>
      </c>
      <c r="E765" s="738">
        <v>2212.7728999999999</v>
      </c>
      <c r="F765" s="738">
        <v>25275.6639</v>
      </c>
      <c r="G765" s="738">
        <v>343.33840427704536</v>
      </c>
    </row>
    <row r="766" spans="2:7" x14ac:dyDescent="0.25">
      <c r="B766" s="737" t="s">
        <v>3981</v>
      </c>
      <c r="C766" s="737" t="s">
        <v>3982</v>
      </c>
      <c r="D766" s="738">
        <v>3500.8287</v>
      </c>
      <c r="E766" s="738">
        <v>2287.4776000000002</v>
      </c>
      <c r="F766" s="738">
        <v>30223.847000000002</v>
      </c>
      <c r="G766" s="738">
        <v>251.58092376863095</v>
      </c>
    </row>
    <row r="767" spans="2:7" x14ac:dyDescent="0.25">
      <c r="B767" s="737" t="s">
        <v>3983</v>
      </c>
      <c r="C767" s="737" t="s">
        <v>3984</v>
      </c>
      <c r="D767" s="738">
        <v>3329.9783000000002</v>
      </c>
      <c r="E767" s="738">
        <v>2468.5776999999998</v>
      </c>
      <c r="F767" s="738">
        <v>24839.195199999998</v>
      </c>
      <c r="G767" s="738">
        <v>285.05644083710104</v>
      </c>
    </row>
    <row r="768" spans="2:7" x14ac:dyDescent="0.25">
      <c r="B768" s="737" t="s">
        <v>3985</v>
      </c>
      <c r="C768" s="737" t="s">
        <v>3986</v>
      </c>
      <c r="D768" s="738">
        <v>3382.049</v>
      </c>
      <c r="E768" s="738">
        <v>2438.6052</v>
      </c>
      <c r="F768" s="738">
        <v>25932.816599999998</v>
      </c>
      <c r="G768" s="738">
        <v>285.05644083710104</v>
      </c>
    </row>
    <row r="769" spans="2:7" x14ac:dyDescent="0.25">
      <c r="B769" s="737" t="s">
        <v>3987</v>
      </c>
      <c r="C769" s="737" t="s">
        <v>3988</v>
      </c>
      <c r="D769" s="738">
        <v>4129.2919000000002</v>
      </c>
      <c r="E769" s="738">
        <v>2496.7217000000001</v>
      </c>
      <c r="F769" s="738">
        <v>26053.4938</v>
      </c>
      <c r="G769" s="738">
        <v>568.95265014299628</v>
      </c>
    </row>
    <row r="770" spans="2:7" x14ac:dyDescent="0.25">
      <c r="B770" s="737" t="s">
        <v>3989</v>
      </c>
      <c r="C770" s="737" t="s">
        <v>3990</v>
      </c>
      <c r="D770" s="738">
        <v>3106.4598000000001</v>
      </c>
      <c r="E770" s="738">
        <v>2336.4731999999999</v>
      </c>
      <c r="F770" s="738">
        <v>28564.2834</v>
      </c>
      <c r="G770" s="738">
        <v>121.0727592381094</v>
      </c>
    </row>
    <row r="771" spans="2:7" x14ac:dyDescent="0.25">
      <c r="B771" s="737" t="s">
        <v>3991</v>
      </c>
      <c r="C771" s="737" t="s">
        <v>3992</v>
      </c>
      <c r="D771" s="738">
        <v>3481.9104000000002</v>
      </c>
      <c r="E771" s="738">
        <v>2282.8753000000002</v>
      </c>
      <c r="F771" s="738">
        <v>28540.036199999999</v>
      </c>
      <c r="G771" s="738">
        <v>285.05644083710104</v>
      </c>
    </row>
    <row r="772" spans="2:7" x14ac:dyDescent="0.25">
      <c r="B772" s="737" t="s">
        <v>3993</v>
      </c>
      <c r="C772" s="737" t="s">
        <v>3994</v>
      </c>
      <c r="D772" s="738">
        <v>3126.2478999999998</v>
      </c>
      <c r="E772" s="738">
        <v>2237.1925000000001</v>
      </c>
      <c r="F772" s="738">
        <v>29132.276000000002</v>
      </c>
      <c r="G772" s="738">
        <v>121.0727592381094</v>
      </c>
    </row>
    <row r="773" spans="2:7" x14ac:dyDescent="0.25">
      <c r="B773" s="737" t="s">
        <v>3995</v>
      </c>
      <c r="C773" s="737" t="s">
        <v>3996</v>
      </c>
      <c r="D773" s="738">
        <v>3356.8582000000001</v>
      </c>
      <c r="E773" s="738">
        <v>2327.5637999999999</v>
      </c>
      <c r="F773" s="738">
        <v>27490.4375</v>
      </c>
      <c r="G773" s="738">
        <v>251.58092376863095</v>
      </c>
    </row>
    <row r="774" spans="2:7" x14ac:dyDescent="0.25">
      <c r="B774" s="737" t="s">
        <v>3997</v>
      </c>
      <c r="C774" s="737" t="s">
        <v>3998</v>
      </c>
      <c r="D774" s="738">
        <v>3340.1412</v>
      </c>
      <c r="E774" s="738">
        <v>2323.9443000000001</v>
      </c>
      <c r="F774" s="738">
        <v>27188.373500000002</v>
      </c>
      <c r="G774" s="738">
        <v>251.58092376863095</v>
      </c>
    </row>
    <row r="775" spans="2:7" x14ac:dyDescent="0.25">
      <c r="B775" s="737" t="s">
        <v>3999</v>
      </c>
      <c r="C775" s="737" t="s">
        <v>4000</v>
      </c>
      <c r="D775" s="738">
        <v>3340.4580000000001</v>
      </c>
      <c r="E775" s="738">
        <v>2295.3483000000001</v>
      </c>
      <c r="F775" s="738">
        <v>27330.8763</v>
      </c>
      <c r="G775" s="738">
        <v>251.58092376863095</v>
      </c>
    </row>
    <row r="776" spans="2:7" x14ac:dyDescent="0.25">
      <c r="B776" s="737" t="s">
        <v>4001</v>
      </c>
      <c r="C776" s="737" t="s">
        <v>4002</v>
      </c>
      <c r="D776" s="738">
        <v>3468.6109000000001</v>
      </c>
      <c r="E776" s="738">
        <v>2166.8195000000001</v>
      </c>
      <c r="F776" s="738">
        <v>30196.592400000001</v>
      </c>
      <c r="G776" s="738">
        <v>251.58092376863095</v>
      </c>
    </row>
    <row r="777" spans="2:7" x14ac:dyDescent="0.25">
      <c r="B777" s="737" t="s">
        <v>4003</v>
      </c>
      <c r="C777" s="737" t="s">
        <v>4004</v>
      </c>
      <c r="D777" s="738">
        <v>3293.8683999999998</v>
      </c>
      <c r="E777" s="738">
        <v>2275.9214000000002</v>
      </c>
      <c r="F777" s="738">
        <v>26548.121800000001</v>
      </c>
      <c r="G777" s="738">
        <v>251.58092376863095</v>
      </c>
    </row>
    <row r="778" spans="2:7" x14ac:dyDescent="0.25">
      <c r="B778" s="737" t="s">
        <v>4005</v>
      </c>
      <c r="C778" s="737" t="s">
        <v>4006</v>
      </c>
      <c r="D778" s="738">
        <v>3398.7691</v>
      </c>
      <c r="E778" s="738">
        <v>2319.4843000000001</v>
      </c>
      <c r="F778" s="738">
        <v>28290.494200000001</v>
      </c>
      <c r="G778" s="738">
        <v>251.58092376863095</v>
      </c>
    </row>
    <row r="779" spans="2:7" x14ac:dyDescent="0.25">
      <c r="B779" s="737" t="s">
        <v>4007</v>
      </c>
      <c r="C779" s="737" t="s">
        <v>4008</v>
      </c>
      <c r="D779" s="738">
        <v>3229.8766999999998</v>
      </c>
      <c r="E779" s="738">
        <v>2241.2305000000001</v>
      </c>
      <c r="F779" s="738">
        <v>25582.831099999999</v>
      </c>
      <c r="G779" s="738">
        <v>251.58092376863095</v>
      </c>
    </row>
    <row r="780" spans="2:7" x14ac:dyDescent="0.25">
      <c r="B780" s="737" t="s">
        <v>4009</v>
      </c>
      <c r="C780" s="737" t="s">
        <v>4010</v>
      </c>
      <c r="D780" s="738">
        <v>3331.0309000000002</v>
      </c>
      <c r="E780" s="738">
        <v>2240.1062999999999</v>
      </c>
      <c r="F780" s="738">
        <v>27419.1708</v>
      </c>
      <c r="G780" s="738">
        <v>251.58092376863095</v>
      </c>
    </row>
    <row r="781" spans="2:7" x14ac:dyDescent="0.25">
      <c r="B781" s="737" t="s">
        <v>4011</v>
      </c>
      <c r="C781" s="737" t="s">
        <v>4012</v>
      </c>
      <c r="D781" s="738">
        <v>3346.0554999999999</v>
      </c>
      <c r="E781" s="738">
        <v>2286.7972</v>
      </c>
      <c r="F781" s="738">
        <v>27482.639299999999</v>
      </c>
      <c r="G781" s="738">
        <v>251.58092376863095</v>
      </c>
    </row>
    <row r="782" spans="2:7" x14ac:dyDescent="0.25">
      <c r="B782" s="737" t="s">
        <v>4013</v>
      </c>
      <c r="C782" s="737" t="s">
        <v>4014</v>
      </c>
      <c r="D782" s="738">
        <v>3301.1415000000002</v>
      </c>
      <c r="E782" s="738">
        <v>2279.4128000000001</v>
      </c>
      <c r="F782" s="738">
        <v>26693.831699999999</v>
      </c>
      <c r="G782" s="738">
        <v>251.58092376863095</v>
      </c>
    </row>
    <row r="783" spans="2:7" x14ac:dyDescent="0.25">
      <c r="B783" s="737" t="s">
        <v>4015</v>
      </c>
      <c r="C783" s="737" t="s">
        <v>4016</v>
      </c>
      <c r="D783" s="738">
        <v>3301.1918999999998</v>
      </c>
      <c r="E783" s="738">
        <v>2253.5880999999999</v>
      </c>
      <c r="F783" s="738">
        <v>26825.376400000001</v>
      </c>
      <c r="G783" s="738">
        <v>251.58092376863095</v>
      </c>
    </row>
    <row r="784" spans="2:7" x14ac:dyDescent="0.25">
      <c r="B784" s="737" t="s">
        <v>4017</v>
      </c>
      <c r="C784" s="737" t="s">
        <v>4018</v>
      </c>
      <c r="D784" s="738">
        <v>3398.1531</v>
      </c>
      <c r="E784" s="738">
        <v>2281.3578000000002</v>
      </c>
      <c r="F784" s="738">
        <v>28444.167099999999</v>
      </c>
      <c r="G784" s="738">
        <v>251.58092376863095</v>
      </c>
    </row>
    <row r="785" spans="2:7" x14ac:dyDescent="0.25">
      <c r="B785" s="737" t="s">
        <v>4019</v>
      </c>
      <c r="C785" s="737" t="s">
        <v>4020</v>
      </c>
      <c r="D785" s="738">
        <v>3310.5970000000002</v>
      </c>
      <c r="E785" s="738">
        <v>2193.6459</v>
      </c>
      <c r="F785" s="738">
        <v>27219.800200000001</v>
      </c>
      <c r="G785" s="738">
        <v>251.58092376863095</v>
      </c>
    </row>
    <row r="786" spans="2:7" x14ac:dyDescent="0.25">
      <c r="B786" s="737" t="s">
        <v>4021</v>
      </c>
      <c r="C786" s="737" t="s">
        <v>4022</v>
      </c>
      <c r="D786" s="738">
        <v>3473.7183</v>
      </c>
      <c r="E786" s="738">
        <v>2139.1199000000001</v>
      </c>
      <c r="F786" s="738">
        <v>30463.2271</v>
      </c>
      <c r="G786" s="738">
        <v>251.58092376863095</v>
      </c>
    </row>
    <row r="787" spans="2:7" x14ac:dyDescent="0.25">
      <c r="B787" s="737" t="s">
        <v>4023</v>
      </c>
      <c r="C787" s="737" t="s">
        <v>4024</v>
      </c>
      <c r="D787" s="738">
        <v>3435.5461</v>
      </c>
      <c r="E787" s="738">
        <v>2265.8031000000001</v>
      </c>
      <c r="F787" s="738">
        <v>29195.3213</v>
      </c>
      <c r="G787" s="738">
        <v>251.58092376863095</v>
      </c>
    </row>
    <row r="788" spans="2:7" x14ac:dyDescent="0.25">
      <c r="B788" s="737" t="s">
        <v>4025</v>
      </c>
      <c r="C788" s="737" t="s">
        <v>4026</v>
      </c>
      <c r="D788" s="738">
        <v>3406.9189000000001</v>
      </c>
      <c r="E788" s="738">
        <v>2233.9701</v>
      </c>
      <c r="F788" s="738">
        <v>28811.621500000001</v>
      </c>
      <c r="G788" s="738">
        <v>251.58092376863095</v>
      </c>
    </row>
    <row r="789" spans="2:7" x14ac:dyDescent="0.25">
      <c r="B789" s="737" t="s">
        <v>4027</v>
      </c>
      <c r="C789" s="737" t="s">
        <v>4028</v>
      </c>
      <c r="D789" s="738">
        <v>3305.5544</v>
      </c>
      <c r="E789" s="738">
        <v>2221.8366000000001</v>
      </c>
      <c r="F789" s="738">
        <v>27033.812399999999</v>
      </c>
      <c r="G789" s="738">
        <v>251.58092376863095</v>
      </c>
    </row>
    <row r="790" spans="2:7" x14ac:dyDescent="0.25">
      <c r="B790" s="737" t="s">
        <v>4029</v>
      </c>
      <c r="C790" s="737" t="s">
        <v>4030</v>
      </c>
      <c r="D790" s="738">
        <v>3477.2910000000002</v>
      </c>
      <c r="E790" s="738">
        <v>2164.3391999999999</v>
      </c>
      <c r="F790" s="738">
        <v>30387.9728</v>
      </c>
      <c r="G790" s="738">
        <v>251.58092376863095</v>
      </c>
    </row>
    <row r="791" spans="2:7" x14ac:dyDescent="0.25">
      <c r="B791" s="737" t="s">
        <v>4031</v>
      </c>
      <c r="C791" s="737" t="s">
        <v>4032</v>
      </c>
      <c r="D791" s="738">
        <v>3365.5970000000002</v>
      </c>
      <c r="E791" s="738">
        <v>2216.3685</v>
      </c>
      <c r="F791" s="738">
        <v>28159.706200000001</v>
      </c>
      <c r="G791" s="738">
        <v>251.58092376863095</v>
      </c>
    </row>
    <row r="792" spans="2:7" x14ac:dyDescent="0.25">
      <c r="B792" s="737" t="s">
        <v>4033</v>
      </c>
      <c r="C792" s="737" t="s">
        <v>4034</v>
      </c>
      <c r="D792" s="738">
        <v>3576.5821000000001</v>
      </c>
      <c r="E792" s="738">
        <v>2103.9693000000002</v>
      </c>
      <c r="F792" s="738">
        <v>32483.885399999999</v>
      </c>
      <c r="G792" s="738">
        <v>251.58092376863095</v>
      </c>
    </row>
    <row r="793" spans="2:7" x14ac:dyDescent="0.25">
      <c r="B793" s="737" t="s">
        <v>4035</v>
      </c>
      <c r="C793" s="737" t="s">
        <v>4036</v>
      </c>
      <c r="D793" s="738">
        <v>3459.6705999999999</v>
      </c>
      <c r="E793" s="738">
        <v>2342.0990999999999</v>
      </c>
      <c r="F793" s="738">
        <v>29265.3207</v>
      </c>
      <c r="G793" s="738">
        <v>251.58092376863095</v>
      </c>
    </row>
    <row r="794" spans="2:7" x14ac:dyDescent="0.25">
      <c r="B794" s="737" t="s">
        <v>4037</v>
      </c>
      <c r="C794" s="737" t="s">
        <v>4038</v>
      </c>
      <c r="D794" s="738">
        <v>3581.1194999999998</v>
      </c>
      <c r="E794" s="738">
        <v>2487.6296000000002</v>
      </c>
      <c r="F794" s="738">
        <v>26602.217799999999</v>
      </c>
      <c r="G794" s="738">
        <v>343.33840427704536</v>
      </c>
    </row>
    <row r="795" spans="2:7" x14ac:dyDescent="0.25">
      <c r="B795" s="737" t="s">
        <v>4039</v>
      </c>
      <c r="C795" s="737" t="s">
        <v>4040</v>
      </c>
      <c r="D795" s="738">
        <v>3728.7584000000002</v>
      </c>
      <c r="E795" s="738">
        <v>2489.5551999999998</v>
      </c>
      <c r="F795" s="738">
        <v>29251.038499999999</v>
      </c>
      <c r="G795" s="738">
        <v>343.33840427704536</v>
      </c>
    </row>
    <row r="796" spans="2:7" x14ac:dyDescent="0.25">
      <c r="B796" s="737" t="s">
        <v>4041</v>
      </c>
      <c r="C796" s="737" t="s">
        <v>4042</v>
      </c>
      <c r="D796" s="738">
        <v>3506.2512999999999</v>
      </c>
      <c r="E796" s="738">
        <v>2387.5367000000001</v>
      </c>
      <c r="F796" s="738">
        <v>25866.8459</v>
      </c>
      <c r="G796" s="738">
        <v>343.33840427704536</v>
      </c>
    </row>
    <row r="797" spans="2:7" x14ac:dyDescent="0.25">
      <c r="B797" s="737" t="s">
        <v>4043</v>
      </c>
      <c r="C797" s="737" t="s">
        <v>4044</v>
      </c>
      <c r="D797" s="738">
        <v>4094.0075999999999</v>
      </c>
      <c r="E797" s="738">
        <v>2242.7339000000002</v>
      </c>
      <c r="F797" s="738">
        <v>28297.223999999998</v>
      </c>
      <c r="G797" s="738">
        <v>559.86250076040449</v>
      </c>
    </row>
    <row r="798" spans="2:7" x14ac:dyDescent="0.25">
      <c r="B798" s="737" t="s">
        <v>4045</v>
      </c>
      <c r="C798" s="737" t="s">
        <v>4046</v>
      </c>
      <c r="D798" s="738">
        <v>3620.2727</v>
      </c>
      <c r="E798" s="738">
        <v>2428.0191</v>
      </c>
      <c r="F798" s="738">
        <v>27675.5713</v>
      </c>
      <c r="G798" s="738">
        <v>343.33840427704536</v>
      </c>
    </row>
    <row r="799" spans="2:7" x14ac:dyDescent="0.25">
      <c r="B799" s="737" t="s">
        <v>4047</v>
      </c>
      <c r="C799" s="737" t="s">
        <v>4048</v>
      </c>
      <c r="D799" s="738">
        <v>3695.1932999999999</v>
      </c>
      <c r="E799" s="738">
        <v>2180.7512000000002</v>
      </c>
      <c r="F799" s="738">
        <v>30491.6659</v>
      </c>
      <c r="G799" s="738">
        <v>343.33840427704536</v>
      </c>
    </row>
    <row r="800" spans="2:7" x14ac:dyDescent="0.25">
      <c r="B800" s="737" t="s">
        <v>4049</v>
      </c>
      <c r="C800" s="737" t="s">
        <v>4050</v>
      </c>
      <c r="D800" s="738">
        <v>3731.8780999999999</v>
      </c>
      <c r="E800" s="738">
        <v>2105.4225000000001</v>
      </c>
      <c r="F800" s="738">
        <v>31646.925299999999</v>
      </c>
      <c r="G800" s="738">
        <v>343.33840427704536</v>
      </c>
    </row>
    <row r="801" spans="2:7" x14ac:dyDescent="0.25">
      <c r="B801" s="737" t="s">
        <v>4051</v>
      </c>
      <c r="C801" s="737" t="s">
        <v>4052</v>
      </c>
      <c r="D801" s="738">
        <v>3628.1284000000001</v>
      </c>
      <c r="E801" s="738">
        <v>2273.3699000000001</v>
      </c>
      <c r="F801" s="738">
        <v>28777.061699999998</v>
      </c>
      <c r="G801" s="738">
        <v>343.33840427704536</v>
      </c>
    </row>
    <row r="802" spans="2:7" x14ac:dyDescent="0.25">
      <c r="B802" s="737" t="s">
        <v>4053</v>
      </c>
      <c r="C802" s="737" t="s">
        <v>4054</v>
      </c>
      <c r="D802" s="738">
        <v>3733.7791999999999</v>
      </c>
      <c r="E802" s="738">
        <v>2215.8162000000002</v>
      </c>
      <c r="F802" s="738">
        <v>31019.429400000001</v>
      </c>
      <c r="G802" s="738">
        <v>343.33840427704536</v>
      </c>
    </row>
    <row r="803" spans="2:7" x14ac:dyDescent="0.25">
      <c r="B803" s="737" t="s">
        <v>4055</v>
      </c>
      <c r="C803" s="737" t="s">
        <v>4056</v>
      </c>
      <c r="D803" s="738">
        <v>3654.6359000000002</v>
      </c>
      <c r="E803" s="738">
        <v>2163.5976999999998</v>
      </c>
      <c r="F803" s="738">
        <v>29879.053800000002</v>
      </c>
      <c r="G803" s="738">
        <v>343.33840427704536</v>
      </c>
    </row>
    <row r="804" spans="2:7" x14ac:dyDescent="0.25">
      <c r="B804" s="737" t="s">
        <v>4057</v>
      </c>
      <c r="C804" s="737" t="s">
        <v>4058</v>
      </c>
      <c r="D804" s="738">
        <v>3645.2447999999999</v>
      </c>
      <c r="E804" s="738">
        <v>2202.8409999999999</v>
      </c>
      <c r="F804" s="738">
        <v>29521.463199999998</v>
      </c>
      <c r="G804" s="738">
        <v>343.33840427704536</v>
      </c>
    </row>
    <row r="805" spans="2:7" x14ac:dyDescent="0.25">
      <c r="B805" s="737" t="s">
        <v>4059</v>
      </c>
      <c r="C805" s="737" t="s">
        <v>4060</v>
      </c>
      <c r="D805" s="738">
        <v>3629.9810000000002</v>
      </c>
      <c r="E805" s="738">
        <v>2335.0077999999999</v>
      </c>
      <c r="F805" s="738">
        <v>28430.6433</v>
      </c>
      <c r="G805" s="738">
        <v>343.33840427704536</v>
      </c>
    </row>
    <row r="806" spans="2:7" x14ac:dyDescent="0.25">
      <c r="B806" s="737" t="s">
        <v>4061</v>
      </c>
      <c r="C806" s="737" t="s">
        <v>4062</v>
      </c>
      <c r="D806" s="738">
        <v>3272.7804000000001</v>
      </c>
      <c r="E806" s="738">
        <v>2107.0895</v>
      </c>
      <c r="F806" s="738">
        <v>32040.486700000001</v>
      </c>
      <c r="G806" s="738">
        <v>121.0727592381094</v>
      </c>
    </row>
    <row r="807" spans="2:7" x14ac:dyDescent="0.25">
      <c r="B807" s="737" t="s">
        <v>4063</v>
      </c>
      <c r="C807" s="737" t="s">
        <v>4064</v>
      </c>
      <c r="D807" s="738">
        <v>3247.5041000000001</v>
      </c>
      <c r="E807" s="738">
        <v>2089.4486000000002</v>
      </c>
      <c r="F807" s="738">
        <v>31650.852800000001</v>
      </c>
      <c r="G807" s="738">
        <v>121.0727592381094</v>
      </c>
    </row>
    <row r="808" spans="2:7" x14ac:dyDescent="0.25">
      <c r="B808" s="737" t="s">
        <v>4065</v>
      </c>
      <c r="C808" s="737" t="s">
        <v>4066</v>
      </c>
      <c r="D808" s="738">
        <v>3172.0209</v>
      </c>
      <c r="E808" s="738">
        <v>2164.0576999999998</v>
      </c>
      <c r="F808" s="738">
        <v>30121.569899999999</v>
      </c>
      <c r="G808" s="738">
        <v>121.0727592381094</v>
      </c>
    </row>
    <row r="809" spans="2:7" x14ac:dyDescent="0.25">
      <c r="B809" s="737" t="s">
        <v>4067</v>
      </c>
      <c r="C809" s="737" t="s">
        <v>4068</v>
      </c>
      <c r="D809" s="738">
        <v>3632.1268</v>
      </c>
      <c r="E809" s="738">
        <v>2123.6462000000001</v>
      </c>
      <c r="F809" s="738">
        <v>33336.005899999996</v>
      </c>
      <c r="G809" s="738">
        <v>251.58092376863095</v>
      </c>
    </row>
    <row r="810" spans="2:7" x14ac:dyDescent="0.25">
      <c r="B810" s="737" t="s">
        <v>4069</v>
      </c>
      <c r="C810" s="737" t="s">
        <v>4070</v>
      </c>
      <c r="D810" s="738">
        <v>3590.2170000000001</v>
      </c>
      <c r="E810" s="738">
        <v>2286.0250999999998</v>
      </c>
      <c r="F810" s="738">
        <v>28014.606100000001</v>
      </c>
      <c r="G810" s="738">
        <v>343.33840427704536</v>
      </c>
    </row>
    <row r="811" spans="2:7" x14ac:dyDescent="0.25">
      <c r="B811" s="737" t="s">
        <v>4071</v>
      </c>
      <c r="C811" s="737" t="s">
        <v>4072</v>
      </c>
      <c r="D811" s="738">
        <v>3208.3930999999998</v>
      </c>
      <c r="E811" s="738">
        <v>2177.4747000000002</v>
      </c>
      <c r="F811" s="738">
        <v>30753.695100000001</v>
      </c>
      <c r="G811" s="738">
        <v>121.0727592381094</v>
      </c>
    </row>
    <row r="812" spans="2:7" x14ac:dyDescent="0.25">
      <c r="B812" s="737" t="s">
        <v>4073</v>
      </c>
      <c r="C812" s="737" t="s">
        <v>4074</v>
      </c>
      <c r="D812" s="738">
        <v>3280.8726000000001</v>
      </c>
      <c r="E812" s="738">
        <v>2251.7869999999998</v>
      </c>
      <c r="F812" s="738">
        <v>31901.7261</v>
      </c>
      <c r="G812" s="738">
        <v>121.0727592381094</v>
      </c>
    </row>
    <row r="813" spans="2:7" x14ac:dyDescent="0.25">
      <c r="B813" s="737" t="s">
        <v>4075</v>
      </c>
      <c r="C813" s="737" t="s">
        <v>4076</v>
      </c>
      <c r="D813" s="738">
        <v>3174.0743000000002</v>
      </c>
      <c r="E813" s="738">
        <v>2206.8128000000002</v>
      </c>
      <c r="F813" s="738">
        <v>30066.984899999999</v>
      </c>
      <c r="G813" s="738">
        <v>121.0727592381094</v>
      </c>
    </row>
    <row r="814" spans="2:7" x14ac:dyDescent="0.25">
      <c r="B814" s="737" t="s">
        <v>4077</v>
      </c>
      <c r="C814" s="737" t="s">
        <v>4078</v>
      </c>
      <c r="D814" s="738">
        <v>3242.9567000000002</v>
      </c>
      <c r="E814" s="738">
        <v>2198.2579000000001</v>
      </c>
      <c r="F814" s="738">
        <v>31327.447899999999</v>
      </c>
      <c r="G814" s="738">
        <v>121.0727592381094</v>
      </c>
    </row>
    <row r="815" spans="2:7" x14ac:dyDescent="0.25">
      <c r="B815" s="737" t="s">
        <v>4079</v>
      </c>
      <c r="C815" s="737" t="s">
        <v>4080</v>
      </c>
      <c r="D815" s="738">
        <v>4117.8352999999997</v>
      </c>
      <c r="E815" s="738">
        <v>2254.2388999999998</v>
      </c>
      <c r="F815" s="738">
        <v>28732.007300000001</v>
      </c>
      <c r="G815" s="738">
        <v>559.86250076040449</v>
      </c>
    </row>
    <row r="816" spans="2:7" x14ac:dyDescent="0.25">
      <c r="B816" s="737" t="s">
        <v>4081</v>
      </c>
      <c r="C816" s="737" t="s">
        <v>4082</v>
      </c>
      <c r="D816" s="738">
        <v>4028.2586999999999</v>
      </c>
      <c r="E816" s="738">
        <v>2283.1795999999999</v>
      </c>
      <c r="F816" s="738">
        <v>26784.4421</v>
      </c>
      <c r="G816" s="738">
        <v>559.86250076040449</v>
      </c>
    </row>
    <row r="817" spans="2:7" x14ac:dyDescent="0.25">
      <c r="B817" s="737" t="s">
        <v>4083</v>
      </c>
      <c r="C817" s="737" t="s">
        <v>4084</v>
      </c>
      <c r="D817" s="738">
        <v>4204.0688</v>
      </c>
      <c r="E817" s="738">
        <v>2298.6095999999998</v>
      </c>
      <c r="F817" s="738">
        <v>29821.0638</v>
      </c>
      <c r="G817" s="738">
        <v>559.86250076040449</v>
      </c>
    </row>
    <row r="818" spans="2:7" x14ac:dyDescent="0.25">
      <c r="B818" s="737" t="s">
        <v>4085</v>
      </c>
      <c r="C818" s="737" t="s">
        <v>4086</v>
      </c>
      <c r="D818" s="738">
        <v>3271.8712999999998</v>
      </c>
      <c r="E818" s="738">
        <v>2035.5024000000001</v>
      </c>
      <c r="F818" s="738">
        <v>32182.584599999998</v>
      </c>
      <c r="G818" s="738">
        <v>121.0727592381094</v>
      </c>
    </row>
    <row r="819" spans="2:7" x14ac:dyDescent="0.25">
      <c r="B819" s="737" t="s">
        <v>4087</v>
      </c>
      <c r="C819" s="737" t="s">
        <v>4088</v>
      </c>
      <c r="D819" s="738">
        <v>4159.8834999999999</v>
      </c>
      <c r="E819" s="738">
        <v>2300.0594000000001</v>
      </c>
      <c r="F819" s="738">
        <v>29012.0874</v>
      </c>
      <c r="G819" s="738">
        <v>559.86250076040449</v>
      </c>
    </row>
    <row r="820" spans="2:7" x14ac:dyDescent="0.25">
      <c r="B820" s="737" t="s">
        <v>4089</v>
      </c>
      <c r="C820" s="737" t="s">
        <v>4090</v>
      </c>
      <c r="D820" s="738">
        <v>4181.6651000000002</v>
      </c>
      <c r="E820" s="738">
        <v>2352.4431</v>
      </c>
      <c r="F820" s="738">
        <v>28861.309700000002</v>
      </c>
      <c r="G820" s="738">
        <v>559.86250076040449</v>
      </c>
    </row>
    <row r="821" spans="2:7" x14ac:dyDescent="0.25">
      <c r="B821" s="737" t="s">
        <v>4091</v>
      </c>
      <c r="C821" s="737" t="s">
        <v>4092</v>
      </c>
      <c r="D821" s="738">
        <v>4265.4048000000003</v>
      </c>
      <c r="E821" s="738">
        <v>2328.9180000000001</v>
      </c>
      <c r="F821" s="738">
        <v>30621.395100000002</v>
      </c>
      <c r="G821" s="738">
        <v>559.86250076040449</v>
      </c>
    </row>
    <row r="822" spans="2:7" x14ac:dyDescent="0.25">
      <c r="B822" s="737" t="s">
        <v>4093</v>
      </c>
      <c r="C822" s="737" t="s">
        <v>4094</v>
      </c>
      <c r="D822" s="738">
        <v>4226.4795999999997</v>
      </c>
      <c r="E822" s="738">
        <v>2265.4088000000002</v>
      </c>
      <c r="F822" s="738">
        <v>30578.210899999998</v>
      </c>
      <c r="G822" s="738">
        <v>559.86250076040449</v>
      </c>
    </row>
    <row r="823" spans="2:7" x14ac:dyDescent="0.25">
      <c r="B823" s="737" t="s">
        <v>4095</v>
      </c>
      <c r="C823" s="737" t="s">
        <v>4096</v>
      </c>
      <c r="D823" s="738">
        <v>3658.9674</v>
      </c>
      <c r="E823" s="738">
        <v>2204.7249999999999</v>
      </c>
      <c r="F823" s="738">
        <v>29759.114300000001</v>
      </c>
      <c r="G823" s="738">
        <v>343.33840427704536</v>
      </c>
    </row>
    <row r="824" spans="2:7" x14ac:dyDescent="0.25">
      <c r="B824" s="737" t="s">
        <v>4097</v>
      </c>
      <c r="C824" s="737" t="s">
        <v>4098</v>
      </c>
      <c r="D824" s="738">
        <v>3872.9735999999998</v>
      </c>
      <c r="E824" s="738">
        <v>2031.1516999999999</v>
      </c>
      <c r="F824" s="738">
        <v>34721.161899999999</v>
      </c>
      <c r="G824" s="738">
        <v>343.33840427704536</v>
      </c>
    </row>
    <row r="825" spans="2:7" x14ac:dyDescent="0.25">
      <c r="B825" s="737" t="s">
        <v>4099</v>
      </c>
      <c r="C825" s="737" t="s">
        <v>4100</v>
      </c>
      <c r="D825" s="738">
        <v>3668.3811000000001</v>
      </c>
      <c r="E825" s="738">
        <v>2034.3515</v>
      </c>
      <c r="F825" s="738">
        <v>30927.654900000001</v>
      </c>
      <c r="G825" s="738">
        <v>343.33840427704536</v>
      </c>
    </row>
    <row r="826" spans="2:7" x14ac:dyDescent="0.25">
      <c r="B826" s="737" t="s">
        <v>4101</v>
      </c>
      <c r="C826" s="737" t="s">
        <v>4102</v>
      </c>
      <c r="D826" s="738">
        <v>3148.1837999999998</v>
      </c>
      <c r="E826" s="738">
        <v>2095.7678999999998</v>
      </c>
      <c r="F826" s="738">
        <v>29843.566200000001</v>
      </c>
      <c r="G826" s="738">
        <v>121.0727592381094</v>
      </c>
    </row>
    <row r="827" spans="2:7" x14ac:dyDescent="0.25">
      <c r="B827" s="737" t="s">
        <v>4103</v>
      </c>
      <c r="C827" s="737" t="s">
        <v>4104</v>
      </c>
      <c r="D827" s="738">
        <v>3152.5630999999998</v>
      </c>
      <c r="E827" s="738">
        <v>2224.7748000000001</v>
      </c>
      <c r="F827" s="738">
        <v>29638.7078</v>
      </c>
      <c r="G827" s="738">
        <v>121.0727592381094</v>
      </c>
    </row>
    <row r="828" spans="2:7" x14ac:dyDescent="0.25">
      <c r="B828" s="737" t="s">
        <v>4105</v>
      </c>
      <c r="C828" s="737" t="s">
        <v>4106</v>
      </c>
      <c r="D828" s="738">
        <v>3174.4313999999999</v>
      </c>
      <c r="E828" s="738">
        <v>2271.3136</v>
      </c>
      <c r="F828" s="738">
        <v>29933.455600000001</v>
      </c>
      <c r="G828" s="738">
        <v>121.0727592381094</v>
      </c>
    </row>
    <row r="829" spans="2:7" x14ac:dyDescent="0.25">
      <c r="B829" s="737" t="s">
        <v>4107</v>
      </c>
      <c r="C829" s="737" t="s">
        <v>4108</v>
      </c>
      <c r="D829" s="738">
        <v>4212.7021999999997</v>
      </c>
      <c r="E829" s="738">
        <v>2323.8027000000002</v>
      </c>
      <c r="F829" s="738">
        <v>29717.973999999998</v>
      </c>
      <c r="G829" s="738">
        <v>559.86250076040449</v>
      </c>
    </row>
    <row r="830" spans="2:7" x14ac:dyDescent="0.25">
      <c r="B830" s="737" t="s">
        <v>4109</v>
      </c>
      <c r="C830" s="737" t="s">
        <v>4110</v>
      </c>
      <c r="D830" s="738">
        <v>4157.3680999999997</v>
      </c>
      <c r="E830" s="738">
        <v>2319.7507000000001</v>
      </c>
      <c r="F830" s="738">
        <v>28737.754499999999</v>
      </c>
      <c r="G830" s="738">
        <v>559.86250076040449</v>
      </c>
    </row>
    <row r="831" spans="2:7" x14ac:dyDescent="0.25">
      <c r="B831" s="737" t="s">
        <v>4111</v>
      </c>
      <c r="C831" s="737" t="s">
        <v>4112</v>
      </c>
      <c r="D831" s="738">
        <v>4888.6828999999998</v>
      </c>
      <c r="E831" s="738">
        <v>2752.3283000000001</v>
      </c>
      <c r="F831" s="738">
        <v>25387.552</v>
      </c>
      <c r="G831" s="738">
        <v>799.61173339843594</v>
      </c>
    </row>
    <row r="832" spans="2:7" x14ac:dyDescent="0.25">
      <c r="B832" s="737" t="s">
        <v>4113</v>
      </c>
      <c r="C832" s="737" t="s">
        <v>4114</v>
      </c>
      <c r="D832" s="738">
        <v>4896.5281000000004</v>
      </c>
      <c r="E832" s="738">
        <v>2570.433</v>
      </c>
      <c r="F832" s="738">
        <v>28202.597699999998</v>
      </c>
      <c r="G832" s="738">
        <v>799.61173339843594</v>
      </c>
    </row>
    <row r="833" spans="2:7" x14ac:dyDescent="0.25">
      <c r="B833" s="737" t="s">
        <v>4115</v>
      </c>
      <c r="C833" s="737" t="s">
        <v>4116</v>
      </c>
      <c r="D833" s="738">
        <v>4904.0976000000001</v>
      </c>
      <c r="E833" s="738">
        <v>2620.4985999999999</v>
      </c>
      <c r="F833" s="738">
        <v>27612.754199999999</v>
      </c>
      <c r="G833" s="738">
        <v>799.61173339843594</v>
      </c>
    </row>
    <row r="834" spans="2:7" x14ac:dyDescent="0.25">
      <c r="B834" s="737" t="s">
        <v>4117</v>
      </c>
      <c r="C834" s="737" t="s">
        <v>4118</v>
      </c>
      <c r="D834" s="738">
        <v>4804.4412000000002</v>
      </c>
      <c r="E834" s="738">
        <v>2377.5203999999999</v>
      </c>
      <c r="F834" s="738">
        <v>29342.800800000001</v>
      </c>
      <c r="G834" s="738">
        <v>799.61173339843594</v>
      </c>
    </row>
    <row r="835" spans="2:7" x14ac:dyDescent="0.25">
      <c r="B835" s="737" t="s">
        <v>4119</v>
      </c>
      <c r="C835" s="737" t="s">
        <v>4120</v>
      </c>
      <c r="D835" s="738">
        <v>4151.2826999999997</v>
      </c>
      <c r="E835" s="738">
        <v>2239.3008</v>
      </c>
      <c r="F835" s="738">
        <v>29356.600999999999</v>
      </c>
      <c r="G835" s="738">
        <v>559.86250076040449</v>
      </c>
    </row>
    <row r="836" spans="2:7" x14ac:dyDescent="0.25">
      <c r="B836" s="737" t="s">
        <v>4121</v>
      </c>
      <c r="C836" s="737" t="s">
        <v>4122</v>
      </c>
      <c r="D836" s="738">
        <v>4219.9405999999999</v>
      </c>
      <c r="E836" s="738">
        <v>2302.2876999999999</v>
      </c>
      <c r="F836" s="738">
        <v>30089.087</v>
      </c>
      <c r="G836" s="738">
        <v>559.86250076040449</v>
      </c>
    </row>
    <row r="837" spans="2:7" x14ac:dyDescent="0.25">
      <c r="B837" s="737" t="s">
        <v>4123</v>
      </c>
      <c r="C837" s="737" t="s">
        <v>4124</v>
      </c>
      <c r="D837" s="738">
        <v>4132.7433000000001</v>
      </c>
      <c r="E837" s="738">
        <v>2311.2541999999999</v>
      </c>
      <c r="F837" s="738">
        <v>28399.870699999999</v>
      </c>
      <c r="G837" s="738">
        <v>559.86250076040449</v>
      </c>
    </row>
    <row r="838" spans="2:7" x14ac:dyDescent="0.25">
      <c r="B838" s="737" t="s">
        <v>4125</v>
      </c>
      <c r="C838" s="737" t="s">
        <v>4126</v>
      </c>
      <c r="D838" s="738">
        <v>4164.6131999999998</v>
      </c>
      <c r="E838" s="738">
        <v>2438.5073000000002</v>
      </c>
      <c r="F838" s="738">
        <v>27661.293099999999</v>
      </c>
      <c r="G838" s="738">
        <v>559.86250076040449</v>
      </c>
    </row>
    <row r="839" spans="2:7" x14ac:dyDescent="0.25">
      <c r="B839" s="737" t="s">
        <v>4127</v>
      </c>
      <c r="C839" s="737" t="s">
        <v>4128</v>
      </c>
      <c r="D839" s="738">
        <v>4114.2139999999999</v>
      </c>
      <c r="E839" s="738">
        <v>2349.0990999999999</v>
      </c>
      <c r="F839" s="738">
        <v>27672.366099999999</v>
      </c>
      <c r="G839" s="738">
        <v>559.86250076040449</v>
      </c>
    </row>
    <row r="840" spans="2:7" x14ac:dyDescent="0.25">
      <c r="B840" s="737" t="s">
        <v>4129</v>
      </c>
      <c r="C840" s="737" t="s">
        <v>4130</v>
      </c>
      <c r="D840" s="738">
        <v>4294.4771000000001</v>
      </c>
      <c r="E840" s="738">
        <v>2311.1622000000002</v>
      </c>
      <c r="F840" s="738">
        <v>31309.4313</v>
      </c>
      <c r="G840" s="738">
        <v>559.86250076040449</v>
      </c>
    </row>
    <row r="841" spans="2:7" x14ac:dyDescent="0.25">
      <c r="B841" s="737" t="s">
        <v>4131</v>
      </c>
      <c r="C841" s="737" t="s">
        <v>4132</v>
      </c>
      <c r="D841" s="738">
        <v>4181.3789999999999</v>
      </c>
      <c r="E841" s="738">
        <v>2383.2015000000001</v>
      </c>
      <c r="F841" s="738">
        <v>28563.1335</v>
      </c>
      <c r="G841" s="738">
        <v>559.86250076040449</v>
      </c>
    </row>
    <row r="842" spans="2:7" x14ac:dyDescent="0.25">
      <c r="B842" s="737" t="s">
        <v>4133</v>
      </c>
      <c r="C842" s="737" t="s">
        <v>4134</v>
      </c>
      <c r="D842" s="738">
        <v>4171.3994000000002</v>
      </c>
      <c r="E842" s="738">
        <v>2230.6804999999999</v>
      </c>
      <c r="F842" s="738">
        <v>29940.7497</v>
      </c>
      <c r="G842" s="738">
        <v>559.86250076040449</v>
      </c>
    </row>
    <row r="843" spans="2:7" x14ac:dyDescent="0.25">
      <c r="B843" s="737" t="s">
        <v>4135</v>
      </c>
      <c r="C843" s="737" t="s">
        <v>4136</v>
      </c>
      <c r="D843" s="738">
        <v>4023.2642999999998</v>
      </c>
      <c r="E843" s="738">
        <v>2222.5895999999998</v>
      </c>
      <c r="F843" s="738">
        <v>27322.545399999999</v>
      </c>
      <c r="G843" s="738">
        <v>559.86250076040449</v>
      </c>
    </row>
    <row r="844" spans="2:7" x14ac:dyDescent="0.25">
      <c r="B844" s="737" t="s">
        <v>4137</v>
      </c>
      <c r="C844" s="737" t="s">
        <v>4138</v>
      </c>
      <c r="D844" s="738">
        <v>4406.7828</v>
      </c>
      <c r="E844" s="738">
        <v>2288.2873</v>
      </c>
      <c r="F844" s="738">
        <v>30622.780500000001</v>
      </c>
      <c r="G844" s="738">
        <v>630.03719504981132</v>
      </c>
    </row>
    <row r="845" spans="2:7" x14ac:dyDescent="0.25">
      <c r="B845" s="737" t="s">
        <v>4139</v>
      </c>
      <c r="C845" s="737" t="s">
        <v>4140</v>
      </c>
      <c r="D845" s="738">
        <v>4348.3739999999998</v>
      </c>
      <c r="E845" s="738">
        <v>2280.2703000000001</v>
      </c>
      <c r="F845" s="738">
        <v>29622.7713</v>
      </c>
      <c r="G845" s="738">
        <v>630.03719504981132</v>
      </c>
    </row>
    <row r="846" spans="2:7" x14ac:dyDescent="0.25">
      <c r="B846" s="737" t="s">
        <v>4141</v>
      </c>
      <c r="C846" s="737" t="s">
        <v>4142</v>
      </c>
      <c r="D846" s="738">
        <v>4351.1003000000001</v>
      </c>
      <c r="E846" s="738">
        <v>2275.6408000000001</v>
      </c>
      <c r="F846" s="738">
        <v>29762.2084</v>
      </c>
      <c r="G846" s="738">
        <v>630.03719504981132</v>
      </c>
    </row>
    <row r="847" spans="2:7" x14ac:dyDescent="0.25">
      <c r="B847" s="737" t="s">
        <v>4143</v>
      </c>
      <c r="C847" s="737" t="s">
        <v>4144</v>
      </c>
      <c r="D847" s="738">
        <v>4440.4930000000004</v>
      </c>
      <c r="E847" s="738">
        <v>2355.973</v>
      </c>
      <c r="F847" s="738">
        <v>30438.92</v>
      </c>
      <c r="G847" s="738">
        <v>630.03719504981132</v>
      </c>
    </row>
    <row r="848" spans="2:7" x14ac:dyDescent="0.25">
      <c r="B848" s="737" t="s">
        <v>4145</v>
      </c>
      <c r="C848" s="737" t="s">
        <v>4146</v>
      </c>
      <c r="D848" s="738">
        <v>4185.5654000000004</v>
      </c>
      <c r="E848" s="738">
        <v>2156.6565999999998</v>
      </c>
      <c r="F848" s="738">
        <v>28112.8904</v>
      </c>
      <c r="G848" s="738">
        <v>630.03719504981132</v>
      </c>
    </row>
    <row r="849" spans="2:7" x14ac:dyDescent="0.25">
      <c r="B849" s="737" t="s">
        <v>4147</v>
      </c>
      <c r="C849" s="737" t="s">
        <v>4148</v>
      </c>
      <c r="D849" s="738">
        <v>4412.2538000000004</v>
      </c>
      <c r="E849" s="738">
        <v>2363.9524000000001</v>
      </c>
      <c r="F849" s="738">
        <v>29734.641199999998</v>
      </c>
      <c r="G849" s="738">
        <v>630.03719504981132</v>
      </c>
    </row>
    <row r="850" spans="2:7" x14ac:dyDescent="0.25">
      <c r="B850" s="737" t="s">
        <v>4149</v>
      </c>
      <c r="C850" s="737" t="s">
        <v>4150</v>
      </c>
      <c r="D850" s="738">
        <v>4409.1868999999997</v>
      </c>
      <c r="E850" s="738">
        <v>2334.4520000000002</v>
      </c>
      <c r="F850" s="738">
        <v>30002.283800000001</v>
      </c>
      <c r="G850" s="738">
        <v>630.03719504981132</v>
      </c>
    </row>
    <row r="851" spans="2:7" x14ac:dyDescent="0.25">
      <c r="B851" s="737" t="s">
        <v>4151</v>
      </c>
      <c r="C851" s="737" t="s">
        <v>4152</v>
      </c>
      <c r="D851" s="738">
        <v>4415.4712</v>
      </c>
      <c r="E851" s="738">
        <v>2246.9209000000001</v>
      </c>
      <c r="F851" s="738">
        <v>31246.7873</v>
      </c>
      <c r="G851" s="738">
        <v>630.03719504981132</v>
      </c>
    </row>
    <row r="852" spans="2:7" x14ac:dyDescent="0.25">
      <c r="B852" s="737" t="s">
        <v>4153</v>
      </c>
      <c r="C852" s="737" t="s">
        <v>4154</v>
      </c>
      <c r="D852" s="738">
        <v>4404.0465999999997</v>
      </c>
      <c r="E852" s="738">
        <v>2348.5012000000002</v>
      </c>
      <c r="F852" s="738">
        <v>29878.060399999998</v>
      </c>
      <c r="G852" s="738">
        <v>630.03719504981132</v>
      </c>
    </row>
    <row r="853" spans="2:7" x14ac:dyDescent="0.25">
      <c r="B853" s="737" t="s">
        <v>4155</v>
      </c>
      <c r="C853" s="737" t="s">
        <v>4156</v>
      </c>
      <c r="D853" s="738">
        <v>4295.9405999999999</v>
      </c>
      <c r="E853" s="738">
        <v>2230.4276</v>
      </c>
      <c r="F853" s="738">
        <v>29233.9859</v>
      </c>
      <c r="G853" s="738">
        <v>630.03719504981132</v>
      </c>
    </row>
    <row r="854" spans="2:7" x14ac:dyDescent="0.25">
      <c r="B854" s="737" t="s">
        <v>4157</v>
      </c>
      <c r="C854" s="737" t="s">
        <v>4158</v>
      </c>
      <c r="D854" s="738">
        <v>4304.8594000000003</v>
      </c>
      <c r="E854" s="738">
        <v>2272.9758000000002</v>
      </c>
      <c r="F854" s="738">
        <v>31907.373200000002</v>
      </c>
      <c r="G854" s="738">
        <v>559.86250076040449</v>
      </c>
    </row>
    <row r="855" spans="2:7" x14ac:dyDescent="0.25">
      <c r="B855" s="737" t="s">
        <v>4159</v>
      </c>
      <c r="C855" s="737" t="s">
        <v>4160</v>
      </c>
      <c r="D855" s="738">
        <v>4390.3543</v>
      </c>
      <c r="E855" s="738">
        <v>2407.2294000000002</v>
      </c>
      <c r="F855" s="738">
        <v>30500.337500000001</v>
      </c>
      <c r="G855" s="738">
        <v>595.70998315407724</v>
      </c>
    </row>
    <row r="856" spans="2:7" x14ac:dyDescent="0.25">
      <c r="B856" s="737" t="s">
        <v>4161</v>
      </c>
      <c r="C856" s="737" t="s">
        <v>4162</v>
      </c>
      <c r="D856" s="738">
        <v>4440.9928</v>
      </c>
      <c r="E856" s="738">
        <v>2414.4416999999999</v>
      </c>
      <c r="F856" s="738">
        <v>31329.435000000001</v>
      </c>
      <c r="G856" s="738">
        <v>595.70998315407724</v>
      </c>
    </row>
    <row r="857" spans="2:7" x14ac:dyDescent="0.25">
      <c r="B857" s="737" t="s">
        <v>4163</v>
      </c>
      <c r="C857" s="737" t="s">
        <v>4164</v>
      </c>
      <c r="D857" s="738">
        <v>4538.4269999999997</v>
      </c>
      <c r="E857" s="738">
        <v>2544.4430000000002</v>
      </c>
      <c r="F857" s="738">
        <v>31578.3501</v>
      </c>
      <c r="G857" s="738">
        <v>595.70998315407724</v>
      </c>
    </row>
    <row r="858" spans="2:7" x14ac:dyDescent="0.25">
      <c r="B858" s="737" t="s">
        <v>4165</v>
      </c>
      <c r="C858" s="737" t="s">
        <v>4166</v>
      </c>
      <c r="D858" s="738">
        <v>4970.7982000000002</v>
      </c>
      <c r="E858" s="738">
        <v>2537.9650000000001</v>
      </c>
      <c r="F858" s="738">
        <v>29886.1273</v>
      </c>
      <c r="G858" s="738">
        <v>799.61173339843594</v>
      </c>
    </row>
    <row r="859" spans="2:7" x14ac:dyDescent="0.25">
      <c r="B859" s="737" t="s">
        <v>4167</v>
      </c>
      <c r="C859" s="737" t="s">
        <v>4168</v>
      </c>
      <c r="D859" s="738">
        <v>5004.2066000000004</v>
      </c>
      <c r="E859" s="738">
        <v>2682.3451</v>
      </c>
      <c r="F859" s="738">
        <v>28544.907500000001</v>
      </c>
      <c r="G859" s="738">
        <v>595.70998315407724</v>
      </c>
    </row>
    <row r="860" spans="2:7" x14ac:dyDescent="0.25">
      <c r="B860" s="737" t="s">
        <v>4169</v>
      </c>
      <c r="C860" s="737" t="s">
        <v>4170</v>
      </c>
      <c r="D860" s="738">
        <v>4352.6001999999999</v>
      </c>
      <c r="E860" s="738">
        <v>2563.1628000000001</v>
      </c>
      <c r="F860" s="738">
        <v>28018.292099999999</v>
      </c>
      <c r="G860" s="738">
        <v>595.70998315407724</v>
      </c>
    </row>
    <row r="861" spans="2:7" x14ac:dyDescent="0.25">
      <c r="B861" s="737" t="s">
        <v>4171</v>
      </c>
      <c r="C861" s="737" t="s">
        <v>4172</v>
      </c>
      <c r="D861" s="738">
        <v>4428.6149999999998</v>
      </c>
      <c r="E861" s="738">
        <v>2292.3182000000002</v>
      </c>
      <c r="F861" s="738">
        <v>32315.303100000001</v>
      </c>
      <c r="G861" s="738">
        <v>595.70998315407724</v>
      </c>
    </row>
    <row r="862" spans="2:7" x14ac:dyDescent="0.25">
      <c r="B862" s="737" t="s">
        <v>4173</v>
      </c>
      <c r="C862" s="737" t="s">
        <v>4174</v>
      </c>
      <c r="D862" s="738">
        <v>4453.3247000000001</v>
      </c>
      <c r="E862" s="738">
        <v>2458.0421999999999</v>
      </c>
      <c r="F862" s="738">
        <v>31082.7857</v>
      </c>
      <c r="G862" s="738">
        <v>595.70998315407724</v>
      </c>
    </row>
    <row r="863" spans="2:7" x14ac:dyDescent="0.25">
      <c r="B863" s="737" t="s">
        <v>4175</v>
      </c>
      <c r="C863" s="737" t="s">
        <v>4176</v>
      </c>
      <c r="D863" s="738">
        <v>4453.1949000000004</v>
      </c>
      <c r="E863" s="738">
        <v>2456.8422</v>
      </c>
      <c r="F863" s="738">
        <v>30979.7726</v>
      </c>
      <c r="G863" s="738">
        <v>595.70998315407724</v>
      </c>
    </row>
    <row r="864" spans="2:7" x14ac:dyDescent="0.25">
      <c r="B864" s="737" t="s">
        <v>4177</v>
      </c>
      <c r="C864" s="737" t="s">
        <v>4178</v>
      </c>
      <c r="D864" s="738">
        <v>4343.1871000000001</v>
      </c>
      <c r="E864" s="738">
        <v>2425.6084999999998</v>
      </c>
      <c r="F864" s="738">
        <v>29328.4964</v>
      </c>
      <c r="G864" s="738">
        <v>595.70998315407724</v>
      </c>
    </row>
    <row r="865" spans="2:7" x14ac:dyDescent="0.25">
      <c r="B865" s="737" t="s">
        <v>4179</v>
      </c>
      <c r="C865" s="737" t="s">
        <v>4180</v>
      </c>
      <c r="D865" s="738">
        <v>4909.8822</v>
      </c>
      <c r="E865" s="738">
        <v>2417.9906000000001</v>
      </c>
      <c r="F865" s="738">
        <v>30663.7343</v>
      </c>
      <c r="G865" s="738">
        <v>595.70998315407724</v>
      </c>
    </row>
    <row r="866" spans="2:7" x14ac:dyDescent="0.25">
      <c r="B866" s="737" t="s">
        <v>4181</v>
      </c>
      <c r="C866" s="737" t="s">
        <v>4182</v>
      </c>
      <c r="D866" s="738">
        <v>4557.4534999999996</v>
      </c>
      <c r="E866" s="738">
        <v>2678.6984000000002</v>
      </c>
      <c r="F866" s="738">
        <v>30458.039700000001</v>
      </c>
      <c r="G866" s="738">
        <v>799.61173339843594</v>
      </c>
    </row>
    <row r="867" spans="2:7" x14ac:dyDescent="0.25">
      <c r="B867" s="737" t="s">
        <v>4183</v>
      </c>
      <c r="C867" s="737" t="s">
        <v>4184</v>
      </c>
      <c r="D867" s="738">
        <v>4494.0501999999997</v>
      </c>
      <c r="E867" s="738">
        <v>2445.2361000000001</v>
      </c>
      <c r="F867" s="738">
        <v>31828.9414</v>
      </c>
      <c r="G867" s="738">
        <v>595.70998315407724</v>
      </c>
    </row>
    <row r="868" spans="2:7" x14ac:dyDescent="0.25">
      <c r="B868" s="737" t="s">
        <v>4185</v>
      </c>
      <c r="C868" s="737" t="s">
        <v>4186</v>
      </c>
      <c r="D868" s="738">
        <v>5060.5546999999997</v>
      </c>
      <c r="E868" s="738">
        <v>2659.2763</v>
      </c>
      <c r="F868" s="738">
        <v>29747.559499999999</v>
      </c>
      <c r="G868" s="738">
        <v>799.61173339843594</v>
      </c>
    </row>
    <row r="869" spans="2:7" x14ac:dyDescent="0.25">
      <c r="B869" s="737" t="s">
        <v>4187</v>
      </c>
      <c r="C869" s="737" t="s">
        <v>4188</v>
      </c>
      <c r="D869" s="738">
        <v>4459.1511</v>
      </c>
      <c r="E869" s="738">
        <v>2255.3703999999998</v>
      </c>
      <c r="F869" s="738">
        <v>33406.054100000001</v>
      </c>
      <c r="G869" s="738">
        <v>595.70998315407724</v>
      </c>
    </row>
    <row r="870" spans="2:7" x14ac:dyDescent="0.25">
      <c r="B870" s="737" t="s">
        <v>4189</v>
      </c>
      <c r="C870" s="737" t="s">
        <v>4190</v>
      </c>
      <c r="D870" s="738">
        <v>4503.3630999999996</v>
      </c>
      <c r="E870" s="738">
        <v>2455.6997000000001</v>
      </c>
      <c r="F870" s="738">
        <v>31867.309799999999</v>
      </c>
      <c r="G870" s="738">
        <v>595.70998315407724</v>
      </c>
    </row>
    <row r="871" spans="2:7" x14ac:dyDescent="0.25">
      <c r="B871" s="737" t="s">
        <v>4191</v>
      </c>
      <c r="C871" s="737" t="s">
        <v>4192</v>
      </c>
      <c r="D871" s="738">
        <v>4477.6890999999996</v>
      </c>
      <c r="E871" s="738">
        <v>2583.5014999999999</v>
      </c>
      <c r="F871" s="738">
        <v>30069.336599999999</v>
      </c>
      <c r="G871" s="738">
        <v>595.70998315407724</v>
      </c>
    </row>
    <row r="872" spans="2:7" x14ac:dyDescent="0.25">
      <c r="B872" s="737" t="s">
        <v>4193</v>
      </c>
      <c r="C872" s="737" t="s">
        <v>4194</v>
      </c>
      <c r="D872" s="738">
        <v>4438.1486999999997</v>
      </c>
      <c r="E872" s="738">
        <v>2402.7892000000002</v>
      </c>
      <c r="F872" s="738">
        <v>31260.316599999998</v>
      </c>
      <c r="G872" s="738">
        <v>595.70998315407724</v>
      </c>
    </row>
    <row r="873" spans="2:7" x14ac:dyDescent="0.25">
      <c r="B873" s="737" t="s">
        <v>4195</v>
      </c>
      <c r="C873" s="737" t="s">
        <v>4196</v>
      </c>
      <c r="D873" s="738">
        <v>4373.2614999999996</v>
      </c>
      <c r="E873" s="738">
        <v>2441.9371000000001</v>
      </c>
      <c r="F873" s="738">
        <v>29699.750899999999</v>
      </c>
      <c r="G873" s="738">
        <v>595.70998315407724</v>
      </c>
    </row>
    <row r="874" spans="2:7" x14ac:dyDescent="0.25">
      <c r="B874" s="737" t="s">
        <v>4197</v>
      </c>
      <c r="C874" s="737" t="s">
        <v>4198</v>
      </c>
      <c r="D874" s="738">
        <v>4484.7847000000002</v>
      </c>
      <c r="E874" s="738">
        <v>2504.2739000000001</v>
      </c>
      <c r="F874" s="738">
        <v>31037.631600000001</v>
      </c>
      <c r="G874" s="738">
        <v>595.70998315407724</v>
      </c>
    </row>
    <row r="875" spans="2:7" x14ac:dyDescent="0.25">
      <c r="B875" s="737" t="s">
        <v>4199</v>
      </c>
      <c r="C875" s="737" t="s">
        <v>4200</v>
      </c>
      <c r="D875" s="738">
        <v>4437.0322999999999</v>
      </c>
      <c r="E875" s="738">
        <v>2496.2975000000001</v>
      </c>
      <c r="F875" s="738">
        <v>30244.179100000001</v>
      </c>
      <c r="G875" s="738">
        <v>595.70998315407724</v>
      </c>
    </row>
    <row r="876" spans="2:7" x14ac:dyDescent="0.25">
      <c r="B876" s="737" t="s">
        <v>4201</v>
      </c>
      <c r="C876" s="737" t="s">
        <v>4202</v>
      </c>
      <c r="D876" s="738">
        <v>4605.5355</v>
      </c>
      <c r="E876" s="738">
        <v>2814.9245999999998</v>
      </c>
      <c r="F876" s="738">
        <v>29861.5681</v>
      </c>
      <c r="G876" s="738">
        <v>799.61173339843594</v>
      </c>
    </row>
    <row r="877" spans="2:7" x14ac:dyDescent="0.25">
      <c r="B877" s="737" t="s">
        <v>4203</v>
      </c>
      <c r="C877" s="737" t="s">
        <v>4204</v>
      </c>
      <c r="D877" s="738">
        <v>4448.2570999999998</v>
      </c>
      <c r="E877" s="738">
        <v>2308.2507000000001</v>
      </c>
      <c r="F877" s="738">
        <v>32627.463599999999</v>
      </c>
      <c r="G877" s="738">
        <v>595.70998315407724</v>
      </c>
    </row>
    <row r="878" spans="2:7" x14ac:dyDescent="0.25">
      <c r="B878" s="737" t="s">
        <v>4205</v>
      </c>
      <c r="C878" s="737" t="s">
        <v>4206</v>
      </c>
      <c r="D878" s="738">
        <v>4872.6931000000004</v>
      </c>
      <c r="E878" s="738">
        <v>2599.0027</v>
      </c>
      <c r="F878" s="738">
        <v>27239.893199999999</v>
      </c>
      <c r="G878" s="738">
        <v>799.61173339843594</v>
      </c>
    </row>
    <row r="879" spans="2:7" x14ac:dyDescent="0.25">
      <c r="B879" s="737" t="s">
        <v>4207</v>
      </c>
      <c r="C879" s="737" t="s">
        <v>4208</v>
      </c>
      <c r="D879" s="738">
        <v>4454.3103000000001</v>
      </c>
      <c r="E879" s="738">
        <v>2574.9962</v>
      </c>
      <c r="F879" s="738">
        <v>29736.846300000001</v>
      </c>
      <c r="G879" s="738">
        <v>595.70998315407724</v>
      </c>
    </row>
    <row r="880" spans="2:7" x14ac:dyDescent="0.25">
      <c r="B880" s="737" t="s">
        <v>4209</v>
      </c>
      <c r="C880" s="737" t="s">
        <v>4210</v>
      </c>
      <c r="D880" s="738">
        <v>4539.1417000000001</v>
      </c>
      <c r="E880" s="738">
        <v>2300.5122000000001</v>
      </c>
      <c r="F880" s="738">
        <v>34350.504999999997</v>
      </c>
      <c r="G880" s="738">
        <v>595.70998315407724</v>
      </c>
    </row>
    <row r="881" spans="2:7" x14ac:dyDescent="0.25">
      <c r="B881" s="737" t="s">
        <v>4211</v>
      </c>
      <c r="C881" s="737" t="s">
        <v>4212</v>
      </c>
      <c r="D881" s="738">
        <v>4427.9486999999999</v>
      </c>
      <c r="E881" s="738">
        <v>2422.9479999999999</v>
      </c>
      <c r="F881" s="738">
        <v>30867.554800000002</v>
      </c>
      <c r="G881" s="738">
        <v>595.70998315407724</v>
      </c>
    </row>
    <row r="882" spans="2:7" x14ac:dyDescent="0.25">
      <c r="B882" s="737" t="s">
        <v>4213</v>
      </c>
      <c r="C882" s="737" t="s">
        <v>4214</v>
      </c>
      <c r="D882" s="738">
        <v>4450.8140000000003</v>
      </c>
      <c r="E882" s="738">
        <v>2527.2604999999999</v>
      </c>
      <c r="F882" s="738">
        <v>30181.654200000001</v>
      </c>
      <c r="G882" s="738">
        <v>595.70998315407724</v>
      </c>
    </row>
    <row r="883" spans="2:7" x14ac:dyDescent="0.25">
      <c r="B883" s="737" t="s">
        <v>4215</v>
      </c>
      <c r="C883" s="737" t="s">
        <v>4216</v>
      </c>
      <c r="D883" s="738">
        <v>4325.0110000000004</v>
      </c>
      <c r="E883" s="738">
        <v>2334.6401999999998</v>
      </c>
      <c r="F883" s="738">
        <v>29973.115699999998</v>
      </c>
      <c r="G883" s="738">
        <v>595.70998315407724</v>
      </c>
    </row>
    <row r="884" spans="2:7" x14ac:dyDescent="0.25">
      <c r="B884" s="737" t="s">
        <v>4217</v>
      </c>
      <c r="C884" s="737" t="s">
        <v>4218</v>
      </c>
      <c r="D884" s="738">
        <v>4494.21</v>
      </c>
      <c r="E884" s="738">
        <v>2442.2328000000002</v>
      </c>
      <c r="F884" s="738">
        <v>31872.650600000001</v>
      </c>
      <c r="G884" s="738">
        <v>595.70998315407724</v>
      </c>
    </row>
    <row r="885" spans="2:7" x14ac:dyDescent="0.25">
      <c r="B885" s="737" t="s">
        <v>4219</v>
      </c>
      <c r="C885" s="737" t="s">
        <v>4220</v>
      </c>
      <c r="D885" s="738">
        <v>4466.8748999999998</v>
      </c>
      <c r="E885" s="738">
        <v>2338.3991999999998</v>
      </c>
      <c r="F885" s="738">
        <v>32463.400300000001</v>
      </c>
      <c r="G885" s="738">
        <v>595.70998315407724</v>
      </c>
    </row>
    <row r="886" spans="2:7" x14ac:dyDescent="0.25">
      <c r="B886" s="737" t="s">
        <v>4221</v>
      </c>
      <c r="C886" s="737" t="s">
        <v>4222</v>
      </c>
      <c r="D886" s="738">
        <v>5029.0564999999997</v>
      </c>
      <c r="E886" s="738">
        <v>2635.7449000000001</v>
      </c>
      <c r="F886" s="738">
        <v>29497.276099999999</v>
      </c>
      <c r="G886" s="738">
        <v>799.61173339843594</v>
      </c>
    </row>
    <row r="887" spans="2:7" x14ac:dyDescent="0.25">
      <c r="B887" s="737" t="s">
        <v>4223</v>
      </c>
      <c r="C887" s="737" t="s">
        <v>4224</v>
      </c>
      <c r="D887" s="738">
        <v>4441.7677000000003</v>
      </c>
      <c r="E887" s="738">
        <v>2551.2246</v>
      </c>
      <c r="F887" s="738">
        <v>29746.104599999999</v>
      </c>
      <c r="G887" s="738">
        <v>595.70998315407724</v>
      </c>
    </row>
    <row r="888" spans="2:7" x14ac:dyDescent="0.25">
      <c r="B888" s="737" t="s">
        <v>4225</v>
      </c>
      <c r="C888" s="737" t="s">
        <v>4226</v>
      </c>
      <c r="D888" s="738">
        <v>4520.4138999999996</v>
      </c>
      <c r="E888" s="738">
        <v>2501.4463999999998</v>
      </c>
      <c r="F888" s="738">
        <v>31706.057100000002</v>
      </c>
      <c r="G888" s="738">
        <v>595.70998315407724</v>
      </c>
    </row>
    <row r="889" spans="2:7" x14ac:dyDescent="0.25">
      <c r="B889" s="737" t="s">
        <v>4227</v>
      </c>
      <c r="C889" s="737" t="s">
        <v>4228</v>
      </c>
      <c r="D889" s="738">
        <v>4459.5832</v>
      </c>
      <c r="E889" s="738">
        <v>2321.3775999999998</v>
      </c>
      <c r="F889" s="738">
        <v>32552.812099999999</v>
      </c>
      <c r="G889" s="738">
        <v>595.70998315407724</v>
      </c>
    </row>
    <row r="890" spans="2:7" x14ac:dyDescent="0.25">
      <c r="B890" s="737" t="s">
        <v>4229</v>
      </c>
      <c r="C890" s="737" t="s">
        <v>4230</v>
      </c>
      <c r="D890" s="738">
        <v>4439.1400000000003</v>
      </c>
      <c r="E890" s="738">
        <v>2576.6844000000001</v>
      </c>
      <c r="F890" s="738">
        <v>29440.781299999999</v>
      </c>
      <c r="G890" s="738">
        <v>595.70998315407724</v>
      </c>
    </row>
    <row r="891" spans="2:7" x14ac:dyDescent="0.25">
      <c r="B891" s="737" t="s">
        <v>4231</v>
      </c>
      <c r="C891" s="737" t="s">
        <v>4232</v>
      </c>
      <c r="D891" s="738">
        <v>4472.7759999999998</v>
      </c>
      <c r="E891" s="738">
        <v>2628.1705000000002</v>
      </c>
      <c r="F891" s="738">
        <v>29599.3508</v>
      </c>
      <c r="G891" s="738">
        <v>595.70998315407724</v>
      </c>
    </row>
    <row r="892" spans="2:7" x14ac:dyDescent="0.25">
      <c r="B892" s="737" t="s">
        <v>4233</v>
      </c>
      <c r="C892" s="737" t="s">
        <v>4234</v>
      </c>
      <c r="D892" s="738">
        <v>4375.8320000000003</v>
      </c>
      <c r="E892" s="738">
        <v>2509.8472000000002</v>
      </c>
      <c r="F892" s="738">
        <v>29119.919300000001</v>
      </c>
      <c r="G892" s="738">
        <v>595.70998315407724</v>
      </c>
    </row>
    <row r="893" spans="2:7" x14ac:dyDescent="0.25">
      <c r="B893" s="737" t="s">
        <v>4235</v>
      </c>
      <c r="C893" s="737" t="s">
        <v>4236</v>
      </c>
      <c r="D893" s="738">
        <v>4277.9457000000002</v>
      </c>
      <c r="E893" s="738">
        <v>2404.3874000000001</v>
      </c>
      <c r="F893" s="738">
        <v>28381.654399999999</v>
      </c>
      <c r="G893" s="738">
        <v>595.70998315407724</v>
      </c>
    </row>
    <row r="894" spans="2:7" x14ac:dyDescent="0.25">
      <c r="B894" s="737" t="s">
        <v>4237</v>
      </c>
      <c r="C894" s="737" t="s">
        <v>4238</v>
      </c>
      <c r="D894" s="738">
        <v>4387.0897000000004</v>
      </c>
      <c r="E894" s="738">
        <v>2299.6154999999999</v>
      </c>
      <c r="F894" s="738">
        <v>31599.326799999999</v>
      </c>
      <c r="G894" s="738">
        <v>595.70998315407724</v>
      </c>
    </row>
    <row r="895" spans="2:7" x14ac:dyDescent="0.25">
      <c r="B895" s="737" t="s">
        <v>4239</v>
      </c>
      <c r="C895" s="737" t="s">
        <v>4240</v>
      </c>
      <c r="D895" s="738">
        <v>4324.7273999999998</v>
      </c>
      <c r="E895" s="738">
        <v>2266.2012</v>
      </c>
      <c r="F895" s="738">
        <v>30718.366300000002</v>
      </c>
      <c r="G895" s="738">
        <v>595.70998315407724</v>
      </c>
    </row>
    <row r="896" spans="2:7" x14ac:dyDescent="0.25">
      <c r="B896" s="737" t="s">
        <v>4241</v>
      </c>
      <c r="C896" s="737" t="s">
        <v>4242</v>
      </c>
      <c r="D896" s="738">
        <v>4331.0564999999997</v>
      </c>
      <c r="E896" s="738">
        <v>2357.5693000000001</v>
      </c>
      <c r="F896" s="738">
        <v>29903.5036</v>
      </c>
      <c r="G896" s="738">
        <v>595.70998315407724</v>
      </c>
    </row>
    <row r="897" spans="2:7" x14ac:dyDescent="0.25">
      <c r="B897" s="737" t="s">
        <v>4243</v>
      </c>
      <c r="C897" s="737" t="s">
        <v>4244</v>
      </c>
      <c r="D897" s="738">
        <v>4396.0702000000001</v>
      </c>
      <c r="E897" s="738">
        <v>2316.0183999999999</v>
      </c>
      <c r="F897" s="738">
        <v>31472.758900000001</v>
      </c>
      <c r="G897" s="738">
        <v>595.70998315407724</v>
      </c>
    </row>
    <row r="898" spans="2:7" x14ac:dyDescent="0.25">
      <c r="B898" s="737" t="s">
        <v>4245</v>
      </c>
      <c r="C898" s="737" t="s">
        <v>4246</v>
      </c>
      <c r="D898" s="738">
        <v>4479.8110999999999</v>
      </c>
      <c r="E898" s="738">
        <v>2505.7846</v>
      </c>
      <c r="F898" s="738">
        <v>31036.338500000002</v>
      </c>
      <c r="G898" s="738">
        <v>595.70998315407724</v>
      </c>
    </row>
    <row r="899" spans="2:7" x14ac:dyDescent="0.25">
      <c r="B899" s="737" t="s">
        <v>4247</v>
      </c>
      <c r="C899" s="737" t="s">
        <v>4248</v>
      </c>
      <c r="D899" s="738">
        <v>4420.7825999999995</v>
      </c>
      <c r="E899" s="738">
        <v>2457.0169000000001</v>
      </c>
      <c r="F899" s="738">
        <v>30474.433000000001</v>
      </c>
      <c r="G899" s="738">
        <v>595.70998315407724</v>
      </c>
    </row>
    <row r="900" spans="2:7" x14ac:dyDescent="0.25">
      <c r="B900" s="737" t="s">
        <v>4249</v>
      </c>
      <c r="C900" s="737" t="s">
        <v>4250</v>
      </c>
      <c r="D900" s="738">
        <v>4333.5958000000001</v>
      </c>
      <c r="E900" s="738">
        <v>2464.1695</v>
      </c>
      <c r="F900" s="738">
        <v>28755.171399999999</v>
      </c>
      <c r="G900" s="738">
        <v>595.70998315407724</v>
      </c>
    </row>
    <row r="901" spans="2:7" x14ac:dyDescent="0.25">
      <c r="B901" s="737" t="s">
        <v>4251</v>
      </c>
      <c r="C901" s="737" t="s">
        <v>4252</v>
      </c>
      <c r="D901" s="738">
        <v>4392.6971000000003</v>
      </c>
      <c r="E901" s="738">
        <v>2472.5327000000002</v>
      </c>
      <c r="F901" s="738">
        <v>29833.9529</v>
      </c>
      <c r="G901" s="738">
        <v>595.70998315407724</v>
      </c>
    </row>
    <row r="902" spans="2:7" x14ac:dyDescent="0.25">
      <c r="B902" s="737" t="s">
        <v>4253</v>
      </c>
      <c r="C902" s="737" t="s">
        <v>4254</v>
      </c>
      <c r="D902" s="738">
        <v>4439.0591000000004</v>
      </c>
      <c r="E902" s="738">
        <v>2287.4748</v>
      </c>
      <c r="F902" s="738">
        <v>32592.6976</v>
      </c>
      <c r="G902" s="738">
        <v>595.70998315407724</v>
      </c>
    </row>
    <row r="903" spans="2:7" x14ac:dyDescent="0.25">
      <c r="B903" s="737" t="s">
        <v>4255</v>
      </c>
      <c r="C903" s="737" t="s">
        <v>4256</v>
      </c>
      <c r="D903" s="738">
        <v>4226.1566000000003</v>
      </c>
      <c r="E903" s="738">
        <v>2139.8836000000001</v>
      </c>
      <c r="F903" s="738">
        <v>30269.022700000001</v>
      </c>
      <c r="G903" s="738">
        <v>595.70998315407724</v>
      </c>
    </row>
    <row r="904" spans="2:7" x14ac:dyDescent="0.25">
      <c r="B904" s="737" t="s">
        <v>4257</v>
      </c>
      <c r="C904" s="737" t="s">
        <v>4258</v>
      </c>
      <c r="D904" s="738">
        <v>4388.4763999999996</v>
      </c>
      <c r="E904" s="738">
        <v>2257.3467000000001</v>
      </c>
      <c r="F904" s="738">
        <v>32077.564600000002</v>
      </c>
      <c r="G904" s="738">
        <v>595.70998315407724</v>
      </c>
    </row>
    <row r="905" spans="2:7" x14ac:dyDescent="0.25">
      <c r="B905" s="737" t="s">
        <v>4259</v>
      </c>
      <c r="C905" s="737" t="s">
        <v>4260</v>
      </c>
      <c r="D905" s="738">
        <v>4430.6804000000002</v>
      </c>
      <c r="E905" s="738">
        <v>2323.1152000000002</v>
      </c>
      <c r="F905" s="738">
        <v>31989.430700000001</v>
      </c>
      <c r="G905" s="738">
        <v>595.70998315407724</v>
      </c>
    </row>
    <row r="906" spans="2:7" x14ac:dyDescent="0.25">
      <c r="B906" s="737" t="s">
        <v>4261</v>
      </c>
      <c r="C906" s="737" t="s">
        <v>4262</v>
      </c>
      <c r="D906" s="738">
        <v>4438.4984999999997</v>
      </c>
      <c r="E906" s="738">
        <v>2377.5864000000001</v>
      </c>
      <c r="F906" s="738">
        <v>31554.628000000001</v>
      </c>
      <c r="G906" s="738">
        <v>595.70998315407724</v>
      </c>
    </row>
    <row r="907" spans="2:7" x14ac:dyDescent="0.25">
      <c r="B907" s="737" t="s">
        <v>4263</v>
      </c>
      <c r="C907" s="737" t="s">
        <v>4264</v>
      </c>
      <c r="D907" s="738">
        <v>4468.5532000000003</v>
      </c>
      <c r="E907" s="738">
        <v>2186.598</v>
      </c>
      <c r="F907" s="738">
        <v>34125.104099999997</v>
      </c>
      <c r="G907" s="738">
        <v>595.70998315407724</v>
      </c>
    </row>
    <row r="908" spans="2:7" x14ac:dyDescent="0.25">
      <c r="B908" s="737" t="s">
        <v>4265</v>
      </c>
      <c r="C908" s="737" t="s">
        <v>4266</v>
      </c>
      <c r="D908" s="738">
        <v>4417.0646999999999</v>
      </c>
      <c r="E908" s="738">
        <v>2351.0502000000001</v>
      </c>
      <c r="F908" s="738">
        <v>31593.875899999999</v>
      </c>
      <c r="G908" s="738">
        <v>595.70998315407724</v>
      </c>
    </row>
    <row r="909" spans="2:7" x14ac:dyDescent="0.25">
      <c r="B909" s="737" t="s">
        <v>4267</v>
      </c>
      <c r="C909" s="737" t="s">
        <v>4268</v>
      </c>
      <c r="D909" s="738">
        <v>4313.5030999999999</v>
      </c>
      <c r="E909" s="738">
        <v>1983.1658</v>
      </c>
      <c r="F909" s="738">
        <v>33098.885600000001</v>
      </c>
      <c r="G909" s="738">
        <v>595.70998315407724</v>
      </c>
    </row>
    <row r="910" spans="2:7" x14ac:dyDescent="0.25">
      <c r="B910" s="737" t="s">
        <v>4269</v>
      </c>
      <c r="C910" s="737" t="s">
        <v>4270</v>
      </c>
      <c r="D910" s="738">
        <v>4329.9682000000003</v>
      </c>
      <c r="E910" s="738">
        <v>2167.9524000000001</v>
      </c>
      <c r="F910" s="738">
        <v>31976.766800000001</v>
      </c>
      <c r="G910" s="738">
        <v>595.70998315407724</v>
      </c>
    </row>
    <row r="911" spans="2:7" x14ac:dyDescent="0.25">
      <c r="B911" s="737" t="s">
        <v>4271</v>
      </c>
      <c r="C911" s="737" t="s">
        <v>4272</v>
      </c>
      <c r="D911" s="738">
        <v>4289.5835999999999</v>
      </c>
      <c r="E911" s="738">
        <v>2321.8807000000002</v>
      </c>
      <c r="F911" s="738">
        <v>29536.543799999999</v>
      </c>
      <c r="G911" s="738">
        <v>595.70998315407724</v>
      </c>
    </row>
    <row r="912" spans="2:7" x14ac:dyDescent="0.25">
      <c r="B912" s="737" t="s">
        <v>4273</v>
      </c>
      <c r="C912" s="737" t="s">
        <v>4274</v>
      </c>
      <c r="D912" s="738">
        <v>4233.6578</v>
      </c>
      <c r="E912" s="738">
        <v>2161.9454000000001</v>
      </c>
      <c r="F912" s="738">
        <v>30223.117099999999</v>
      </c>
      <c r="G912" s="738">
        <v>595.70998315407724</v>
      </c>
    </row>
    <row r="913" spans="2:7" x14ac:dyDescent="0.25">
      <c r="B913" s="737" t="s">
        <v>4275</v>
      </c>
      <c r="C913" s="737" t="s">
        <v>4276</v>
      </c>
      <c r="D913" s="738">
        <v>4357.9413000000004</v>
      </c>
      <c r="E913" s="738">
        <v>2280.2015000000001</v>
      </c>
      <c r="F913" s="738">
        <v>31155.561799999999</v>
      </c>
      <c r="G913" s="738">
        <v>595.70998315407724</v>
      </c>
    </row>
    <row r="914" spans="2:7" x14ac:dyDescent="0.25">
      <c r="B914" s="737" t="s">
        <v>4277</v>
      </c>
      <c r="C914" s="737" t="s">
        <v>4278</v>
      </c>
      <c r="D914" s="738">
        <v>4316.2960000000003</v>
      </c>
      <c r="E914" s="738">
        <v>2042.6069</v>
      </c>
      <c r="F914" s="738">
        <v>33023.893100000001</v>
      </c>
      <c r="G914" s="738">
        <v>610.82636803808782</v>
      </c>
    </row>
    <row r="915" spans="2:7" x14ac:dyDescent="0.25">
      <c r="B915" s="737" t="s">
        <v>4279</v>
      </c>
      <c r="C915" s="737" t="s">
        <v>4280</v>
      </c>
      <c r="D915" s="738">
        <v>4305.7813999999998</v>
      </c>
      <c r="E915" s="738">
        <v>2066.2723000000001</v>
      </c>
      <c r="F915" s="738">
        <v>31946.4588</v>
      </c>
      <c r="G915" s="738">
        <v>610.82636803808782</v>
      </c>
    </row>
    <row r="916" spans="2:7" x14ac:dyDescent="0.25">
      <c r="B916" s="737" t="s">
        <v>4281</v>
      </c>
      <c r="C916" s="737" t="s">
        <v>4282</v>
      </c>
      <c r="D916" s="738">
        <v>4466.3419000000004</v>
      </c>
      <c r="E916" s="738">
        <v>1886.8496</v>
      </c>
      <c r="F916" s="738">
        <v>36953.338199999998</v>
      </c>
      <c r="G916" s="738">
        <v>610.82636803808782</v>
      </c>
    </row>
    <row r="917" spans="2:7" x14ac:dyDescent="0.25">
      <c r="B917" s="737" t="s">
        <v>4283</v>
      </c>
      <c r="C917" s="737" t="s">
        <v>4284</v>
      </c>
      <c r="D917" s="738">
        <v>3979.1639</v>
      </c>
      <c r="E917" s="738">
        <v>1878.4499000000001</v>
      </c>
      <c r="F917" s="738">
        <v>38829.142099999997</v>
      </c>
      <c r="G917" s="738">
        <v>610.82636803808782</v>
      </c>
    </row>
    <row r="918" spans="2:7" x14ac:dyDescent="0.25">
      <c r="B918" s="737" t="s">
        <v>4285</v>
      </c>
      <c r="C918" s="737" t="s">
        <v>4286</v>
      </c>
      <c r="D918" s="738">
        <v>4259.8634000000002</v>
      </c>
      <c r="E918" s="738">
        <v>2053.2959999999998</v>
      </c>
      <c r="F918" s="738">
        <v>31363.6126</v>
      </c>
      <c r="G918" s="738">
        <v>610.82636803808782</v>
      </c>
    </row>
    <row r="919" spans="2:7" x14ac:dyDescent="0.25">
      <c r="B919" s="737" t="s">
        <v>4287</v>
      </c>
      <c r="C919" s="737" t="s">
        <v>4288</v>
      </c>
      <c r="D919" s="738">
        <v>4265.4840000000004</v>
      </c>
      <c r="E919" s="738">
        <v>2024.9953</v>
      </c>
      <c r="F919" s="738">
        <v>32358.9195</v>
      </c>
      <c r="G919" s="738">
        <v>610.82636803808782</v>
      </c>
    </row>
    <row r="920" spans="2:7" x14ac:dyDescent="0.25">
      <c r="B920" s="737" t="s">
        <v>4289</v>
      </c>
      <c r="C920" s="737" t="s">
        <v>4290</v>
      </c>
      <c r="D920" s="738">
        <v>4254.4976999999999</v>
      </c>
      <c r="E920" s="738">
        <v>2114.3085999999998</v>
      </c>
      <c r="F920" s="738">
        <v>31203.5072</v>
      </c>
      <c r="G920" s="738">
        <v>595.70998315407724</v>
      </c>
    </row>
    <row r="921" spans="2:7" x14ac:dyDescent="0.25">
      <c r="B921" s="737" t="s">
        <v>4291</v>
      </c>
      <c r="C921" s="737" t="s">
        <v>4292</v>
      </c>
      <c r="D921" s="738">
        <v>4489.4438</v>
      </c>
      <c r="E921" s="738">
        <v>1963.6478999999999</v>
      </c>
      <c r="F921" s="738">
        <v>36504.105499999998</v>
      </c>
      <c r="G921" s="738">
        <v>306.55245831338061</v>
      </c>
    </row>
    <row r="922" spans="2:7" x14ac:dyDescent="0.25">
      <c r="B922" s="737" t="s">
        <v>4293</v>
      </c>
      <c r="C922" s="737" t="s">
        <v>4294</v>
      </c>
      <c r="D922" s="738">
        <v>4664.2731000000003</v>
      </c>
      <c r="E922" s="738">
        <v>1907.8317</v>
      </c>
      <c r="F922" s="738">
        <v>40259.954100000003</v>
      </c>
      <c r="G922" s="738">
        <v>610.82636803808782</v>
      </c>
    </row>
    <row r="923" spans="2:7" x14ac:dyDescent="0.25">
      <c r="B923" s="737" t="s">
        <v>4295</v>
      </c>
      <c r="C923" s="737" t="s">
        <v>4296</v>
      </c>
      <c r="D923" s="738">
        <v>3744.7811000000002</v>
      </c>
      <c r="E923" s="738">
        <v>2008.5479</v>
      </c>
      <c r="F923" s="738">
        <v>33876.019999999997</v>
      </c>
      <c r="G923" s="738">
        <v>306.55245831338061</v>
      </c>
    </row>
    <row r="924" spans="2:7" x14ac:dyDescent="0.25">
      <c r="B924" s="737" t="s">
        <v>4297</v>
      </c>
      <c r="C924" s="737" t="s">
        <v>4298</v>
      </c>
      <c r="D924" s="738">
        <v>4643.3919999999998</v>
      </c>
      <c r="E924" s="738">
        <v>1888.5862999999999</v>
      </c>
      <c r="F924" s="738">
        <v>40097.172100000003</v>
      </c>
      <c r="G924" s="738">
        <v>610.82636803808782</v>
      </c>
    </row>
    <row r="925" spans="2:7" x14ac:dyDescent="0.25">
      <c r="B925" s="737" t="s">
        <v>4299</v>
      </c>
      <c r="C925" s="737" t="s">
        <v>4300</v>
      </c>
      <c r="D925" s="738">
        <v>4362.4282999999996</v>
      </c>
      <c r="E925" s="738">
        <v>2073.7280999999998</v>
      </c>
      <c r="F925" s="738">
        <v>32907.286200000002</v>
      </c>
      <c r="G925" s="738">
        <v>610.82636803808782</v>
      </c>
    </row>
    <row r="926" spans="2:7" x14ac:dyDescent="0.25">
      <c r="B926" s="737" t="s">
        <v>4301</v>
      </c>
      <c r="C926" s="737" t="s">
        <v>4302</v>
      </c>
      <c r="D926" s="738">
        <v>3399.4688999999998</v>
      </c>
      <c r="E926" s="738">
        <v>2031.5284999999999</v>
      </c>
      <c r="F926" s="738">
        <v>27522.2045</v>
      </c>
      <c r="G926" s="738">
        <v>306.55245831338061</v>
      </c>
    </row>
    <row r="927" spans="2:7" x14ac:dyDescent="0.25">
      <c r="B927" s="737" t="s">
        <v>4303</v>
      </c>
      <c r="C927" s="737" t="s">
        <v>4304</v>
      </c>
      <c r="D927" s="738">
        <v>3517.3739</v>
      </c>
      <c r="E927" s="738">
        <v>2006.2485999999999</v>
      </c>
      <c r="F927" s="738">
        <v>29737.670099999999</v>
      </c>
      <c r="G927" s="738">
        <v>306.55245831338061</v>
      </c>
    </row>
    <row r="928" spans="2:7" x14ac:dyDescent="0.25">
      <c r="B928" s="737" t="s">
        <v>4305</v>
      </c>
      <c r="C928" s="737" t="s">
        <v>4306</v>
      </c>
      <c r="D928" s="738">
        <v>4028.0911999999998</v>
      </c>
      <c r="E928" s="738">
        <v>1903.1116999999999</v>
      </c>
      <c r="F928" s="738">
        <v>39586.674200000001</v>
      </c>
      <c r="G928" s="738">
        <v>306.55245831338061</v>
      </c>
    </row>
    <row r="929" spans="2:7" x14ac:dyDescent="0.25">
      <c r="B929" s="737" t="s">
        <v>4307</v>
      </c>
      <c r="C929" s="737" t="s">
        <v>4308</v>
      </c>
      <c r="D929" s="738">
        <v>3929.0871999999999</v>
      </c>
      <c r="E929" s="738">
        <v>1912.5650000000001</v>
      </c>
      <c r="F929" s="738">
        <v>37734.618300000002</v>
      </c>
      <c r="G929" s="738">
        <v>610.82636803808782</v>
      </c>
    </row>
    <row r="930" spans="2:7" x14ac:dyDescent="0.25">
      <c r="B930" s="737" t="s">
        <v>4309</v>
      </c>
      <c r="C930" s="737" t="s">
        <v>4310</v>
      </c>
      <c r="D930" s="738">
        <v>3545.6089999999999</v>
      </c>
      <c r="E930" s="738">
        <v>2041.5315000000001</v>
      </c>
      <c r="F930" s="738">
        <v>30093.009099999999</v>
      </c>
      <c r="G930" s="738">
        <v>306.55245831338061</v>
      </c>
    </row>
    <row r="931" spans="2:7" x14ac:dyDescent="0.25">
      <c r="B931" s="737" t="s">
        <v>4311</v>
      </c>
      <c r="C931" s="737" t="s">
        <v>4312</v>
      </c>
      <c r="D931" s="738">
        <v>3651.0073000000002</v>
      </c>
      <c r="E931" s="738">
        <v>2070.9533000000001</v>
      </c>
      <c r="F931" s="738">
        <v>31832.314999999999</v>
      </c>
      <c r="G931" s="738">
        <v>306.55245831338061</v>
      </c>
    </row>
    <row r="932" spans="2:7" x14ac:dyDescent="0.25">
      <c r="B932" s="737" t="s">
        <v>4313</v>
      </c>
      <c r="C932" s="737" t="s">
        <v>4314</v>
      </c>
      <c r="D932" s="738">
        <v>4549.4965000000002</v>
      </c>
      <c r="E932" s="738">
        <v>1948.2509</v>
      </c>
      <c r="F932" s="738">
        <v>37771.1855</v>
      </c>
      <c r="G932" s="738">
        <v>610.82636803808782</v>
      </c>
    </row>
    <row r="933" spans="2:7" x14ac:dyDescent="0.25">
      <c r="B933" s="737" t="s">
        <v>4315</v>
      </c>
      <c r="C933" s="737" t="s">
        <v>4316</v>
      </c>
      <c r="D933" s="738">
        <v>4529.3413</v>
      </c>
      <c r="E933" s="738">
        <v>2010.0978</v>
      </c>
      <c r="F933" s="738">
        <v>36690.114699999998</v>
      </c>
      <c r="G933" s="738">
        <v>610.82636803808782</v>
      </c>
    </row>
    <row r="934" spans="2:7" x14ac:dyDescent="0.25">
      <c r="B934" s="737" t="s">
        <v>4317</v>
      </c>
      <c r="C934" s="737" t="s">
        <v>4318</v>
      </c>
      <c r="D934" s="738">
        <v>4065.0261</v>
      </c>
      <c r="E934" s="738">
        <v>1874.3516999999999</v>
      </c>
      <c r="F934" s="738">
        <v>40413.232799999998</v>
      </c>
      <c r="G934" s="738">
        <v>306.55245831338061</v>
      </c>
    </row>
    <row r="935" spans="2:7" x14ac:dyDescent="0.25">
      <c r="B935" s="737" t="s">
        <v>4319</v>
      </c>
      <c r="C935" s="737" t="s">
        <v>4320</v>
      </c>
      <c r="D935" s="738">
        <v>4794.1815999999999</v>
      </c>
      <c r="E935" s="738">
        <v>1846.4059</v>
      </c>
      <c r="F935" s="738">
        <v>43283.566299999999</v>
      </c>
      <c r="G935" s="738">
        <v>306.55245831338061</v>
      </c>
    </row>
    <row r="936" spans="2:7" x14ac:dyDescent="0.25">
      <c r="B936" s="737" t="s">
        <v>4321</v>
      </c>
      <c r="C936" s="737" t="s">
        <v>4322</v>
      </c>
      <c r="D936" s="738">
        <v>3742.8159999999998</v>
      </c>
      <c r="E936" s="738">
        <v>1969.6061999999999</v>
      </c>
      <c r="F936" s="738">
        <v>34068.323299999996</v>
      </c>
      <c r="G936" s="738">
        <v>306.55245831338061</v>
      </c>
    </row>
    <row r="937" spans="2:7" x14ac:dyDescent="0.25">
      <c r="B937" s="737" t="s">
        <v>4323</v>
      </c>
      <c r="C937" s="737" t="s">
        <v>4324</v>
      </c>
      <c r="D937" s="738">
        <v>3831.0342000000001</v>
      </c>
      <c r="E937" s="738">
        <v>1914.7440999999999</v>
      </c>
      <c r="F937" s="738">
        <v>35967.105499999998</v>
      </c>
      <c r="G937" s="738">
        <v>306.55245831338061</v>
      </c>
    </row>
    <row r="938" spans="2:7" x14ac:dyDescent="0.25">
      <c r="B938" s="737" t="s">
        <v>4325</v>
      </c>
      <c r="C938" s="737" t="s">
        <v>4326</v>
      </c>
      <c r="D938" s="738">
        <v>3681.6848</v>
      </c>
      <c r="E938" s="738">
        <v>2025.8173999999999</v>
      </c>
      <c r="F938" s="738">
        <v>32604.9192</v>
      </c>
      <c r="G938" s="738">
        <v>306.55245831338061</v>
      </c>
    </row>
    <row r="939" spans="2:7" x14ac:dyDescent="0.25">
      <c r="B939" s="737" t="s">
        <v>4327</v>
      </c>
      <c r="C939" s="737" t="s">
        <v>4328</v>
      </c>
      <c r="D939" s="738">
        <v>3571.1457999999998</v>
      </c>
      <c r="E939" s="738">
        <v>2088.7678000000001</v>
      </c>
      <c r="F939" s="738">
        <v>30296.153200000001</v>
      </c>
      <c r="G939" s="738">
        <v>306.55245831338061</v>
      </c>
    </row>
    <row r="940" spans="2:7" x14ac:dyDescent="0.25">
      <c r="B940" s="737" t="s">
        <v>4329</v>
      </c>
      <c r="C940" s="737" t="s">
        <v>4330</v>
      </c>
      <c r="D940" s="738">
        <v>3676.5356000000002</v>
      </c>
      <c r="E940" s="738">
        <v>2121.2159000000001</v>
      </c>
      <c r="F940" s="738">
        <v>31985.522199999999</v>
      </c>
      <c r="G940" s="738">
        <v>306.55245831338061</v>
      </c>
    </row>
    <row r="941" spans="2:7" x14ac:dyDescent="0.25">
      <c r="B941" s="737" t="s">
        <v>4331</v>
      </c>
      <c r="C941" s="737" t="s">
        <v>4332</v>
      </c>
      <c r="D941" s="738">
        <v>3889.6082999999999</v>
      </c>
      <c r="E941" s="738">
        <v>2035.8173999999999</v>
      </c>
      <c r="F941" s="738">
        <v>36353.841999999997</v>
      </c>
      <c r="G941" s="738">
        <v>306.55245831338061</v>
      </c>
    </row>
    <row r="942" spans="2:7" x14ac:dyDescent="0.25">
      <c r="B942" s="737" t="s">
        <v>4333</v>
      </c>
      <c r="C942" s="737" t="s">
        <v>4334</v>
      </c>
      <c r="D942" s="738">
        <v>3718.1954999999998</v>
      </c>
      <c r="E942" s="738">
        <v>2070.9079999999999</v>
      </c>
      <c r="F942" s="738">
        <v>33066.946100000001</v>
      </c>
      <c r="G942" s="738">
        <v>306.55245831338061</v>
      </c>
    </row>
    <row r="943" spans="2:7" x14ac:dyDescent="0.25">
      <c r="B943" s="737" t="s">
        <v>4335</v>
      </c>
      <c r="C943" s="737" t="s">
        <v>4336</v>
      </c>
      <c r="D943" s="738">
        <v>3319.2195999999999</v>
      </c>
      <c r="E943" s="738">
        <v>1889.9340999999999</v>
      </c>
      <c r="F943" s="738">
        <v>29278.181799999998</v>
      </c>
      <c r="G943" s="738">
        <v>237.61611909057012</v>
      </c>
    </row>
    <row r="944" spans="2:7" x14ac:dyDescent="0.25">
      <c r="B944" s="737" t="s">
        <v>4337</v>
      </c>
      <c r="C944" s="737" t="s">
        <v>4338</v>
      </c>
      <c r="D944" s="738">
        <v>3817.5655999999999</v>
      </c>
      <c r="E944" s="738">
        <v>1911.7523000000001</v>
      </c>
      <c r="F944" s="738">
        <v>38123.038200000003</v>
      </c>
      <c r="G944" s="738">
        <v>306.55245831338061</v>
      </c>
    </row>
    <row r="945" spans="2:7" x14ac:dyDescent="0.25">
      <c r="B945" s="737" t="s">
        <v>4339</v>
      </c>
      <c r="C945" s="737" t="s">
        <v>4340</v>
      </c>
      <c r="D945" s="738">
        <v>3828.3474999999999</v>
      </c>
      <c r="E945" s="738">
        <v>1850.0322000000001</v>
      </c>
      <c r="F945" s="738">
        <v>38626.529399999999</v>
      </c>
      <c r="G945" s="738">
        <v>306.55245831338061</v>
      </c>
    </row>
    <row r="946" spans="2:7" x14ac:dyDescent="0.25">
      <c r="B946" s="737" t="s">
        <v>4341</v>
      </c>
      <c r="C946" s="737" t="s">
        <v>4342</v>
      </c>
      <c r="D946" s="738">
        <v>3904.7221</v>
      </c>
      <c r="E946" s="738">
        <v>2039.2743</v>
      </c>
      <c r="F946" s="738">
        <v>36599.309699999998</v>
      </c>
      <c r="G946" s="738">
        <v>306.55245831338061</v>
      </c>
    </row>
    <row r="947" spans="2:7" x14ac:dyDescent="0.25">
      <c r="B947" s="737" t="s">
        <v>4343</v>
      </c>
      <c r="C947" s="737" t="s">
        <v>4344</v>
      </c>
      <c r="D947" s="738">
        <v>3576.4917</v>
      </c>
      <c r="E947" s="738">
        <v>1950.0953</v>
      </c>
      <c r="F947" s="738">
        <v>31161.6178</v>
      </c>
      <c r="G947" s="738">
        <v>306.55245831338061</v>
      </c>
    </row>
    <row r="948" spans="2:7" x14ac:dyDescent="0.25">
      <c r="B948" s="737" t="s">
        <v>4345</v>
      </c>
      <c r="C948" s="737" t="s">
        <v>4346</v>
      </c>
      <c r="D948" s="738">
        <v>3567.9616000000001</v>
      </c>
      <c r="E948" s="738">
        <v>1941.9009000000001</v>
      </c>
      <c r="F948" s="738">
        <v>31056.9879</v>
      </c>
      <c r="G948" s="738">
        <v>306.55245831338061</v>
      </c>
    </row>
    <row r="949" spans="2:7" x14ac:dyDescent="0.25">
      <c r="B949" s="737" t="s">
        <v>4347</v>
      </c>
      <c r="C949" s="737" t="s">
        <v>4348</v>
      </c>
      <c r="D949" s="738">
        <v>3953.8018999999999</v>
      </c>
      <c r="E949" s="738">
        <v>1917.9213</v>
      </c>
      <c r="F949" s="738">
        <v>38104.733099999998</v>
      </c>
      <c r="G949" s="738">
        <v>306.55245831338061</v>
      </c>
    </row>
    <row r="950" spans="2:7" x14ac:dyDescent="0.25">
      <c r="B950" s="737" t="s">
        <v>4349</v>
      </c>
      <c r="C950" s="737" t="s">
        <v>4350</v>
      </c>
      <c r="D950" s="738">
        <v>3606.5616</v>
      </c>
      <c r="E950" s="738">
        <v>1895.1957</v>
      </c>
      <c r="F950" s="738">
        <v>32010.835299999999</v>
      </c>
      <c r="G950" s="738">
        <v>306.55245831338061</v>
      </c>
    </row>
    <row r="951" spans="2:7" x14ac:dyDescent="0.25">
      <c r="B951" s="737" t="s">
        <v>4351</v>
      </c>
      <c r="C951" s="737" t="s">
        <v>4352</v>
      </c>
      <c r="D951" s="738">
        <v>2775.2719999999999</v>
      </c>
      <c r="E951" s="738">
        <v>2001.1729</v>
      </c>
      <c r="F951" s="738">
        <v>18988.072800000002</v>
      </c>
      <c r="G951" s="738">
        <v>237.61611909057012</v>
      </c>
    </row>
    <row r="952" spans="2:7" x14ac:dyDescent="0.25">
      <c r="B952" s="737" t="s">
        <v>4353</v>
      </c>
      <c r="C952" s="737" t="s">
        <v>4354</v>
      </c>
      <c r="D952" s="738">
        <v>2774.3955000000001</v>
      </c>
      <c r="E952" s="738">
        <v>2271.8852000000002</v>
      </c>
      <c r="F952" s="738">
        <v>17804.128400000001</v>
      </c>
      <c r="G952" s="738">
        <v>237.61611909057012</v>
      </c>
    </row>
    <row r="953" spans="2:7" x14ac:dyDescent="0.25">
      <c r="B953" s="737" t="s">
        <v>4355</v>
      </c>
      <c r="C953" s="737" t="s">
        <v>4356</v>
      </c>
      <c r="D953" s="738">
        <v>2725.5713000000001</v>
      </c>
      <c r="E953" s="738">
        <v>2216.5322000000001</v>
      </c>
      <c r="F953" s="738">
        <v>17161.1659</v>
      </c>
      <c r="G953" s="738">
        <v>237.61611909057012</v>
      </c>
    </row>
    <row r="954" spans="2:7" x14ac:dyDescent="0.25">
      <c r="B954" s="737" t="s">
        <v>4357</v>
      </c>
      <c r="C954" s="737" t="s">
        <v>4358</v>
      </c>
      <c r="D954" s="738">
        <v>2874.5463</v>
      </c>
      <c r="E954" s="738">
        <v>1852.0675000000001</v>
      </c>
      <c r="F954" s="738">
        <v>21425.010699999999</v>
      </c>
      <c r="G954" s="738">
        <v>237.61611909057012</v>
      </c>
    </row>
    <row r="955" spans="2:7" x14ac:dyDescent="0.25">
      <c r="B955" s="737" t="s">
        <v>4359</v>
      </c>
      <c r="C955" s="737" t="s">
        <v>4360</v>
      </c>
      <c r="D955" s="738">
        <v>3005.8238999999999</v>
      </c>
      <c r="E955" s="738">
        <v>1861.9007999999999</v>
      </c>
      <c r="F955" s="738">
        <v>21371.023799999999</v>
      </c>
      <c r="G955" s="738">
        <v>306.55245831338061</v>
      </c>
    </row>
    <row r="956" spans="2:7" x14ac:dyDescent="0.25">
      <c r="B956" s="737" t="s">
        <v>4361</v>
      </c>
      <c r="C956" s="737" t="s">
        <v>4362</v>
      </c>
      <c r="D956" s="738">
        <v>3353.2793000000001</v>
      </c>
      <c r="E956" s="738">
        <v>1956.3297</v>
      </c>
      <c r="F956" s="738">
        <v>27099.808199999999</v>
      </c>
      <c r="G956" s="738">
        <v>306.55245831338061</v>
      </c>
    </row>
    <row r="957" spans="2:7" x14ac:dyDescent="0.25">
      <c r="B957" s="737" t="s">
        <v>4363</v>
      </c>
      <c r="C957" s="737" t="s">
        <v>4364</v>
      </c>
      <c r="D957" s="738">
        <v>3656.6781999999998</v>
      </c>
      <c r="E957" s="738">
        <v>1988.57</v>
      </c>
      <c r="F957" s="738">
        <v>32390.396700000001</v>
      </c>
      <c r="G957" s="738">
        <v>306.55245831338061</v>
      </c>
    </row>
    <row r="958" spans="2:7" x14ac:dyDescent="0.25">
      <c r="B958" s="737" t="s">
        <v>4365</v>
      </c>
      <c r="C958" s="737" t="s">
        <v>4366</v>
      </c>
      <c r="D958" s="738">
        <v>3126.4502000000002</v>
      </c>
      <c r="E958" s="738">
        <v>1925.6039000000001</v>
      </c>
      <c r="F958" s="738">
        <v>23194.284100000001</v>
      </c>
      <c r="G958" s="738">
        <v>306.55245831338061</v>
      </c>
    </row>
    <row r="959" spans="2:7" x14ac:dyDescent="0.25">
      <c r="B959" s="737" t="s">
        <v>4367</v>
      </c>
      <c r="C959" s="737" t="s">
        <v>4368</v>
      </c>
      <c r="D959" s="738">
        <v>3375.3058999999998</v>
      </c>
      <c r="E959" s="738">
        <v>1846.1545000000001</v>
      </c>
      <c r="F959" s="738">
        <v>28110.224900000001</v>
      </c>
      <c r="G959" s="738">
        <v>306.55245831338061</v>
      </c>
    </row>
    <row r="960" spans="2:7" x14ac:dyDescent="0.25">
      <c r="B960" s="737" t="s">
        <v>4369</v>
      </c>
      <c r="C960" s="737" t="s">
        <v>4370</v>
      </c>
      <c r="D960" s="738">
        <v>3789.4494</v>
      </c>
      <c r="E960" s="738">
        <v>1932.5689</v>
      </c>
      <c r="F960" s="738">
        <v>35047.539700000001</v>
      </c>
      <c r="G960" s="738">
        <v>306.55245831338061</v>
      </c>
    </row>
    <row r="961" spans="2:7" x14ac:dyDescent="0.25">
      <c r="B961" s="737" t="s">
        <v>4371</v>
      </c>
      <c r="C961" s="737" t="s">
        <v>4372</v>
      </c>
      <c r="D961" s="738">
        <v>3594.1678999999999</v>
      </c>
      <c r="E961" s="738">
        <v>2129.2487000000001</v>
      </c>
      <c r="F961" s="738">
        <v>32684.394799999998</v>
      </c>
      <c r="G961" s="738">
        <v>251.58092376863095</v>
      </c>
    </row>
    <row r="962" spans="2:7" x14ac:dyDescent="0.25">
      <c r="B962" s="737" t="s">
        <v>4373</v>
      </c>
      <c r="C962" s="737" t="s">
        <v>4374</v>
      </c>
      <c r="D962" s="738">
        <v>3482.1990000000001</v>
      </c>
      <c r="E962" s="738">
        <v>2154.2829999999999</v>
      </c>
      <c r="F962" s="738">
        <v>30540.418000000001</v>
      </c>
      <c r="G962" s="738">
        <v>251.58092376863095</v>
      </c>
    </row>
    <row r="963" spans="2:7" x14ac:dyDescent="0.25">
      <c r="B963" s="737" t="s">
        <v>4375</v>
      </c>
      <c r="C963" s="737" t="s">
        <v>4376</v>
      </c>
      <c r="D963" s="738">
        <v>3603.9418999999998</v>
      </c>
      <c r="E963" s="738">
        <v>2099.4938000000002</v>
      </c>
      <c r="F963" s="738">
        <v>32994.343999999997</v>
      </c>
      <c r="G963" s="738">
        <v>251.58092376863095</v>
      </c>
    </row>
    <row r="964" spans="2:7" x14ac:dyDescent="0.25">
      <c r="B964" s="737" t="s">
        <v>4377</v>
      </c>
      <c r="C964" s="737" t="s">
        <v>4378</v>
      </c>
      <c r="D964" s="738">
        <v>3582.3143</v>
      </c>
      <c r="E964" s="738">
        <v>1952.1063999999999</v>
      </c>
      <c r="F964" s="738">
        <v>33209.649599999997</v>
      </c>
      <c r="G964" s="738">
        <v>251.58092376863095</v>
      </c>
    </row>
    <row r="965" spans="2:7" x14ac:dyDescent="0.25">
      <c r="B965" s="737" t="s">
        <v>4379</v>
      </c>
      <c r="C965" s="737" t="s">
        <v>4380</v>
      </c>
      <c r="D965" s="738">
        <v>3702.2489999999998</v>
      </c>
      <c r="E965" s="738">
        <v>2058.5142000000001</v>
      </c>
      <c r="F965" s="738">
        <v>34892.1296</v>
      </c>
      <c r="G965" s="738">
        <v>251.58092376863095</v>
      </c>
    </row>
    <row r="966" spans="2:7" x14ac:dyDescent="0.25">
      <c r="B966" s="737" t="s">
        <v>4381</v>
      </c>
      <c r="C966" s="737" t="s">
        <v>4382</v>
      </c>
      <c r="D966" s="738">
        <v>3592.1950000000002</v>
      </c>
      <c r="E966" s="738">
        <v>1919.1262999999999</v>
      </c>
      <c r="F966" s="738">
        <v>33541.382299999997</v>
      </c>
      <c r="G966" s="738">
        <v>251.58092376863095</v>
      </c>
    </row>
    <row r="967" spans="2:7" x14ac:dyDescent="0.25">
      <c r="B967" s="737" t="s">
        <v>4383</v>
      </c>
      <c r="C967" s="737" t="s">
        <v>4384</v>
      </c>
      <c r="D967" s="738">
        <v>3521.518</v>
      </c>
      <c r="E967" s="738">
        <v>1971.0364999999999</v>
      </c>
      <c r="F967" s="738">
        <v>32033.241699999999</v>
      </c>
      <c r="G967" s="738">
        <v>251.58092376863095</v>
      </c>
    </row>
    <row r="968" spans="2:7" x14ac:dyDescent="0.25">
      <c r="B968" s="737" t="s">
        <v>4385</v>
      </c>
      <c r="C968" s="737" t="s">
        <v>4386</v>
      </c>
      <c r="D968" s="738">
        <v>3927.2660000000001</v>
      </c>
      <c r="E968" s="738">
        <v>1967.4947999999999</v>
      </c>
      <c r="F968" s="738">
        <v>39443.089599999999</v>
      </c>
      <c r="G968" s="738">
        <v>251.58092376863095</v>
      </c>
    </row>
    <row r="969" spans="2:7" x14ac:dyDescent="0.25">
      <c r="B969" s="737" t="s">
        <v>4387</v>
      </c>
      <c r="C969" s="737" t="s">
        <v>4388</v>
      </c>
      <c r="D969" s="738">
        <v>3605.8497000000002</v>
      </c>
      <c r="E969" s="738">
        <v>2058.1596</v>
      </c>
      <c r="F969" s="738">
        <v>33207.5962</v>
      </c>
      <c r="G969" s="738">
        <v>251.58092376863095</v>
      </c>
    </row>
    <row r="970" spans="2:7" x14ac:dyDescent="0.25">
      <c r="B970" s="737" t="s">
        <v>4389</v>
      </c>
      <c r="C970" s="737" t="s">
        <v>4390</v>
      </c>
      <c r="D970" s="738">
        <v>3544.1091999999999</v>
      </c>
      <c r="E970" s="738">
        <v>2106.2730000000001</v>
      </c>
      <c r="F970" s="738">
        <v>31881.885200000001</v>
      </c>
      <c r="G970" s="738">
        <v>251.58092376863095</v>
      </c>
    </row>
    <row r="971" spans="2:7" x14ac:dyDescent="0.25">
      <c r="B971" s="737" t="s">
        <v>4391</v>
      </c>
      <c r="C971" s="737" t="s">
        <v>4392</v>
      </c>
      <c r="D971" s="738">
        <v>3620.5255000000002</v>
      </c>
      <c r="E971" s="738">
        <v>2139.3148000000001</v>
      </c>
      <c r="F971" s="738">
        <v>33108.039700000001</v>
      </c>
      <c r="G971" s="738">
        <v>251.58092376863095</v>
      </c>
    </row>
    <row r="972" spans="2:7" x14ac:dyDescent="0.25">
      <c r="B972" s="737" t="s">
        <v>4393</v>
      </c>
      <c r="C972" s="737" t="s">
        <v>4394</v>
      </c>
      <c r="D972" s="738">
        <v>4500.7943999999998</v>
      </c>
      <c r="E972" s="738">
        <v>1786.2086999999999</v>
      </c>
      <c r="F972" s="738">
        <v>50624.756800000003</v>
      </c>
      <c r="G972" s="738">
        <v>251.58092376863095</v>
      </c>
    </row>
    <row r="973" spans="2:7" x14ac:dyDescent="0.25">
      <c r="B973" s="737" t="s">
        <v>4395</v>
      </c>
      <c r="C973" s="737" t="s">
        <v>4396</v>
      </c>
      <c r="D973" s="738">
        <v>3611.1342</v>
      </c>
      <c r="E973" s="738">
        <v>2058.9340000000002</v>
      </c>
      <c r="F973" s="738">
        <v>33304.521999999997</v>
      </c>
      <c r="G973" s="738">
        <v>251.58092376863095</v>
      </c>
    </row>
    <row r="974" spans="2:7" x14ac:dyDescent="0.25">
      <c r="B974" s="737" t="s">
        <v>4397</v>
      </c>
      <c r="C974" s="737" t="s">
        <v>4398</v>
      </c>
      <c r="D974" s="738">
        <v>3548.3233</v>
      </c>
      <c r="E974" s="738">
        <v>2050.2651999999998</v>
      </c>
      <c r="F974" s="738">
        <v>32154.008999999998</v>
      </c>
      <c r="G974" s="738">
        <v>251.58092376863095</v>
      </c>
    </row>
    <row r="975" spans="2:7" x14ac:dyDescent="0.25">
      <c r="B975" s="737" t="s">
        <v>4399</v>
      </c>
      <c r="C975" s="737" t="s">
        <v>4400</v>
      </c>
      <c r="D975" s="738">
        <v>3787.6756</v>
      </c>
      <c r="E975" s="738">
        <v>2020.6216999999999</v>
      </c>
      <c r="F975" s="738">
        <v>36668.261599999998</v>
      </c>
      <c r="G975" s="738">
        <v>251.58092376863095</v>
      </c>
    </row>
    <row r="976" spans="2:7" x14ac:dyDescent="0.25">
      <c r="B976" s="737" t="s">
        <v>4401</v>
      </c>
      <c r="C976" s="737" t="s">
        <v>4402</v>
      </c>
      <c r="D976" s="738">
        <v>3569.1284000000001</v>
      </c>
      <c r="E976" s="738">
        <v>2098.8645999999999</v>
      </c>
      <c r="F976" s="738">
        <v>32312.410599999999</v>
      </c>
      <c r="G976" s="738">
        <v>251.58092376863095</v>
      </c>
    </row>
    <row r="977" spans="2:7" x14ac:dyDescent="0.25">
      <c r="B977" s="737" t="s">
        <v>4403</v>
      </c>
      <c r="C977" s="737" t="s">
        <v>4404</v>
      </c>
      <c r="D977" s="738">
        <v>3578.4207999999999</v>
      </c>
      <c r="E977" s="738">
        <v>2095.2015000000001</v>
      </c>
      <c r="F977" s="738">
        <v>32556.303800000002</v>
      </c>
      <c r="G977" s="738">
        <v>251.58092376863095</v>
      </c>
    </row>
    <row r="978" spans="2:7" x14ac:dyDescent="0.25">
      <c r="B978" s="737" t="s">
        <v>4405</v>
      </c>
      <c r="C978" s="737" t="s">
        <v>4406</v>
      </c>
      <c r="D978" s="738">
        <v>3607.2118</v>
      </c>
      <c r="E978" s="738">
        <v>2017.2239</v>
      </c>
      <c r="F978" s="738">
        <v>33358.8125</v>
      </c>
      <c r="G978" s="738">
        <v>251.58092376863095</v>
      </c>
    </row>
    <row r="979" spans="2:7" x14ac:dyDescent="0.25">
      <c r="B979" s="737" t="s">
        <v>4407</v>
      </c>
      <c r="C979" s="737" t="s">
        <v>4408</v>
      </c>
      <c r="D979" s="738">
        <v>3614.7265000000002</v>
      </c>
      <c r="E979" s="738">
        <v>2145.1484999999998</v>
      </c>
      <c r="F979" s="738">
        <v>32990.523300000001</v>
      </c>
      <c r="G979" s="738">
        <v>251.58092376863095</v>
      </c>
    </row>
    <row r="980" spans="2:7" x14ac:dyDescent="0.25">
      <c r="B980" s="737" t="s">
        <v>4409</v>
      </c>
      <c r="C980" s="737" t="s">
        <v>4410</v>
      </c>
      <c r="D980" s="738">
        <v>3630.4400999999998</v>
      </c>
      <c r="E980" s="738">
        <v>2041.2106000000001</v>
      </c>
      <c r="F980" s="738">
        <v>33726.864099999999</v>
      </c>
      <c r="G980" s="738">
        <v>251.58092376863095</v>
      </c>
    </row>
    <row r="981" spans="2:7" x14ac:dyDescent="0.25">
      <c r="B981" s="737" t="s">
        <v>4411</v>
      </c>
      <c r="C981" s="737" t="s">
        <v>4412</v>
      </c>
      <c r="D981" s="738">
        <v>3376.7530999999999</v>
      </c>
      <c r="E981" s="738">
        <v>2133.0066999999999</v>
      </c>
      <c r="F981" s="738">
        <v>33891.507299999997</v>
      </c>
      <c r="G981" s="738">
        <v>121.0727592381094</v>
      </c>
    </row>
    <row r="982" spans="2:7" x14ac:dyDescent="0.25">
      <c r="B982" s="737" t="s">
        <v>4413</v>
      </c>
      <c r="C982" s="737" t="s">
        <v>4414</v>
      </c>
      <c r="D982" s="738">
        <v>3277.6385</v>
      </c>
      <c r="E982" s="738">
        <v>2160.9456</v>
      </c>
      <c r="F982" s="738">
        <v>32038.213899999999</v>
      </c>
      <c r="G982" s="738">
        <v>121.0727592381094</v>
      </c>
    </row>
    <row r="983" spans="2:7" x14ac:dyDescent="0.25">
      <c r="B983" s="737" t="s">
        <v>4415</v>
      </c>
      <c r="C983" s="737" t="s">
        <v>4416</v>
      </c>
      <c r="D983" s="738">
        <v>3526.4895999999999</v>
      </c>
      <c r="E983" s="738">
        <v>2007.9404</v>
      </c>
      <c r="F983" s="738">
        <v>36850.784</v>
      </c>
      <c r="G983" s="738">
        <v>121.0727592381094</v>
      </c>
    </row>
    <row r="984" spans="2:7" x14ac:dyDescent="0.25">
      <c r="B984" s="737" t="s">
        <v>4417</v>
      </c>
      <c r="C984" s="737" t="s">
        <v>4418</v>
      </c>
      <c r="D984" s="738">
        <v>4373.3458000000001</v>
      </c>
      <c r="E984" s="738">
        <v>2198.9949000000001</v>
      </c>
      <c r="F984" s="738">
        <v>31042.9925</v>
      </c>
      <c r="G984" s="738">
        <v>630.03719504981132</v>
      </c>
    </row>
    <row r="985" spans="2:7" x14ac:dyDescent="0.25">
      <c r="B985" s="737" t="s">
        <v>4419</v>
      </c>
      <c r="C985" s="737" t="s">
        <v>4420</v>
      </c>
      <c r="D985" s="738">
        <v>4416.2115000000003</v>
      </c>
      <c r="E985" s="738">
        <v>2374.0196000000001</v>
      </c>
      <c r="F985" s="738">
        <v>29804.8573</v>
      </c>
      <c r="G985" s="738">
        <v>559.86250076040449</v>
      </c>
    </row>
    <row r="986" spans="2:7" x14ac:dyDescent="0.25">
      <c r="B986" s="737" t="s">
        <v>4421</v>
      </c>
      <c r="C986" s="737" t="s">
        <v>4422</v>
      </c>
      <c r="D986" s="738">
        <v>4298.7626</v>
      </c>
      <c r="E986" s="738">
        <v>2247.7817</v>
      </c>
      <c r="F986" s="738">
        <v>29126.328699999998</v>
      </c>
      <c r="G986" s="738">
        <v>630.03719504981132</v>
      </c>
    </row>
    <row r="987" spans="2:7" x14ac:dyDescent="0.25">
      <c r="B987" s="737" t="s">
        <v>4423</v>
      </c>
      <c r="C987" s="737" t="s">
        <v>4424</v>
      </c>
      <c r="D987" s="738">
        <v>4405.7425000000003</v>
      </c>
      <c r="E987" s="738">
        <v>2212.9038</v>
      </c>
      <c r="F987" s="738">
        <v>31458.766500000002</v>
      </c>
      <c r="G987" s="738">
        <v>630.03719504981132</v>
      </c>
    </row>
    <row r="988" spans="2:7" x14ac:dyDescent="0.25">
      <c r="B988" s="737" t="s">
        <v>4425</v>
      </c>
      <c r="C988" s="737" t="s">
        <v>4426</v>
      </c>
      <c r="D988" s="738">
        <v>4382.1148999999996</v>
      </c>
      <c r="E988" s="738">
        <v>2185.6704</v>
      </c>
      <c r="F988" s="738">
        <v>31364.604299999999</v>
      </c>
      <c r="G988" s="738">
        <v>630.03719504981132</v>
      </c>
    </row>
    <row r="989" spans="2:7" x14ac:dyDescent="0.25">
      <c r="B989" s="737" t="s">
        <v>4427</v>
      </c>
      <c r="C989" s="737" t="s">
        <v>4428</v>
      </c>
      <c r="D989" s="738">
        <v>4310.0055000000002</v>
      </c>
      <c r="E989" s="738">
        <v>2287.6640000000002</v>
      </c>
      <c r="F989" s="738">
        <v>28880.776399999999</v>
      </c>
      <c r="G989" s="738">
        <v>630.03719504981132</v>
      </c>
    </row>
    <row r="990" spans="2:7" x14ac:dyDescent="0.25">
      <c r="B990" s="737" t="s">
        <v>4429</v>
      </c>
      <c r="C990" s="737" t="s">
        <v>4430</v>
      </c>
      <c r="D990" s="738">
        <v>4399.4049000000005</v>
      </c>
      <c r="E990" s="738">
        <v>2192.6689000000001</v>
      </c>
      <c r="F990" s="738">
        <v>31594.860100000002</v>
      </c>
      <c r="G990" s="738">
        <v>630.03719504981132</v>
      </c>
    </row>
    <row r="991" spans="2:7" x14ac:dyDescent="0.25">
      <c r="B991" s="737" t="s">
        <v>4431</v>
      </c>
      <c r="C991" s="737" t="s">
        <v>4432</v>
      </c>
      <c r="D991" s="738">
        <v>4499.6630999999998</v>
      </c>
      <c r="E991" s="738">
        <v>2098.8047000000001</v>
      </c>
      <c r="F991" s="738">
        <v>34460.842499999999</v>
      </c>
      <c r="G991" s="738">
        <v>630.03719504981132</v>
      </c>
    </row>
    <row r="992" spans="2:7" x14ac:dyDescent="0.25">
      <c r="B992" s="737" t="s">
        <v>4433</v>
      </c>
      <c r="C992" s="737" t="s">
        <v>4434</v>
      </c>
      <c r="D992" s="738">
        <v>4444.7673000000004</v>
      </c>
      <c r="E992" s="738">
        <v>2076.6075999999998</v>
      </c>
      <c r="F992" s="738">
        <v>33557.320899999999</v>
      </c>
      <c r="G992" s="738">
        <v>630.03719504981132</v>
      </c>
    </row>
    <row r="993" spans="2:7" x14ac:dyDescent="0.25">
      <c r="B993" s="737" t="s">
        <v>4435</v>
      </c>
      <c r="C993" s="737" t="s">
        <v>4436</v>
      </c>
      <c r="D993" s="738">
        <v>4467.2923000000001</v>
      </c>
      <c r="E993" s="738">
        <v>2226.5868999999998</v>
      </c>
      <c r="F993" s="738">
        <v>32286.747500000001</v>
      </c>
      <c r="G993" s="738">
        <v>630.03719504981132</v>
      </c>
    </row>
    <row r="994" spans="2:7" x14ac:dyDescent="0.25">
      <c r="B994" s="737" t="s">
        <v>4437</v>
      </c>
      <c r="C994" s="737" t="s">
        <v>4438</v>
      </c>
      <c r="D994" s="738">
        <v>4404.4960000000001</v>
      </c>
      <c r="E994" s="738">
        <v>2061.8559</v>
      </c>
      <c r="F994" s="738">
        <v>33167.148699999998</v>
      </c>
      <c r="G994" s="738">
        <v>630.03719504981132</v>
      </c>
    </row>
    <row r="995" spans="2:7" x14ac:dyDescent="0.25">
      <c r="B995" s="737" t="s">
        <v>4439</v>
      </c>
      <c r="C995" s="737" t="s">
        <v>4440</v>
      </c>
      <c r="D995" s="738">
        <v>4468.2887000000001</v>
      </c>
      <c r="E995" s="738">
        <v>2042.6581000000001</v>
      </c>
      <c r="F995" s="738">
        <v>34551.730199999998</v>
      </c>
      <c r="G995" s="738">
        <v>630.03719504981132</v>
      </c>
    </row>
    <row r="996" spans="2:7" x14ac:dyDescent="0.25">
      <c r="B996" s="737" t="s">
        <v>4441</v>
      </c>
      <c r="C996" s="737" t="s">
        <v>4442</v>
      </c>
      <c r="D996" s="738">
        <v>4362.3449000000001</v>
      </c>
      <c r="E996" s="738">
        <v>2121.4463000000001</v>
      </c>
      <c r="F996" s="738">
        <v>31573.2461</v>
      </c>
      <c r="G996" s="738">
        <v>630.03719504981132</v>
      </c>
    </row>
    <row r="997" spans="2:7" x14ac:dyDescent="0.25">
      <c r="B997" s="737" t="s">
        <v>4443</v>
      </c>
      <c r="C997" s="737" t="s">
        <v>4444</v>
      </c>
      <c r="D997" s="738">
        <v>4288.2272999999996</v>
      </c>
      <c r="E997" s="738">
        <v>2213.6203999999998</v>
      </c>
      <c r="F997" s="738">
        <v>32210.13</v>
      </c>
      <c r="G997" s="738">
        <v>559.86250076040449</v>
      </c>
    </row>
    <row r="998" spans="2:7" x14ac:dyDescent="0.25">
      <c r="B998" s="737" t="s">
        <v>4445</v>
      </c>
      <c r="C998" s="737" t="s">
        <v>4446</v>
      </c>
      <c r="D998" s="738">
        <v>4977.473</v>
      </c>
      <c r="E998" s="738">
        <v>2067.5747999999999</v>
      </c>
      <c r="F998" s="738">
        <v>36601.3704</v>
      </c>
      <c r="G998" s="738">
        <v>805.74860950821335</v>
      </c>
    </row>
    <row r="999" spans="2:7" x14ac:dyDescent="0.25">
      <c r="B999" s="737" t="s">
        <v>4447</v>
      </c>
      <c r="C999" s="737" t="s">
        <v>4448</v>
      </c>
      <c r="D999" s="738">
        <v>5001.7583999999997</v>
      </c>
      <c r="E999" s="738">
        <v>2312.9016000000001</v>
      </c>
      <c r="F999" s="738">
        <v>33600.1829</v>
      </c>
      <c r="G999" s="738">
        <v>805.74860950821335</v>
      </c>
    </row>
    <row r="1000" spans="2:7" x14ac:dyDescent="0.25">
      <c r="B1000" s="737" t="s">
        <v>4449</v>
      </c>
      <c r="C1000" s="737" t="s">
        <v>4450</v>
      </c>
      <c r="D1000" s="738">
        <v>4650.4489000000003</v>
      </c>
      <c r="E1000" s="738">
        <v>2084.7278000000001</v>
      </c>
      <c r="F1000" s="738">
        <v>30368.4512</v>
      </c>
      <c r="G1000" s="738">
        <v>805.74860950821335</v>
      </c>
    </row>
    <row r="1001" spans="2:7" x14ac:dyDescent="0.25">
      <c r="B1001" s="737" t="s">
        <v>4451</v>
      </c>
      <c r="C1001" s="737" t="s">
        <v>4452</v>
      </c>
      <c r="D1001" s="738">
        <v>4773.8541999999998</v>
      </c>
      <c r="E1001" s="738">
        <v>2251.0261</v>
      </c>
      <c r="F1001" s="738">
        <v>30285.6139</v>
      </c>
      <c r="G1001" s="738">
        <v>805.74860950821335</v>
      </c>
    </row>
    <row r="1002" spans="2:7" x14ac:dyDescent="0.25">
      <c r="B1002" s="737" t="s">
        <v>4453</v>
      </c>
      <c r="C1002" s="737" t="s">
        <v>4454</v>
      </c>
      <c r="D1002" s="738">
        <v>4491.2518</v>
      </c>
      <c r="E1002" s="738">
        <v>2306.6878999999999</v>
      </c>
      <c r="F1002" s="738">
        <v>33428.981599999999</v>
      </c>
      <c r="G1002" s="738">
        <v>595.70998315407724</v>
      </c>
    </row>
    <row r="1003" spans="2:7" x14ac:dyDescent="0.25">
      <c r="B1003" s="737" t="s">
        <v>4455</v>
      </c>
      <c r="C1003" s="737" t="s">
        <v>4456</v>
      </c>
      <c r="D1003" s="738">
        <v>4540.1264000000001</v>
      </c>
      <c r="E1003" s="738">
        <v>2173.7617</v>
      </c>
      <c r="F1003" s="738">
        <v>35736.670899999997</v>
      </c>
      <c r="G1003" s="738">
        <v>595.70998315407724</v>
      </c>
    </row>
    <row r="1004" spans="2:7" x14ac:dyDescent="0.25">
      <c r="B1004" s="737" t="s">
        <v>4457</v>
      </c>
      <c r="C1004" s="737" t="s">
        <v>4458</v>
      </c>
      <c r="D1004" s="738">
        <v>4510.0920999999998</v>
      </c>
      <c r="E1004" s="738">
        <v>2163.0545000000002</v>
      </c>
      <c r="F1004" s="738">
        <v>35317.899700000002</v>
      </c>
      <c r="G1004" s="738">
        <v>595.70998315407724</v>
      </c>
    </row>
    <row r="1005" spans="2:7" x14ac:dyDescent="0.25">
      <c r="B1005" s="737" t="s">
        <v>4459</v>
      </c>
      <c r="C1005" s="737" t="s">
        <v>4460</v>
      </c>
      <c r="D1005" s="738">
        <v>4943.8516</v>
      </c>
      <c r="E1005" s="738">
        <v>2223.6509999999998</v>
      </c>
      <c r="F1005" s="738">
        <v>33841.073299999996</v>
      </c>
      <c r="G1005" s="738">
        <v>559.86250076040449</v>
      </c>
    </row>
    <row r="1006" spans="2:7" x14ac:dyDescent="0.25">
      <c r="B1006" s="737" t="s">
        <v>4461</v>
      </c>
      <c r="C1006" s="737" t="s">
        <v>4462</v>
      </c>
      <c r="D1006" s="738">
        <v>4736.2125999999998</v>
      </c>
      <c r="E1006" s="738">
        <v>2109.7763</v>
      </c>
      <c r="F1006" s="738">
        <v>31553.826300000001</v>
      </c>
      <c r="G1006" s="738">
        <v>805.74860950821335</v>
      </c>
    </row>
    <row r="1007" spans="2:7" x14ac:dyDescent="0.25">
      <c r="B1007" s="737" t="s">
        <v>4463</v>
      </c>
      <c r="C1007" s="737" t="s">
        <v>4464</v>
      </c>
      <c r="D1007" s="738">
        <v>4909.2642999999998</v>
      </c>
      <c r="E1007" s="738">
        <v>2159.2950000000001</v>
      </c>
      <c r="F1007" s="738">
        <v>34180.9326</v>
      </c>
      <c r="G1007" s="738">
        <v>805.74860950821335</v>
      </c>
    </row>
    <row r="1008" spans="2:7" x14ac:dyDescent="0.25">
      <c r="B1008" s="737" t="s">
        <v>4465</v>
      </c>
      <c r="C1008" s="737" t="s">
        <v>4466</v>
      </c>
      <c r="D1008" s="738">
        <v>4251.1234999999997</v>
      </c>
      <c r="E1008" s="738">
        <v>2200.8899000000001</v>
      </c>
      <c r="F1008" s="738">
        <v>31527.519499999999</v>
      </c>
      <c r="G1008" s="738">
        <v>559.86250076040449</v>
      </c>
    </row>
    <row r="1009" spans="2:7" x14ac:dyDescent="0.25">
      <c r="B1009" s="737" t="s">
        <v>4467</v>
      </c>
      <c r="C1009" s="737" t="s">
        <v>4468</v>
      </c>
      <c r="D1009" s="738">
        <v>4743.4826000000003</v>
      </c>
      <c r="E1009" s="738">
        <v>2060.2786000000001</v>
      </c>
      <c r="F1009" s="738">
        <v>32414.0314</v>
      </c>
      <c r="G1009" s="738">
        <v>805.74860950821335</v>
      </c>
    </row>
    <row r="1010" spans="2:7" x14ac:dyDescent="0.25">
      <c r="B1010" s="737" t="s">
        <v>4469</v>
      </c>
      <c r="C1010" s="737" t="s">
        <v>4470</v>
      </c>
      <c r="D1010" s="738">
        <v>4938.0124999999998</v>
      </c>
      <c r="E1010" s="738">
        <v>2174.3582999999999</v>
      </c>
      <c r="F1010" s="738">
        <v>34453.213000000003</v>
      </c>
      <c r="G1010" s="738">
        <v>805.74860950821335</v>
      </c>
    </row>
    <row r="1011" spans="2:7" x14ac:dyDescent="0.25">
      <c r="B1011" s="737" t="s">
        <v>4471</v>
      </c>
      <c r="C1011" s="737" t="s">
        <v>4472</v>
      </c>
      <c r="D1011" s="738">
        <v>4338.2146000000002</v>
      </c>
      <c r="E1011" s="738">
        <v>2425.33</v>
      </c>
      <c r="F1011" s="738">
        <v>30895.375199999999</v>
      </c>
      <c r="G1011" s="738">
        <v>559.86250076040449</v>
      </c>
    </row>
    <row r="1012" spans="2:7" x14ac:dyDescent="0.25">
      <c r="B1012" s="737" t="s">
        <v>4473</v>
      </c>
      <c r="C1012" s="737" t="s">
        <v>4474</v>
      </c>
      <c r="D1012" s="738">
        <v>5004.0492000000004</v>
      </c>
      <c r="E1012" s="738">
        <v>2086.0513000000001</v>
      </c>
      <c r="F1012" s="738">
        <v>36720.447399999997</v>
      </c>
      <c r="G1012" s="738">
        <v>805.74860950821335</v>
      </c>
    </row>
    <row r="1013" spans="2:7" x14ac:dyDescent="0.25">
      <c r="B1013" s="737" t="s">
        <v>4475</v>
      </c>
      <c r="C1013" s="737" t="s">
        <v>4476</v>
      </c>
      <c r="D1013" s="738">
        <v>4647.0735999999997</v>
      </c>
      <c r="E1013" s="738">
        <v>2247.0477999999998</v>
      </c>
      <c r="F1013" s="738">
        <v>36720.146500000003</v>
      </c>
      <c r="G1013" s="738">
        <v>595.70998315407724</v>
      </c>
    </row>
    <row r="1014" spans="2:7" x14ac:dyDescent="0.25">
      <c r="B1014" s="737" t="s">
        <v>4477</v>
      </c>
      <c r="C1014" s="737" t="s">
        <v>4478</v>
      </c>
      <c r="D1014" s="738">
        <v>4514.5909000000001</v>
      </c>
      <c r="E1014" s="738">
        <v>2102.8022999999998</v>
      </c>
      <c r="F1014" s="738">
        <v>35873.758399999999</v>
      </c>
      <c r="G1014" s="738">
        <v>595.70998315407724</v>
      </c>
    </row>
    <row r="1015" spans="2:7" x14ac:dyDescent="0.25">
      <c r="B1015" s="737" t="s">
        <v>4479</v>
      </c>
      <c r="C1015" s="737" t="s">
        <v>4480</v>
      </c>
      <c r="D1015" s="738">
        <v>4885.7060000000001</v>
      </c>
      <c r="E1015" s="738">
        <v>1980.9818</v>
      </c>
      <c r="F1015" s="738">
        <v>36102.856200000002</v>
      </c>
      <c r="G1015" s="738">
        <v>595.70998315407724</v>
      </c>
    </row>
    <row r="1016" spans="2:7" x14ac:dyDescent="0.25">
      <c r="B1016" s="737" t="s">
        <v>4481</v>
      </c>
      <c r="C1016" s="737" t="s">
        <v>4482</v>
      </c>
      <c r="D1016" s="738">
        <v>4776.3382000000001</v>
      </c>
      <c r="E1016" s="738">
        <v>2026.1902</v>
      </c>
      <c r="F1016" s="738">
        <v>33498.329100000003</v>
      </c>
      <c r="G1016" s="738">
        <v>805.74860950821335</v>
      </c>
    </row>
    <row r="1017" spans="2:7" x14ac:dyDescent="0.25">
      <c r="B1017" s="737" t="s">
        <v>4483</v>
      </c>
      <c r="C1017" s="737" t="s">
        <v>4484</v>
      </c>
      <c r="D1017" s="738">
        <v>4442.1067000000003</v>
      </c>
      <c r="E1017" s="738">
        <v>2589.1894000000002</v>
      </c>
      <c r="F1017" s="738">
        <v>29343.5016</v>
      </c>
      <c r="G1017" s="738">
        <v>799.61173339843594</v>
      </c>
    </row>
    <row r="1018" spans="2:7" x14ac:dyDescent="0.25">
      <c r="B1018" s="737" t="s">
        <v>4485</v>
      </c>
      <c r="C1018" s="737" t="s">
        <v>4486</v>
      </c>
      <c r="D1018" s="738">
        <v>4612.1727000000001</v>
      </c>
      <c r="E1018" s="738">
        <v>2259.9522000000002</v>
      </c>
      <c r="F1018" s="738">
        <v>36115.6414</v>
      </c>
      <c r="G1018" s="738">
        <v>595.70998315407724</v>
      </c>
    </row>
    <row r="1019" spans="2:7" x14ac:dyDescent="0.25">
      <c r="B1019" s="737" t="s">
        <v>4487</v>
      </c>
      <c r="C1019" s="737" t="s">
        <v>4488</v>
      </c>
      <c r="D1019" s="738">
        <v>4533.8773000000001</v>
      </c>
      <c r="E1019" s="738">
        <v>2241.3923</v>
      </c>
      <c r="F1019" s="738">
        <v>34885.816899999998</v>
      </c>
      <c r="G1019" s="738">
        <v>595.70998315407724</v>
      </c>
    </row>
    <row r="1020" spans="2:7" x14ac:dyDescent="0.25">
      <c r="B1020" s="737" t="s">
        <v>4489</v>
      </c>
      <c r="C1020" s="737" t="s">
        <v>4490</v>
      </c>
      <c r="D1020" s="738">
        <v>4470.5689000000002</v>
      </c>
      <c r="E1020" s="738">
        <v>2232.0264999999999</v>
      </c>
      <c r="F1020" s="738">
        <v>33843.3586</v>
      </c>
      <c r="G1020" s="738">
        <v>595.70998315407724</v>
      </c>
    </row>
    <row r="1021" spans="2:7" x14ac:dyDescent="0.25">
      <c r="B1021" s="737" t="s">
        <v>4491</v>
      </c>
      <c r="C1021" s="737" t="s">
        <v>4492</v>
      </c>
      <c r="D1021" s="738">
        <v>4426.2928000000002</v>
      </c>
      <c r="E1021" s="738">
        <v>2090.3452000000002</v>
      </c>
      <c r="F1021" s="738">
        <v>34480.9692</v>
      </c>
      <c r="G1021" s="738">
        <v>595.70998315407724</v>
      </c>
    </row>
    <row r="1022" spans="2:7" x14ac:dyDescent="0.25">
      <c r="B1022" s="737" t="s">
        <v>4493</v>
      </c>
      <c r="C1022" s="737" t="s">
        <v>4494</v>
      </c>
      <c r="D1022" s="738">
        <v>4447.7545</v>
      </c>
      <c r="E1022" s="738">
        <v>2289.3188</v>
      </c>
      <c r="F1022" s="738">
        <v>32646.918000000001</v>
      </c>
      <c r="G1022" s="738">
        <v>595.70998315407724</v>
      </c>
    </row>
    <row r="1023" spans="2:7" x14ac:dyDescent="0.25">
      <c r="B1023" s="737" t="s">
        <v>4495</v>
      </c>
      <c r="C1023" s="737" t="s">
        <v>4496</v>
      </c>
      <c r="D1023" s="738">
        <v>4487.7120000000004</v>
      </c>
      <c r="E1023" s="738">
        <v>2147.3697000000002</v>
      </c>
      <c r="F1023" s="738">
        <v>35059.368300000002</v>
      </c>
      <c r="G1023" s="738">
        <v>595.70998315407724</v>
      </c>
    </row>
    <row r="1024" spans="2:7" x14ac:dyDescent="0.25">
      <c r="B1024" s="737" t="s">
        <v>4497</v>
      </c>
      <c r="C1024" s="737" t="s">
        <v>4498</v>
      </c>
      <c r="D1024" s="738">
        <v>4754.0713999999998</v>
      </c>
      <c r="E1024" s="738">
        <v>1984.2147</v>
      </c>
      <c r="F1024" s="738">
        <v>41426.251600000003</v>
      </c>
      <c r="G1024" s="738">
        <v>595.70998315407724</v>
      </c>
    </row>
    <row r="1025" spans="2:7" x14ac:dyDescent="0.25">
      <c r="B1025" s="737" t="s">
        <v>4499</v>
      </c>
      <c r="C1025" s="737" t="s">
        <v>4500</v>
      </c>
      <c r="D1025" s="738">
        <v>4579.4407000000001</v>
      </c>
      <c r="E1025" s="738">
        <v>2332.0457000000001</v>
      </c>
      <c r="F1025" s="738">
        <v>34651.486599999997</v>
      </c>
      <c r="G1025" s="738">
        <v>595.70998315407724</v>
      </c>
    </row>
    <row r="1026" spans="2:7" x14ac:dyDescent="0.25">
      <c r="B1026" s="737" t="s">
        <v>4501</v>
      </c>
      <c r="C1026" s="737" t="s">
        <v>4502</v>
      </c>
      <c r="D1026" s="738">
        <v>4558.9354999999996</v>
      </c>
      <c r="E1026" s="738">
        <v>2123.2132000000001</v>
      </c>
      <c r="F1026" s="738">
        <v>36605.509599999998</v>
      </c>
      <c r="G1026" s="738">
        <v>595.70998315407724</v>
      </c>
    </row>
    <row r="1027" spans="2:7" x14ac:dyDescent="0.25">
      <c r="B1027" s="737" t="s">
        <v>4503</v>
      </c>
      <c r="C1027" s="737" t="s">
        <v>4504</v>
      </c>
      <c r="D1027" s="738">
        <v>4537.6139999999996</v>
      </c>
      <c r="E1027" s="738">
        <v>2189.4169000000002</v>
      </c>
      <c r="F1027" s="738">
        <v>35328.629000000001</v>
      </c>
      <c r="G1027" s="738">
        <v>595.70998315407724</v>
      </c>
    </row>
    <row r="1028" spans="2:7" x14ac:dyDescent="0.25">
      <c r="B1028" s="737" t="s">
        <v>4505</v>
      </c>
      <c r="C1028" s="737" t="s">
        <v>4506</v>
      </c>
      <c r="D1028" s="738">
        <v>4574.7133000000003</v>
      </c>
      <c r="E1028" s="738">
        <v>2108.5884999999998</v>
      </c>
      <c r="F1028" s="738">
        <v>37085.478799999997</v>
      </c>
      <c r="G1028" s="738">
        <v>595.70998315407724</v>
      </c>
    </row>
    <row r="1029" spans="2:7" x14ac:dyDescent="0.25">
      <c r="B1029" s="737" t="s">
        <v>4507</v>
      </c>
      <c r="C1029" s="737" t="s">
        <v>4508</v>
      </c>
      <c r="D1029" s="738">
        <v>4502.7736999999997</v>
      </c>
      <c r="E1029" s="738">
        <v>2072.4652000000001</v>
      </c>
      <c r="F1029" s="738">
        <v>36146.348599999998</v>
      </c>
      <c r="G1029" s="738">
        <v>595.70998315407724</v>
      </c>
    </row>
    <row r="1030" spans="2:7" x14ac:dyDescent="0.25">
      <c r="B1030" s="737" t="s">
        <v>4509</v>
      </c>
      <c r="C1030" s="737" t="s">
        <v>4510</v>
      </c>
      <c r="D1030" s="738">
        <v>4507.0298000000003</v>
      </c>
      <c r="E1030" s="738">
        <v>2247.4627</v>
      </c>
      <c r="F1030" s="738">
        <v>34339.026700000002</v>
      </c>
      <c r="G1030" s="738">
        <v>595.70998315407724</v>
      </c>
    </row>
    <row r="1031" spans="2:7" x14ac:dyDescent="0.25">
      <c r="B1031" s="737" t="s">
        <v>4511</v>
      </c>
      <c r="C1031" s="737" t="s">
        <v>4512</v>
      </c>
      <c r="D1031" s="738">
        <v>4616.3580000000002</v>
      </c>
      <c r="E1031" s="738">
        <v>2186.5671000000002</v>
      </c>
      <c r="F1031" s="738">
        <v>36967.845200000003</v>
      </c>
      <c r="G1031" s="738">
        <v>595.70998315407724</v>
      </c>
    </row>
    <row r="1032" spans="2:7" x14ac:dyDescent="0.25">
      <c r="B1032" s="737" t="s">
        <v>4513</v>
      </c>
      <c r="C1032" s="737" t="s">
        <v>4514</v>
      </c>
      <c r="D1032" s="738">
        <v>4664.6030000000001</v>
      </c>
      <c r="E1032" s="738">
        <v>2139.7653</v>
      </c>
      <c r="F1032" s="738">
        <v>38175.701500000003</v>
      </c>
      <c r="G1032" s="738">
        <v>595.70998315407724</v>
      </c>
    </row>
    <row r="1033" spans="2:7" x14ac:dyDescent="0.25">
      <c r="B1033" s="737" t="s">
        <v>4515</v>
      </c>
      <c r="C1033" s="737" t="s">
        <v>4516</v>
      </c>
      <c r="D1033" s="738">
        <v>4477.5187999999998</v>
      </c>
      <c r="E1033" s="738">
        <v>2209.0151000000001</v>
      </c>
      <c r="F1033" s="738">
        <v>34032.900600000001</v>
      </c>
      <c r="G1033" s="738">
        <v>595.70998315407724</v>
      </c>
    </row>
    <row r="1034" spans="2:7" x14ac:dyDescent="0.25">
      <c r="B1034" s="737" t="s">
        <v>4517</v>
      </c>
      <c r="C1034" s="737" t="s">
        <v>4518</v>
      </c>
      <c r="D1034" s="738">
        <v>4482.4856</v>
      </c>
      <c r="E1034" s="738">
        <v>2206.8377</v>
      </c>
      <c r="F1034" s="738">
        <v>34273.632799999999</v>
      </c>
      <c r="G1034" s="738">
        <v>595.70998315407724</v>
      </c>
    </row>
    <row r="1035" spans="2:7" x14ac:dyDescent="0.25">
      <c r="B1035" s="737" t="s">
        <v>4519</v>
      </c>
      <c r="C1035" s="737" t="s">
        <v>4520</v>
      </c>
      <c r="D1035" s="738">
        <v>4466.9268000000002</v>
      </c>
      <c r="E1035" s="738">
        <v>2269.9648999999999</v>
      </c>
      <c r="F1035" s="738">
        <v>33236.7736</v>
      </c>
      <c r="G1035" s="738">
        <v>595.70998315407724</v>
      </c>
    </row>
    <row r="1036" spans="2:7" x14ac:dyDescent="0.25">
      <c r="B1036" s="737" t="s">
        <v>4521</v>
      </c>
      <c r="C1036" s="737" t="s">
        <v>4522</v>
      </c>
      <c r="D1036" s="738">
        <v>4534.4571999999998</v>
      </c>
      <c r="E1036" s="738">
        <v>2316.1993000000002</v>
      </c>
      <c r="F1036" s="738">
        <v>33939.398000000001</v>
      </c>
      <c r="G1036" s="738">
        <v>595.70998315407724</v>
      </c>
    </row>
    <row r="1037" spans="2:7" x14ac:dyDescent="0.25">
      <c r="B1037" s="737" t="s">
        <v>4523</v>
      </c>
      <c r="C1037" s="737" t="s">
        <v>4524</v>
      </c>
      <c r="D1037" s="738">
        <v>4614.8068999999996</v>
      </c>
      <c r="E1037" s="738">
        <v>2179.6961000000001</v>
      </c>
      <c r="F1037" s="738">
        <v>36834.070699999997</v>
      </c>
      <c r="G1037" s="738">
        <v>595.70998315407724</v>
      </c>
    </row>
    <row r="1038" spans="2:7" x14ac:dyDescent="0.25">
      <c r="B1038" s="737" t="s">
        <v>4525</v>
      </c>
      <c r="C1038" s="737" t="s">
        <v>4526</v>
      </c>
      <c r="D1038" s="738">
        <v>4687.6619000000001</v>
      </c>
      <c r="E1038" s="738">
        <v>2301.0255999999999</v>
      </c>
      <c r="F1038" s="738">
        <v>36887.525900000001</v>
      </c>
      <c r="G1038" s="738">
        <v>595.70998315407724</v>
      </c>
    </row>
    <row r="1039" spans="2:7" x14ac:dyDescent="0.25">
      <c r="B1039" s="737" t="s">
        <v>4527</v>
      </c>
      <c r="C1039" s="737" t="s">
        <v>4528</v>
      </c>
      <c r="D1039" s="738">
        <v>4502.8932000000004</v>
      </c>
      <c r="E1039" s="738">
        <v>2293.9582999999998</v>
      </c>
      <c r="F1039" s="738">
        <v>33609.375500000002</v>
      </c>
      <c r="G1039" s="738">
        <v>595.70998315407724</v>
      </c>
    </row>
    <row r="1040" spans="2:7" x14ac:dyDescent="0.25">
      <c r="B1040" s="737" t="s">
        <v>4529</v>
      </c>
      <c r="C1040" s="737" t="s">
        <v>4530</v>
      </c>
      <c r="D1040" s="738">
        <v>4483.2078000000001</v>
      </c>
      <c r="E1040" s="738">
        <v>2263.7687999999998</v>
      </c>
      <c r="F1040" s="738">
        <v>33546.558700000001</v>
      </c>
      <c r="G1040" s="738">
        <v>595.70998315407724</v>
      </c>
    </row>
    <row r="1041" spans="2:7" x14ac:dyDescent="0.25">
      <c r="B1041" s="737" t="s">
        <v>4531</v>
      </c>
      <c r="C1041" s="737" t="s">
        <v>4532</v>
      </c>
      <c r="D1041" s="738">
        <v>4617.2245999999996</v>
      </c>
      <c r="E1041" s="738">
        <v>2301.0282000000002</v>
      </c>
      <c r="F1041" s="738">
        <v>35591.817199999998</v>
      </c>
      <c r="G1041" s="738">
        <v>595.70998315407724</v>
      </c>
    </row>
    <row r="1042" spans="2:7" x14ac:dyDescent="0.25">
      <c r="B1042" s="737" t="s">
        <v>4533</v>
      </c>
      <c r="C1042" s="737" t="s">
        <v>4534</v>
      </c>
      <c r="D1042" s="738">
        <v>4810.4083000000001</v>
      </c>
      <c r="E1042" s="738">
        <v>2123.8764999999999</v>
      </c>
      <c r="F1042" s="738">
        <v>32784.6878</v>
      </c>
      <c r="G1042" s="738">
        <v>805.74860950821335</v>
      </c>
    </row>
    <row r="1043" spans="2:7" x14ac:dyDescent="0.25">
      <c r="B1043" s="737" t="s">
        <v>4535</v>
      </c>
      <c r="C1043" s="737" t="s">
        <v>4536</v>
      </c>
      <c r="D1043" s="738">
        <v>4526.6653999999999</v>
      </c>
      <c r="E1043" s="738">
        <v>2158.3361</v>
      </c>
      <c r="F1043" s="738">
        <v>35652.003900000003</v>
      </c>
      <c r="G1043" s="738">
        <v>595.70998315407724</v>
      </c>
    </row>
    <row r="1044" spans="2:7" x14ac:dyDescent="0.25">
      <c r="B1044" s="737" t="s">
        <v>4537</v>
      </c>
      <c r="C1044" s="737" t="s">
        <v>4538</v>
      </c>
      <c r="D1044" s="738">
        <v>4479.0807999999997</v>
      </c>
      <c r="E1044" s="738">
        <v>2256.3559</v>
      </c>
      <c r="F1044" s="738">
        <v>33559.371899999998</v>
      </c>
      <c r="G1044" s="738">
        <v>595.70998315407724</v>
      </c>
    </row>
    <row r="1045" spans="2:7" x14ac:dyDescent="0.25">
      <c r="B1045" s="737" t="s">
        <v>4539</v>
      </c>
      <c r="C1045" s="737" t="s">
        <v>4540</v>
      </c>
      <c r="D1045" s="738">
        <v>4626.2469000000001</v>
      </c>
      <c r="E1045" s="738">
        <v>2116.3526999999999</v>
      </c>
      <c r="F1045" s="738">
        <v>37722.445299999999</v>
      </c>
      <c r="G1045" s="738">
        <v>595.70998315407724</v>
      </c>
    </row>
    <row r="1046" spans="2:7" x14ac:dyDescent="0.25">
      <c r="B1046" s="737" t="s">
        <v>4541</v>
      </c>
      <c r="C1046" s="737" t="s">
        <v>4542</v>
      </c>
      <c r="D1046" s="738">
        <v>4549.6180999999997</v>
      </c>
      <c r="E1046" s="738">
        <v>2304.8499000000002</v>
      </c>
      <c r="F1046" s="738">
        <v>34424.498800000001</v>
      </c>
      <c r="G1046" s="738">
        <v>595.70998315407724</v>
      </c>
    </row>
    <row r="1047" spans="2:7" x14ac:dyDescent="0.25">
      <c r="B1047" s="737" t="s">
        <v>4543</v>
      </c>
      <c r="C1047" s="737" t="s">
        <v>4544</v>
      </c>
      <c r="D1047" s="738">
        <v>4455.2894999999999</v>
      </c>
      <c r="E1047" s="738">
        <v>2198.6655999999998</v>
      </c>
      <c r="F1047" s="738">
        <v>33929.610200000003</v>
      </c>
      <c r="G1047" s="738">
        <v>595.70998315407724</v>
      </c>
    </row>
    <row r="1048" spans="2:7" x14ac:dyDescent="0.25">
      <c r="B1048" s="737" t="s">
        <v>4545</v>
      </c>
      <c r="C1048" s="737" t="s">
        <v>4546</v>
      </c>
      <c r="D1048" s="738">
        <v>4370.9242000000004</v>
      </c>
      <c r="E1048" s="738">
        <v>2117.8528999999999</v>
      </c>
      <c r="F1048" s="738">
        <v>33150.911800000002</v>
      </c>
      <c r="G1048" s="738">
        <v>595.70998315407724</v>
      </c>
    </row>
    <row r="1049" spans="2:7" x14ac:dyDescent="0.25">
      <c r="B1049" s="737" t="s">
        <v>4547</v>
      </c>
      <c r="C1049" s="737" t="s">
        <v>4548</v>
      </c>
      <c r="D1049" s="738">
        <v>4494.6203999999998</v>
      </c>
      <c r="E1049" s="738">
        <v>2222.8355000000001</v>
      </c>
      <c r="F1049" s="738">
        <v>34368.705999999998</v>
      </c>
      <c r="G1049" s="738">
        <v>595.70998315407724</v>
      </c>
    </row>
    <row r="1050" spans="2:7" x14ac:dyDescent="0.25">
      <c r="B1050" s="737" t="s">
        <v>4549</v>
      </c>
      <c r="C1050" s="737" t="s">
        <v>4550</v>
      </c>
      <c r="D1050" s="738">
        <v>4490.7295000000004</v>
      </c>
      <c r="E1050" s="738">
        <v>2237.4375</v>
      </c>
      <c r="F1050" s="738">
        <v>33997.467499999999</v>
      </c>
      <c r="G1050" s="738">
        <v>595.70998315407724</v>
      </c>
    </row>
    <row r="1051" spans="2:7" x14ac:dyDescent="0.25">
      <c r="B1051" s="737" t="s">
        <v>4551</v>
      </c>
      <c r="C1051" s="737" t="s">
        <v>4552</v>
      </c>
      <c r="D1051" s="738">
        <v>4484.5432000000001</v>
      </c>
      <c r="E1051" s="738">
        <v>2233.7420999999999</v>
      </c>
      <c r="F1051" s="738">
        <v>33914.892200000002</v>
      </c>
      <c r="G1051" s="738">
        <v>595.70998315407724</v>
      </c>
    </row>
    <row r="1052" spans="2:7" x14ac:dyDescent="0.25">
      <c r="B1052" s="737" t="s">
        <v>4553</v>
      </c>
      <c r="C1052" s="737" t="s">
        <v>4554</v>
      </c>
      <c r="D1052" s="738">
        <v>4503.9772999999996</v>
      </c>
      <c r="E1052" s="738">
        <v>2194.3688000000002</v>
      </c>
      <c r="F1052" s="738">
        <v>34686.242899999997</v>
      </c>
      <c r="G1052" s="738">
        <v>595.70998315407724</v>
      </c>
    </row>
    <row r="1053" spans="2:7" x14ac:dyDescent="0.25">
      <c r="B1053" s="737" t="s">
        <v>4555</v>
      </c>
      <c r="C1053" s="737" t="s">
        <v>4556</v>
      </c>
      <c r="D1053" s="738">
        <v>4469.9071999999996</v>
      </c>
      <c r="E1053" s="738">
        <v>2245.0488</v>
      </c>
      <c r="F1053" s="738">
        <v>33539.397700000001</v>
      </c>
      <c r="G1053" s="738">
        <v>595.70998315407724</v>
      </c>
    </row>
    <row r="1054" spans="2:7" x14ac:dyDescent="0.25">
      <c r="B1054" s="737" t="s">
        <v>4557</v>
      </c>
      <c r="C1054" s="737" t="s">
        <v>4558</v>
      </c>
      <c r="D1054" s="738">
        <v>4493.3317999999999</v>
      </c>
      <c r="E1054" s="738">
        <v>2389.5475999999999</v>
      </c>
      <c r="F1054" s="738">
        <v>32402.375</v>
      </c>
      <c r="G1054" s="738">
        <v>595.70998315407724</v>
      </c>
    </row>
    <row r="1055" spans="2:7" x14ac:dyDescent="0.25">
      <c r="B1055" s="737" t="s">
        <v>4559</v>
      </c>
      <c r="C1055" s="737" t="s">
        <v>4560</v>
      </c>
      <c r="D1055" s="738">
        <v>4498.6711999999998</v>
      </c>
      <c r="E1055" s="738">
        <v>2215.9476</v>
      </c>
      <c r="F1055" s="738">
        <v>34505.529499999997</v>
      </c>
      <c r="G1055" s="738">
        <v>595.70998315407724</v>
      </c>
    </row>
    <row r="1056" spans="2:7" x14ac:dyDescent="0.25">
      <c r="B1056" s="737" t="s">
        <v>4561</v>
      </c>
      <c r="C1056" s="737" t="s">
        <v>4562</v>
      </c>
      <c r="D1056" s="738">
        <v>4585.0268999999998</v>
      </c>
      <c r="E1056" s="738">
        <v>2338.6772000000001</v>
      </c>
      <c r="F1056" s="738">
        <v>34698.059200000003</v>
      </c>
      <c r="G1056" s="738">
        <v>595.70998315407724</v>
      </c>
    </row>
    <row r="1057" spans="2:7" x14ac:dyDescent="0.25">
      <c r="B1057" s="737" t="s">
        <v>4563</v>
      </c>
      <c r="C1057" s="737" t="s">
        <v>4564</v>
      </c>
      <c r="D1057" s="738">
        <v>4351.7880999999998</v>
      </c>
      <c r="E1057" s="738">
        <v>1998.0201</v>
      </c>
      <c r="F1057" s="738">
        <v>33643.743000000002</v>
      </c>
      <c r="G1057" s="738">
        <v>610.82636803808782</v>
      </c>
    </row>
    <row r="1058" spans="2:7" x14ac:dyDescent="0.25">
      <c r="B1058" s="737" t="s">
        <v>4565</v>
      </c>
      <c r="C1058" s="737" t="s">
        <v>4566</v>
      </c>
      <c r="D1058" s="738">
        <v>4418.6890999999996</v>
      </c>
      <c r="E1058" s="738">
        <v>2025.1126999999999</v>
      </c>
      <c r="F1058" s="738">
        <v>34545.007400000002</v>
      </c>
      <c r="G1058" s="738">
        <v>610.82636803808782</v>
      </c>
    </row>
    <row r="1059" spans="2:7" x14ac:dyDescent="0.25">
      <c r="B1059" s="737" t="s">
        <v>4567</v>
      </c>
      <c r="C1059" s="737" t="s">
        <v>4568</v>
      </c>
      <c r="D1059" s="738">
        <v>5179.7398000000003</v>
      </c>
      <c r="E1059" s="738">
        <v>2307.5590000000002</v>
      </c>
      <c r="F1059" s="738">
        <v>36649.038500000002</v>
      </c>
      <c r="G1059" s="738">
        <v>805.74860950821335</v>
      </c>
    </row>
    <row r="1060" spans="2:7" x14ac:dyDescent="0.25">
      <c r="B1060" s="737" t="s">
        <v>4569</v>
      </c>
      <c r="C1060" s="737" t="s">
        <v>4570</v>
      </c>
      <c r="D1060" s="738">
        <v>4310.3589000000002</v>
      </c>
      <c r="E1060" s="738">
        <v>2006.7360000000001</v>
      </c>
      <c r="F1060" s="738">
        <v>32775.3802</v>
      </c>
      <c r="G1060" s="738">
        <v>610.82636803808782</v>
      </c>
    </row>
    <row r="1061" spans="2:7" x14ac:dyDescent="0.25">
      <c r="B1061" s="737" t="s">
        <v>4571</v>
      </c>
      <c r="C1061" s="737" t="s">
        <v>4572</v>
      </c>
      <c r="D1061" s="738">
        <v>3719.5372000000002</v>
      </c>
      <c r="E1061" s="738">
        <v>1934.9095</v>
      </c>
      <c r="F1061" s="738">
        <v>33846.509899999997</v>
      </c>
      <c r="G1061" s="738">
        <v>610.82636803808782</v>
      </c>
    </row>
    <row r="1062" spans="2:7" x14ac:dyDescent="0.25">
      <c r="B1062" s="737" t="s">
        <v>4573</v>
      </c>
      <c r="C1062" s="737" t="s">
        <v>4574</v>
      </c>
      <c r="D1062" s="738">
        <v>4408.7228999999998</v>
      </c>
      <c r="E1062" s="738">
        <v>1971.6164000000001</v>
      </c>
      <c r="F1062" s="738">
        <v>34931.085700000003</v>
      </c>
      <c r="G1062" s="738">
        <v>610.82636803808782</v>
      </c>
    </row>
    <row r="1063" spans="2:7" x14ac:dyDescent="0.25">
      <c r="B1063" s="737" t="s">
        <v>4575</v>
      </c>
      <c r="C1063" s="737" t="s">
        <v>4576</v>
      </c>
      <c r="D1063" s="738">
        <v>3880.3247999999999</v>
      </c>
      <c r="E1063" s="738">
        <v>1928.4006999999999</v>
      </c>
      <c r="F1063" s="738">
        <v>36707.287100000001</v>
      </c>
      <c r="G1063" s="738">
        <v>306.55245831338061</v>
      </c>
    </row>
    <row r="1064" spans="2:7" x14ac:dyDescent="0.25">
      <c r="B1064" s="737" t="s">
        <v>4577</v>
      </c>
      <c r="C1064" s="737" t="s">
        <v>4578</v>
      </c>
      <c r="D1064" s="738">
        <v>4568.2597999999998</v>
      </c>
      <c r="E1064" s="738">
        <v>2179.8317000000002</v>
      </c>
      <c r="F1064" s="738">
        <v>36156.330600000001</v>
      </c>
      <c r="G1064" s="738">
        <v>595.70998315407724</v>
      </c>
    </row>
    <row r="1065" spans="2:7" x14ac:dyDescent="0.25">
      <c r="B1065" s="737" t="s">
        <v>4579</v>
      </c>
      <c r="C1065" s="737" t="s">
        <v>4580</v>
      </c>
      <c r="D1065" s="738">
        <v>4335.1629000000003</v>
      </c>
      <c r="E1065" s="738">
        <v>2128.5565999999999</v>
      </c>
      <c r="F1065" s="738">
        <v>32488.130700000002</v>
      </c>
      <c r="G1065" s="738">
        <v>595.70998315407724</v>
      </c>
    </row>
    <row r="1066" spans="2:7" x14ac:dyDescent="0.25">
      <c r="B1066" s="737" t="s">
        <v>4581</v>
      </c>
      <c r="C1066" s="737" t="s">
        <v>4582</v>
      </c>
      <c r="D1066" s="738">
        <v>3848.6804000000002</v>
      </c>
      <c r="E1066" s="738">
        <v>1920.2401</v>
      </c>
      <c r="F1066" s="738">
        <v>36191.949500000002</v>
      </c>
      <c r="G1066" s="738">
        <v>306.55245831338061</v>
      </c>
    </row>
    <row r="1067" spans="2:7" x14ac:dyDescent="0.25">
      <c r="B1067" s="737" t="s">
        <v>4583</v>
      </c>
      <c r="C1067" s="737" t="s">
        <v>4584</v>
      </c>
      <c r="D1067" s="738">
        <v>3667.7710999999999</v>
      </c>
      <c r="E1067" s="738">
        <v>1929.9349</v>
      </c>
      <c r="F1067" s="738">
        <v>32939.758500000004</v>
      </c>
      <c r="G1067" s="738">
        <v>306.55245831338061</v>
      </c>
    </row>
    <row r="1068" spans="2:7" x14ac:dyDescent="0.25">
      <c r="B1068" s="737" t="s">
        <v>4585</v>
      </c>
      <c r="C1068" s="737" t="s">
        <v>4586</v>
      </c>
      <c r="D1068" s="738">
        <v>3809.8011999999999</v>
      </c>
      <c r="E1068" s="738">
        <v>1844.8572999999999</v>
      </c>
      <c r="F1068" s="738">
        <v>35976.157599999999</v>
      </c>
      <c r="G1068" s="738">
        <v>306.55245831338061</v>
      </c>
    </row>
    <row r="1069" spans="2:7" x14ac:dyDescent="0.25">
      <c r="B1069" s="737" t="s">
        <v>4587</v>
      </c>
      <c r="C1069" s="737" t="s">
        <v>4588</v>
      </c>
      <c r="D1069" s="738">
        <v>4094.2496999999998</v>
      </c>
      <c r="E1069" s="738">
        <v>1870.3005000000001</v>
      </c>
      <c r="F1069" s="738">
        <v>40968.568700000003</v>
      </c>
      <c r="G1069" s="738">
        <v>306.55245831338061</v>
      </c>
    </row>
    <row r="1070" spans="2:7" x14ac:dyDescent="0.25">
      <c r="B1070" s="737" t="s">
        <v>4589</v>
      </c>
      <c r="C1070" s="737" t="s">
        <v>4590</v>
      </c>
      <c r="D1070" s="738">
        <v>3905.2042000000001</v>
      </c>
      <c r="E1070" s="738">
        <v>1929.5980999999999</v>
      </c>
      <c r="F1070" s="738">
        <v>37224.7428</v>
      </c>
      <c r="G1070" s="738">
        <v>306.55245831338061</v>
      </c>
    </row>
    <row r="1071" spans="2:7" x14ac:dyDescent="0.25">
      <c r="B1071" s="737" t="s">
        <v>4591</v>
      </c>
      <c r="C1071" s="737" t="s">
        <v>4592</v>
      </c>
      <c r="D1071" s="738">
        <v>3772.4367999999999</v>
      </c>
      <c r="E1071" s="738">
        <v>1937.4429</v>
      </c>
      <c r="F1071" s="738">
        <v>34776.294500000004</v>
      </c>
      <c r="G1071" s="738">
        <v>306.55245831338061</v>
      </c>
    </row>
    <row r="1072" spans="2:7" x14ac:dyDescent="0.25">
      <c r="B1072" s="737" t="s">
        <v>4593</v>
      </c>
      <c r="C1072" s="737" t="s">
        <v>4594</v>
      </c>
      <c r="D1072" s="738">
        <v>3433.1705000000002</v>
      </c>
      <c r="E1072" s="738">
        <v>2002.085</v>
      </c>
      <c r="F1072" s="738">
        <v>28303.809000000001</v>
      </c>
      <c r="G1072" s="738">
        <v>306.55245831338061</v>
      </c>
    </row>
    <row r="1073" spans="2:7" x14ac:dyDescent="0.25">
      <c r="B1073" s="737" t="s">
        <v>4595</v>
      </c>
      <c r="C1073" s="737" t="s">
        <v>4596</v>
      </c>
      <c r="D1073" s="738">
        <v>3471.6496999999999</v>
      </c>
      <c r="E1073" s="738">
        <v>1943.1590000000001</v>
      </c>
      <c r="F1073" s="738">
        <v>29268.7232</v>
      </c>
      <c r="G1073" s="738">
        <v>306.55245831338061</v>
      </c>
    </row>
    <row r="1074" spans="2:7" x14ac:dyDescent="0.25">
      <c r="B1074" s="737" t="s">
        <v>4597</v>
      </c>
      <c r="C1074" s="737" t="s">
        <v>4598</v>
      </c>
      <c r="D1074" s="738">
        <v>3641.2139999999999</v>
      </c>
      <c r="E1074" s="738">
        <v>2112.1610999999998</v>
      </c>
      <c r="F1074" s="738">
        <v>31438.819599999999</v>
      </c>
      <c r="G1074" s="738">
        <v>306.55245831338061</v>
      </c>
    </row>
    <row r="1075" spans="2:7" x14ac:dyDescent="0.25">
      <c r="B1075" s="737" t="s">
        <v>4599</v>
      </c>
      <c r="C1075" s="737" t="s">
        <v>4600</v>
      </c>
      <c r="D1075" s="738">
        <v>3771.2075</v>
      </c>
      <c r="E1075" s="738">
        <v>1914.3860999999999</v>
      </c>
      <c r="F1075" s="738">
        <v>34886.2981</v>
      </c>
      <c r="G1075" s="738">
        <v>306.55245831338061</v>
      </c>
    </row>
    <row r="1076" spans="2:7" x14ac:dyDescent="0.25">
      <c r="B1076" s="737" t="s">
        <v>4601</v>
      </c>
      <c r="C1076" s="737" t="s">
        <v>4602</v>
      </c>
      <c r="D1076" s="738">
        <v>3607.8892999999998</v>
      </c>
      <c r="E1076" s="738">
        <v>1895.6985</v>
      </c>
      <c r="F1076" s="738">
        <v>32039.913199999999</v>
      </c>
      <c r="G1076" s="738">
        <v>306.55245831338061</v>
      </c>
    </row>
    <row r="1077" spans="2:7" x14ac:dyDescent="0.25">
      <c r="B1077" s="737" t="s">
        <v>4603</v>
      </c>
      <c r="C1077" s="737" t="s">
        <v>4604</v>
      </c>
      <c r="D1077" s="738">
        <v>3804.4872999999998</v>
      </c>
      <c r="E1077" s="738">
        <v>1909.2725</v>
      </c>
      <c r="F1077" s="738">
        <v>35453.347800000003</v>
      </c>
      <c r="G1077" s="738">
        <v>306.55245831338061</v>
      </c>
    </row>
    <row r="1078" spans="2:7" x14ac:dyDescent="0.25">
      <c r="B1078" s="737" t="s">
        <v>4605</v>
      </c>
      <c r="C1078" s="737" t="s">
        <v>4606</v>
      </c>
      <c r="D1078" s="738">
        <v>3272.6287000000002</v>
      </c>
      <c r="E1078" s="738">
        <v>1907.8792000000001</v>
      </c>
      <c r="F1078" s="738">
        <v>25918.996599999999</v>
      </c>
      <c r="G1078" s="738">
        <v>306.55245831338061</v>
      </c>
    </row>
    <row r="1079" spans="2:7" x14ac:dyDescent="0.25">
      <c r="B1079" s="737" t="s">
        <v>4607</v>
      </c>
      <c r="C1079" s="737" t="s">
        <v>4608</v>
      </c>
      <c r="D1079" s="738">
        <v>3481.3353999999999</v>
      </c>
      <c r="E1079" s="738">
        <v>1893.1001000000001</v>
      </c>
      <c r="F1079" s="738">
        <v>29719.773799999999</v>
      </c>
      <c r="G1079" s="738">
        <v>306.55245831338061</v>
      </c>
    </row>
    <row r="1080" spans="2:7" x14ac:dyDescent="0.25">
      <c r="B1080" s="737" t="s">
        <v>4609</v>
      </c>
      <c r="C1080" s="737" t="s">
        <v>4610</v>
      </c>
      <c r="D1080" s="738">
        <v>3675.6772000000001</v>
      </c>
      <c r="E1080" s="738">
        <v>1890.0036</v>
      </c>
      <c r="F1080" s="738">
        <v>33279.034</v>
      </c>
      <c r="G1080" s="738">
        <v>306.55245831338061</v>
      </c>
    </row>
    <row r="1081" spans="2:7" x14ac:dyDescent="0.25">
      <c r="B1081" s="737" t="s">
        <v>4611</v>
      </c>
      <c r="C1081" s="737" t="s">
        <v>4612</v>
      </c>
      <c r="D1081" s="738">
        <v>2988.5162999999998</v>
      </c>
      <c r="E1081" s="738">
        <v>1966.7627</v>
      </c>
      <c r="F1081" s="738">
        <v>20473.823199999999</v>
      </c>
      <c r="G1081" s="738">
        <v>306.55245831338061</v>
      </c>
    </row>
    <row r="1082" spans="2:7" x14ac:dyDescent="0.25">
      <c r="B1082" s="737" t="s">
        <v>4613</v>
      </c>
      <c r="C1082" s="737" t="s">
        <v>4614</v>
      </c>
      <c r="D1082" s="738">
        <v>2965.0322000000001</v>
      </c>
      <c r="E1082" s="738">
        <v>1846.4733000000001</v>
      </c>
      <c r="F1082" s="738">
        <v>20718.6482</v>
      </c>
      <c r="G1082" s="738">
        <v>306.55245831338061</v>
      </c>
    </row>
    <row r="1083" spans="2:7" x14ac:dyDescent="0.25">
      <c r="B1083" s="737" t="s">
        <v>4615</v>
      </c>
      <c r="C1083" s="737" t="s">
        <v>4616</v>
      </c>
      <c r="D1083" s="738">
        <v>3106.9618</v>
      </c>
      <c r="E1083" s="738">
        <v>1941.9168</v>
      </c>
      <c r="F1083" s="738">
        <v>22752.8374</v>
      </c>
      <c r="G1083" s="738">
        <v>306.55245831338061</v>
      </c>
    </row>
    <row r="1084" spans="2:7" x14ac:dyDescent="0.25">
      <c r="B1084" s="737" t="s">
        <v>4617</v>
      </c>
      <c r="C1084" s="737" t="s">
        <v>4618</v>
      </c>
      <c r="D1084" s="738">
        <v>3052.0133000000001</v>
      </c>
      <c r="E1084" s="738">
        <v>1922.5992000000001</v>
      </c>
      <c r="F1084" s="738">
        <v>21863.787700000001</v>
      </c>
      <c r="G1084" s="738">
        <v>306.55245831338061</v>
      </c>
    </row>
    <row r="1085" spans="2:7" x14ac:dyDescent="0.25">
      <c r="B1085" s="737" t="s">
        <v>4619</v>
      </c>
      <c r="C1085" s="737" t="s">
        <v>4620</v>
      </c>
      <c r="D1085" s="738">
        <v>3069.1680000000001</v>
      </c>
      <c r="E1085" s="738">
        <v>1945.3666000000001</v>
      </c>
      <c r="F1085" s="738">
        <v>22011.230299999999</v>
      </c>
      <c r="G1085" s="738">
        <v>306.55245831338061</v>
      </c>
    </row>
    <row r="1086" spans="2:7" x14ac:dyDescent="0.25">
      <c r="B1086" s="737" t="s">
        <v>4621</v>
      </c>
      <c r="C1086" s="737" t="s">
        <v>4622</v>
      </c>
      <c r="D1086" s="738">
        <v>3048.2692000000002</v>
      </c>
      <c r="E1086" s="738">
        <v>1976.8956000000001</v>
      </c>
      <c r="F1086" s="738">
        <v>21488.215400000001</v>
      </c>
      <c r="G1086" s="738">
        <v>306.55245831338061</v>
      </c>
    </row>
    <row r="1087" spans="2:7" x14ac:dyDescent="0.25">
      <c r="B1087" s="737" t="s">
        <v>4623</v>
      </c>
      <c r="C1087" s="737" t="s">
        <v>4624</v>
      </c>
      <c r="D1087" s="738">
        <v>3043.4297999999999</v>
      </c>
      <c r="E1087" s="738">
        <v>1987.9241999999999</v>
      </c>
      <c r="F1087" s="738">
        <v>21348.6446</v>
      </c>
      <c r="G1087" s="738">
        <v>306.55245831338061</v>
      </c>
    </row>
    <row r="1088" spans="2:7" x14ac:dyDescent="0.25">
      <c r="B1088" s="737" t="s">
        <v>4625</v>
      </c>
      <c r="C1088" s="737" t="s">
        <v>4626</v>
      </c>
      <c r="D1088" s="738">
        <v>3070.1857</v>
      </c>
      <c r="E1088" s="738">
        <v>1948.9715000000001</v>
      </c>
      <c r="F1088" s="738">
        <v>22049.007699999998</v>
      </c>
      <c r="G1088" s="738">
        <v>306.55245831338061</v>
      </c>
    </row>
    <row r="1089" spans="2:7" x14ac:dyDescent="0.25">
      <c r="B1089" s="737" t="s">
        <v>4627</v>
      </c>
      <c r="C1089" s="737" t="s">
        <v>4628</v>
      </c>
      <c r="D1089" s="738">
        <v>3118.3227000000002</v>
      </c>
      <c r="E1089" s="738">
        <v>1966.7596000000001</v>
      </c>
      <c r="F1089" s="738">
        <v>22818.5</v>
      </c>
      <c r="G1089" s="738">
        <v>306.55245831338061</v>
      </c>
    </row>
    <row r="1090" spans="2:7" x14ac:dyDescent="0.25">
      <c r="B1090" s="737" t="s">
        <v>4629</v>
      </c>
      <c r="C1090" s="737" t="s">
        <v>4630</v>
      </c>
      <c r="D1090" s="738">
        <v>3110.7220000000002</v>
      </c>
      <c r="E1090" s="738">
        <v>1972.3308</v>
      </c>
      <c r="F1090" s="738">
        <v>22642.848699999999</v>
      </c>
      <c r="G1090" s="738">
        <v>306.55245831338061</v>
      </c>
    </row>
    <row r="1091" spans="2:7" x14ac:dyDescent="0.25">
      <c r="B1091" s="737" t="s">
        <v>4631</v>
      </c>
      <c r="C1091" s="737" t="s">
        <v>4632</v>
      </c>
      <c r="D1091" s="738">
        <v>3794.7348999999999</v>
      </c>
      <c r="E1091" s="738">
        <v>2022.5716</v>
      </c>
      <c r="F1091" s="738">
        <v>36796.6567</v>
      </c>
      <c r="G1091" s="738">
        <v>251.58092376863095</v>
      </c>
    </row>
    <row r="1092" spans="2:7" x14ac:dyDescent="0.25">
      <c r="B1092" s="737" t="s">
        <v>4633</v>
      </c>
      <c r="C1092" s="737" t="s">
        <v>4634</v>
      </c>
      <c r="D1092" s="738">
        <v>3900.509</v>
      </c>
      <c r="E1092" s="738">
        <v>1960.0315000000001</v>
      </c>
      <c r="F1092" s="738">
        <v>39004.476199999997</v>
      </c>
      <c r="G1092" s="738">
        <v>251.58092376863095</v>
      </c>
    </row>
    <row r="1093" spans="2:7" x14ac:dyDescent="0.25">
      <c r="B1093" s="737" t="s">
        <v>4635</v>
      </c>
      <c r="C1093" s="737" t="s">
        <v>4636</v>
      </c>
      <c r="D1093" s="738">
        <v>3790.3672999999999</v>
      </c>
      <c r="E1093" s="738">
        <v>1901.7370000000001</v>
      </c>
      <c r="F1093" s="738">
        <v>37186.808900000004</v>
      </c>
      <c r="G1093" s="738">
        <v>251.58092376863095</v>
      </c>
    </row>
    <row r="1094" spans="2:7" x14ac:dyDescent="0.25">
      <c r="B1094" s="737" t="s">
        <v>4637</v>
      </c>
      <c r="C1094" s="737" t="s">
        <v>4638</v>
      </c>
      <c r="D1094" s="738">
        <v>3461.9904999999999</v>
      </c>
      <c r="E1094" s="738">
        <v>2143.3618999999999</v>
      </c>
      <c r="F1094" s="738">
        <v>30226.432400000002</v>
      </c>
      <c r="G1094" s="738">
        <v>251.58092376863095</v>
      </c>
    </row>
    <row r="1095" spans="2:7" x14ac:dyDescent="0.25">
      <c r="B1095" s="737" t="s">
        <v>4639</v>
      </c>
      <c r="C1095" s="737" t="s">
        <v>4640</v>
      </c>
      <c r="D1095" s="738">
        <v>4425.2282999999998</v>
      </c>
      <c r="E1095" s="738">
        <v>1974.0997</v>
      </c>
      <c r="F1095" s="738">
        <v>37129.235999999997</v>
      </c>
      <c r="G1095" s="738">
        <v>559.86250076040449</v>
      </c>
    </row>
    <row r="1096" spans="2:7" x14ac:dyDescent="0.25">
      <c r="B1096" s="737" t="s">
        <v>4641</v>
      </c>
      <c r="C1096" s="737" t="s">
        <v>4642</v>
      </c>
      <c r="D1096" s="738">
        <v>4411.3184000000001</v>
      </c>
      <c r="E1096" s="738">
        <v>1931.6388999999999</v>
      </c>
      <c r="F1096" s="738">
        <v>37225.287700000001</v>
      </c>
      <c r="G1096" s="738">
        <v>559.86250076040449</v>
      </c>
    </row>
    <row r="1097" spans="2:7" x14ac:dyDescent="0.25">
      <c r="B1097" s="737" t="s">
        <v>4643</v>
      </c>
      <c r="C1097" s="737" t="s">
        <v>4644</v>
      </c>
      <c r="D1097" s="738">
        <v>4419.9156999999996</v>
      </c>
      <c r="E1097" s="738">
        <v>2155.8226</v>
      </c>
      <c r="F1097" s="738">
        <v>32365.197700000001</v>
      </c>
      <c r="G1097" s="738">
        <v>630.03719504981132</v>
      </c>
    </row>
    <row r="1098" spans="2:7" x14ac:dyDescent="0.25">
      <c r="B1098" s="737" t="s">
        <v>4645</v>
      </c>
      <c r="C1098" s="737" t="s">
        <v>4646</v>
      </c>
      <c r="D1098" s="738">
        <v>5024.3489</v>
      </c>
      <c r="E1098" s="738">
        <v>2127.9132</v>
      </c>
      <c r="F1098" s="738">
        <v>36591.677499999998</v>
      </c>
      <c r="G1098" s="738">
        <v>805.74860950821335</v>
      </c>
    </row>
    <row r="1099" spans="2:7" x14ac:dyDescent="0.25">
      <c r="B1099" s="737" t="s">
        <v>4647</v>
      </c>
      <c r="C1099" s="737" t="s">
        <v>4648</v>
      </c>
      <c r="D1099" s="738">
        <v>4427.1966000000002</v>
      </c>
      <c r="E1099" s="738">
        <v>2147.3393000000001</v>
      </c>
      <c r="F1099" s="738">
        <v>35370.477800000001</v>
      </c>
      <c r="G1099" s="738">
        <v>559.86250076040449</v>
      </c>
    </row>
    <row r="1100" spans="2:7" x14ac:dyDescent="0.25">
      <c r="B1100" s="737" t="s">
        <v>4649</v>
      </c>
      <c r="C1100" s="737" t="s">
        <v>4650</v>
      </c>
      <c r="D1100" s="738">
        <v>4949.4614000000001</v>
      </c>
      <c r="E1100" s="738">
        <v>2020.0733</v>
      </c>
      <c r="F1100" s="738">
        <v>36933.7235</v>
      </c>
      <c r="G1100" s="738">
        <v>805.74860950821335</v>
      </c>
    </row>
    <row r="1101" spans="2:7" x14ac:dyDescent="0.25">
      <c r="B1101" s="737" t="s">
        <v>4651</v>
      </c>
      <c r="C1101" s="737" t="s">
        <v>4652</v>
      </c>
      <c r="D1101" s="738">
        <v>4587.9957000000004</v>
      </c>
      <c r="E1101" s="738">
        <v>2054.9870000000001</v>
      </c>
      <c r="F1101" s="738">
        <v>37729.0265</v>
      </c>
      <c r="G1101" s="738">
        <v>595.70998315407724</v>
      </c>
    </row>
    <row r="1102" spans="2:7" x14ac:dyDescent="0.25">
      <c r="B1102" s="737" t="s">
        <v>4653</v>
      </c>
      <c r="C1102" s="737" t="s">
        <v>4654</v>
      </c>
      <c r="D1102" s="738">
        <v>4551.0073000000002</v>
      </c>
      <c r="E1102" s="738">
        <v>2021.8241</v>
      </c>
      <c r="F1102" s="738">
        <v>37380.0144</v>
      </c>
      <c r="G1102" s="738">
        <v>595.70998315407724</v>
      </c>
    </row>
    <row r="1103" spans="2:7" x14ac:dyDescent="0.25">
      <c r="B1103" s="737" t="s">
        <v>4655</v>
      </c>
      <c r="C1103" s="737" t="s">
        <v>4656</v>
      </c>
      <c r="D1103" s="738">
        <v>4591.4224000000004</v>
      </c>
      <c r="E1103" s="738">
        <v>1965.3726999999999</v>
      </c>
      <c r="F1103" s="738">
        <v>38925.974900000001</v>
      </c>
      <c r="G1103" s="738">
        <v>595.70998315407724</v>
      </c>
    </row>
    <row r="1104" spans="2:7" x14ac:dyDescent="0.25">
      <c r="B1104" s="737" t="s">
        <v>4657</v>
      </c>
      <c r="C1104" s="737" t="s">
        <v>4658</v>
      </c>
      <c r="D1104" s="738">
        <v>4554.8782000000001</v>
      </c>
      <c r="E1104" s="738">
        <v>2056.8793999999998</v>
      </c>
      <c r="F1104" s="738">
        <v>37064.5386</v>
      </c>
      <c r="G1104" s="738">
        <v>595.70998315407724</v>
      </c>
    </row>
    <row r="1105" spans="2:7" x14ac:dyDescent="0.25">
      <c r="B1105" s="737" t="s">
        <v>4659</v>
      </c>
      <c r="C1105" s="737" t="s">
        <v>4660</v>
      </c>
      <c r="D1105" s="738">
        <v>4565.1480000000001</v>
      </c>
      <c r="E1105" s="738">
        <v>2043.6839</v>
      </c>
      <c r="F1105" s="738">
        <v>37529.237099999998</v>
      </c>
      <c r="G1105" s="738">
        <v>595.70998315407724</v>
      </c>
    </row>
    <row r="1106" spans="2:7" x14ac:dyDescent="0.25">
      <c r="B1106" s="737" t="s">
        <v>4661</v>
      </c>
      <c r="C1106" s="737" t="s">
        <v>4662</v>
      </c>
      <c r="D1106" s="738">
        <v>4683.6516000000001</v>
      </c>
      <c r="E1106" s="738">
        <v>2042.3565000000001</v>
      </c>
      <c r="F1106" s="738">
        <v>39730.874100000001</v>
      </c>
      <c r="G1106" s="738">
        <v>595.70998315407724</v>
      </c>
    </row>
    <row r="1107" spans="2:7" x14ac:dyDescent="0.25">
      <c r="B1107" s="737" t="s">
        <v>4663</v>
      </c>
      <c r="C1107" s="737" t="s">
        <v>4664</v>
      </c>
      <c r="D1107" s="738">
        <v>4531.7030999999997</v>
      </c>
      <c r="E1107" s="738">
        <v>2105.5381000000002</v>
      </c>
      <c r="F1107" s="738">
        <v>36149.487999999998</v>
      </c>
      <c r="G1107" s="738">
        <v>595.70998315407724</v>
      </c>
    </row>
    <row r="1108" spans="2:7" x14ac:dyDescent="0.25">
      <c r="B1108" s="737" t="s">
        <v>4665</v>
      </c>
      <c r="C1108" s="737" t="s">
        <v>4666</v>
      </c>
      <c r="D1108" s="738">
        <v>4552.7338</v>
      </c>
      <c r="E1108" s="738">
        <v>1976.8263999999999</v>
      </c>
      <c r="F1108" s="738">
        <v>37896.735000000001</v>
      </c>
      <c r="G1108" s="738">
        <v>595.70998315407724</v>
      </c>
    </row>
    <row r="1109" spans="2:7" x14ac:dyDescent="0.25">
      <c r="B1109" s="737" t="s">
        <v>4667</v>
      </c>
      <c r="C1109" s="737" t="s">
        <v>4668</v>
      </c>
      <c r="D1109" s="738">
        <v>4611.5114000000003</v>
      </c>
      <c r="E1109" s="738">
        <v>2035.3132000000001</v>
      </c>
      <c r="F1109" s="738">
        <v>38370.372799999997</v>
      </c>
      <c r="G1109" s="738">
        <v>595.70998315407724</v>
      </c>
    </row>
    <row r="1110" spans="2:7" x14ac:dyDescent="0.25">
      <c r="B1110" s="737" t="s">
        <v>4669</v>
      </c>
      <c r="C1110" s="737" t="s">
        <v>4670</v>
      </c>
      <c r="D1110" s="738">
        <v>4718.4026000000003</v>
      </c>
      <c r="E1110" s="738">
        <v>2016.0325</v>
      </c>
      <c r="F1110" s="738">
        <v>40676.857900000003</v>
      </c>
      <c r="G1110" s="738">
        <v>595.70998315407724</v>
      </c>
    </row>
    <row r="1111" spans="2:7" x14ac:dyDescent="0.25">
      <c r="B1111" s="737" t="s">
        <v>4671</v>
      </c>
      <c r="C1111" s="737" t="s">
        <v>4672</v>
      </c>
      <c r="D1111" s="738">
        <v>4669.1469999999999</v>
      </c>
      <c r="E1111" s="738">
        <v>1960.6244999999999</v>
      </c>
      <c r="F1111" s="738">
        <v>40149.496800000001</v>
      </c>
      <c r="G1111" s="738">
        <v>595.70998315407724</v>
      </c>
    </row>
    <row r="1112" spans="2:7" x14ac:dyDescent="0.25">
      <c r="B1112" s="737" t="s">
        <v>4673</v>
      </c>
      <c r="C1112" s="737" t="s">
        <v>4674</v>
      </c>
      <c r="D1112" s="738">
        <v>4704.7852000000003</v>
      </c>
      <c r="E1112" s="738">
        <v>2051.2779</v>
      </c>
      <c r="F1112" s="738">
        <v>39838.597999999998</v>
      </c>
      <c r="G1112" s="738">
        <v>595.70998315407724</v>
      </c>
    </row>
    <row r="1113" spans="2:7" x14ac:dyDescent="0.25">
      <c r="B1113" s="737" t="s">
        <v>4675</v>
      </c>
      <c r="C1113" s="737" t="s">
        <v>4676</v>
      </c>
      <c r="D1113" s="738">
        <v>4558.5356000000002</v>
      </c>
      <c r="E1113" s="738">
        <v>2127.1545000000001</v>
      </c>
      <c r="F1113" s="738">
        <v>36413.724300000002</v>
      </c>
      <c r="G1113" s="738">
        <v>595.70998315407724</v>
      </c>
    </row>
    <row r="1114" spans="2:7" x14ac:dyDescent="0.25">
      <c r="B1114" s="737" t="s">
        <v>4677</v>
      </c>
      <c r="C1114" s="737" t="s">
        <v>4678</v>
      </c>
      <c r="D1114" s="738">
        <v>4458.8977000000004</v>
      </c>
      <c r="E1114" s="738">
        <v>1979.8444</v>
      </c>
      <c r="F1114" s="738">
        <v>36327.991699999999</v>
      </c>
      <c r="G1114" s="738">
        <v>595.70998315407724</v>
      </c>
    </row>
    <row r="1115" spans="2:7" x14ac:dyDescent="0.25">
      <c r="B1115" s="737" t="s">
        <v>4679</v>
      </c>
      <c r="C1115" s="737" t="s">
        <v>4680</v>
      </c>
      <c r="D1115" s="738">
        <v>4662.3778000000002</v>
      </c>
      <c r="E1115" s="738">
        <v>2078.0356999999999</v>
      </c>
      <c r="F1115" s="738">
        <v>38794.182000000001</v>
      </c>
      <c r="G1115" s="738">
        <v>595.70998315407724</v>
      </c>
    </row>
    <row r="1116" spans="2:7" x14ac:dyDescent="0.25">
      <c r="B1116" s="737" t="s">
        <v>4681</v>
      </c>
      <c r="C1116" s="737" t="s">
        <v>4682</v>
      </c>
      <c r="D1116" s="738">
        <v>4663.4387999999999</v>
      </c>
      <c r="E1116" s="738">
        <v>2130.6194999999998</v>
      </c>
      <c r="F1116" s="738">
        <v>38352.218200000003</v>
      </c>
      <c r="G1116" s="738">
        <v>595.70998315407724</v>
      </c>
    </row>
    <row r="1117" spans="2:7" x14ac:dyDescent="0.25">
      <c r="B1117" s="737" t="s">
        <v>4683</v>
      </c>
      <c r="C1117" s="737" t="s">
        <v>4684</v>
      </c>
      <c r="D1117" s="738">
        <v>4599.7151999999996</v>
      </c>
      <c r="E1117" s="738">
        <v>2165.8159000000001</v>
      </c>
      <c r="F1117" s="738">
        <v>36716.781900000002</v>
      </c>
      <c r="G1117" s="738">
        <v>595.70998315407724</v>
      </c>
    </row>
    <row r="1118" spans="2:7" x14ac:dyDescent="0.25">
      <c r="B1118" s="737" t="s">
        <v>4685</v>
      </c>
      <c r="C1118" s="737" t="s">
        <v>4686</v>
      </c>
      <c r="D1118" s="738">
        <v>4590.4380000000001</v>
      </c>
      <c r="E1118" s="738">
        <v>2084.8825999999999</v>
      </c>
      <c r="F1118" s="738">
        <v>37416.5864</v>
      </c>
      <c r="G1118" s="738">
        <v>595.70998315407724</v>
      </c>
    </row>
    <row r="1119" spans="2:7" x14ac:dyDescent="0.25">
      <c r="B1119" s="737" t="s">
        <v>4687</v>
      </c>
      <c r="C1119" s="737" t="s">
        <v>4688</v>
      </c>
      <c r="D1119" s="738">
        <v>4696.6773000000003</v>
      </c>
      <c r="E1119" s="738">
        <v>2054.4178000000002</v>
      </c>
      <c r="F1119" s="738">
        <v>39679.924099999997</v>
      </c>
      <c r="G1119" s="738">
        <v>595.70998315407724</v>
      </c>
    </row>
    <row r="1120" spans="2:7" x14ac:dyDescent="0.25">
      <c r="B1120" s="737" t="s">
        <v>4689</v>
      </c>
      <c r="C1120" s="737" t="s">
        <v>4690</v>
      </c>
      <c r="D1120" s="738">
        <v>4577.7030999999997</v>
      </c>
      <c r="E1120" s="738">
        <v>2225.6066000000001</v>
      </c>
      <c r="F1120" s="738">
        <v>35670.833400000003</v>
      </c>
      <c r="G1120" s="738">
        <v>595.70998315407724</v>
      </c>
    </row>
    <row r="1121" spans="2:7" x14ac:dyDescent="0.25">
      <c r="B1121" s="737" t="s">
        <v>4691</v>
      </c>
      <c r="C1121" s="737" t="s">
        <v>4692</v>
      </c>
      <c r="D1121" s="738">
        <v>4609.9399999999996</v>
      </c>
      <c r="E1121" s="738">
        <v>2094.3074000000001</v>
      </c>
      <c r="F1121" s="738">
        <v>37876.8007</v>
      </c>
      <c r="G1121" s="738">
        <v>595.70998315407724</v>
      </c>
    </row>
    <row r="1122" spans="2:7" x14ac:dyDescent="0.25">
      <c r="B1122" s="737" t="s">
        <v>4693</v>
      </c>
      <c r="C1122" s="737" t="s">
        <v>4694</v>
      </c>
      <c r="D1122" s="738">
        <v>4570.2088000000003</v>
      </c>
      <c r="E1122" s="738">
        <v>2157.1170000000002</v>
      </c>
      <c r="F1122" s="738">
        <v>36291.340499999998</v>
      </c>
      <c r="G1122" s="738">
        <v>595.70998315407724</v>
      </c>
    </row>
    <row r="1123" spans="2:7" x14ac:dyDescent="0.25">
      <c r="B1123" s="737" t="s">
        <v>4695</v>
      </c>
      <c r="C1123" s="737" t="s">
        <v>4696</v>
      </c>
      <c r="D1123" s="738">
        <v>4702.3145999999997</v>
      </c>
      <c r="E1123" s="738">
        <v>2159.8744999999999</v>
      </c>
      <c r="F1123" s="738">
        <v>38787.964200000002</v>
      </c>
      <c r="G1123" s="738">
        <v>595.70998315407724</v>
      </c>
    </row>
    <row r="1124" spans="2:7" x14ac:dyDescent="0.25">
      <c r="B1124" s="737" t="s">
        <v>4697</v>
      </c>
      <c r="C1124" s="737" t="s">
        <v>4698</v>
      </c>
      <c r="D1124" s="738">
        <v>4570.9798000000001</v>
      </c>
      <c r="E1124" s="738">
        <v>2004.0220999999999</v>
      </c>
      <c r="F1124" s="738">
        <v>37918.110800000002</v>
      </c>
      <c r="G1124" s="738">
        <v>595.70998315407724</v>
      </c>
    </row>
    <row r="1125" spans="2:7" x14ac:dyDescent="0.25">
      <c r="B1125" s="737" t="s">
        <v>4699</v>
      </c>
      <c r="C1125" s="737" t="s">
        <v>4700</v>
      </c>
      <c r="D1125" s="738">
        <v>4628.2092000000002</v>
      </c>
      <c r="E1125" s="738">
        <v>2065.7141000000001</v>
      </c>
      <c r="F1125" s="738">
        <v>38295.547599999998</v>
      </c>
      <c r="G1125" s="738">
        <v>595.70998315407724</v>
      </c>
    </row>
    <row r="1126" spans="2:7" x14ac:dyDescent="0.25">
      <c r="B1126" s="737" t="s">
        <v>4701</v>
      </c>
      <c r="C1126" s="737" t="s">
        <v>4702</v>
      </c>
      <c r="D1126" s="738">
        <v>4683.1929</v>
      </c>
      <c r="E1126" s="738">
        <v>1918.423</v>
      </c>
      <c r="F1126" s="738">
        <v>40886.220500000003</v>
      </c>
      <c r="G1126" s="738">
        <v>595.70998315407724</v>
      </c>
    </row>
    <row r="1127" spans="2:7" x14ac:dyDescent="0.25">
      <c r="B1127" s="737" t="s">
        <v>4703</v>
      </c>
      <c r="C1127" s="737" t="s">
        <v>4704</v>
      </c>
      <c r="D1127" s="738">
        <v>4536.3721999999998</v>
      </c>
      <c r="E1127" s="738">
        <v>2292.9769000000001</v>
      </c>
      <c r="F1127" s="738">
        <v>34226.544900000001</v>
      </c>
      <c r="G1127" s="738">
        <v>595.70998315407724</v>
      </c>
    </row>
    <row r="1128" spans="2:7" x14ac:dyDescent="0.25">
      <c r="B1128" s="737" t="s">
        <v>4705</v>
      </c>
      <c r="C1128" s="737" t="s">
        <v>4706</v>
      </c>
      <c r="D1128" s="738">
        <v>4529.8555999999999</v>
      </c>
      <c r="E1128" s="738">
        <v>1930.9866999999999</v>
      </c>
      <c r="F1128" s="738">
        <v>38016.475100000003</v>
      </c>
      <c r="G1128" s="738">
        <v>595.70998315407724</v>
      </c>
    </row>
    <row r="1129" spans="2:7" x14ac:dyDescent="0.25">
      <c r="B1129" s="737" t="s">
        <v>4707</v>
      </c>
      <c r="C1129" s="737" t="s">
        <v>4708</v>
      </c>
      <c r="D1129" s="738">
        <v>4534.7798000000003</v>
      </c>
      <c r="E1129" s="738">
        <v>2090.0268000000001</v>
      </c>
      <c r="F1129" s="738">
        <v>36519.222999999998</v>
      </c>
      <c r="G1129" s="738">
        <v>595.70998315407724</v>
      </c>
    </row>
    <row r="1130" spans="2:7" x14ac:dyDescent="0.25">
      <c r="B1130" s="737" t="s">
        <v>4709</v>
      </c>
      <c r="C1130" s="737" t="s">
        <v>4710</v>
      </c>
      <c r="D1130" s="738">
        <v>4674.7091</v>
      </c>
      <c r="E1130" s="738">
        <v>2128.9319999999998</v>
      </c>
      <c r="F1130" s="738">
        <v>38660.3007</v>
      </c>
      <c r="G1130" s="738">
        <v>595.70998315407724</v>
      </c>
    </row>
    <row r="1131" spans="2:7" x14ac:dyDescent="0.25">
      <c r="B1131" s="737" t="s">
        <v>4711</v>
      </c>
      <c r="C1131" s="737" t="s">
        <v>4712</v>
      </c>
      <c r="D1131" s="738">
        <v>4440.6261999999997</v>
      </c>
      <c r="E1131" s="738">
        <v>2002.0577000000001</v>
      </c>
      <c r="F1131" s="738">
        <v>35803.382899999997</v>
      </c>
      <c r="G1131" s="738">
        <v>595.70998315407724</v>
      </c>
    </row>
    <row r="1132" spans="2:7" x14ac:dyDescent="0.25">
      <c r="B1132" s="737" t="s">
        <v>4713</v>
      </c>
      <c r="C1132" s="737" t="s">
        <v>4714</v>
      </c>
      <c r="D1132" s="738">
        <v>4564.1562999999996</v>
      </c>
      <c r="E1132" s="738">
        <v>2005.7679000000001</v>
      </c>
      <c r="F1132" s="738">
        <v>37936.420400000003</v>
      </c>
      <c r="G1132" s="738">
        <v>595.70998315407724</v>
      </c>
    </row>
    <row r="1133" spans="2:7" x14ac:dyDescent="0.25">
      <c r="B1133" s="737" t="s">
        <v>4715</v>
      </c>
      <c r="C1133" s="737" t="s">
        <v>4716</v>
      </c>
      <c r="D1133" s="738">
        <v>3857.8845999999999</v>
      </c>
      <c r="E1133" s="738">
        <v>1969.2630999999999</v>
      </c>
      <c r="F1133" s="738">
        <v>36173.085400000004</v>
      </c>
      <c r="G1133" s="738">
        <v>306.55245831338061</v>
      </c>
    </row>
    <row r="1134" spans="2:7" x14ac:dyDescent="0.25">
      <c r="B1134" s="737" t="s">
        <v>4717</v>
      </c>
      <c r="C1134" s="737" t="s">
        <v>4718</v>
      </c>
      <c r="D1134" s="738">
        <v>4458.8487999999998</v>
      </c>
      <c r="E1134" s="738">
        <v>1977.9293</v>
      </c>
      <c r="F1134" s="738">
        <v>36357.203300000001</v>
      </c>
      <c r="G1134" s="738">
        <v>595.70998315407724</v>
      </c>
    </row>
    <row r="1135" spans="2:7" x14ac:dyDescent="0.25">
      <c r="B1135" s="737" t="s">
        <v>4719</v>
      </c>
      <c r="C1135" s="737" t="s">
        <v>4720</v>
      </c>
      <c r="D1135" s="738">
        <v>4466.9593000000004</v>
      </c>
      <c r="E1135" s="738">
        <v>1928.1891000000001</v>
      </c>
      <c r="F1135" s="738">
        <v>37041.492200000001</v>
      </c>
      <c r="G1135" s="738">
        <v>595.70998315407724</v>
      </c>
    </row>
    <row r="1136" spans="2:7" x14ac:dyDescent="0.25">
      <c r="B1136" s="737" t="s">
        <v>4721</v>
      </c>
      <c r="C1136" s="737" t="s">
        <v>4722</v>
      </c>
      <c r="D1136" s="738">
        <v>3812.8501000000001</v>
      </c>
      <c r="E1136" s="738">
        <v>1933.3208999999999</v>
      </c>
      <c r="F1136" s="738">
        <v>35545.659099999997</v>
      </c>
      <c r="G1136" s="738">
        <v>595.70998315407724</v>
      </c>
    </row>
    <row r="1137" spans="2:7" x14ac:dyDescent="0.25">
      <c r="B1137" s="737" t="s">
        <v>4723</v>
      </c>
      <c r="C1137" s="737" t="s">
        <v>4724</v>
      </c>
      <c r="D1137" s="738">
        <v>4526.7165999999997</v>
      </c>
      <c r="E1137" s="738">
        <v>1960.6331</v>
      </c>
      <c r="F1137" s="738">
        <v>37736.159200000002</v>
      </c>
      <c r="G1137" s="738">
        <v>306.55245831338061</v>
      </c>
    </row>
    <row r="1138" spans="2:7" x14ac:dyDescent="0.25">
      <c r="B1138" s="737" t="s">
        <v>4725</v>
      </c>
      <c r="C1138" s="737" t="s">
        <v>4726</v>
      </c>
      <c r="D1138" s="738">
        <v>4031.7314000000001</v>
      </c>
      <c r="E1138" s="738">
        <v>1978.8955000000001</v>
      </c>
      <c r="F1138" s="738">
        <v>39166.442000000003</v>
      </c>
      <c r="G1138" s="738">
        <v>306.55245831338061</v>
      </c>
    </row>
    <row r="1139" spans="2:7" x14ac:dyDescent="0.25">
      <c r="B1139" s="737" t="s">
        <v>4727</v>
      </c>
      <c r="C1139" s="737" t="s">
        <v>4728</v>
      </c>
      <c r="D1139" s="738">
        <v>3797.4339</v>
      </c>
      <c r="E1139" s="738">
        <v>1880.779</v>
      </c>
      <c r="F1139" s="738">
        <v>35559.599099999999</v>
      </c>
      <c r="G1139" s="738">
        <v>306.55245831338061</v>
      </c>
    </row>
    <row r="1140" spans="2:7" x14ac:dyDescent="0.25">
      <c r="B1140" s="737" t="s">
        <v>4729</v>
      </c>
      <c r="C1140" s="737" t="s">
        <v>4730</v>
      </c>
      <c r="D1140" s="738">
        <v>3676.3634999999999</v>
      </c>
      <c r="E1140" s="738">
        <v>1890.8915999999999</v>
      </c>
      <c r="F1140" s="738">
        <v>33312.1757</v>
      </c>
      <c r="G1140" s="738">
        <v>306.55245831338061</v>
      </c>
    </row>
    <row r="1141" spans="2:7" x14ac:dyDescent="0.25">
      <c r="B1141" s="737" t="s">
        <v>4731</v>
      </c>
      <c r="C1141" s="737" t="s">
        <v>4732</v>
      </c>
      <c r="D1141" s="738">
        <v>3841.7950999999998</v>
      </c>
      <c r="E1141" s="738">
        <v>1903.6709000000001</v>
      </c>
      <c r="F1141" s="738">
        <v>36231.576200000003</v>
      </c>
      <c r="G1141" s="738">
        <v>306.55245831338061</v>
      </c>
    </row>
    <row r="1142" spans="2:7" x14ac:dyDescent="0.25">
      <c r="B1142" s="737" t="s">
        <v>4733</v>
      </c>
      <c r="C1142" s="737" t="s">
        <v>4734</v>
      </c>
      <c r="D1142" s="738">
        <v>3838.2305000000001</v>
      </c>
      <c r="E1142" s="738">
        <v>1932.4471000000001</v>
      </c>
      <c r="F1142" s="738">
        <v>36014.7022</v>
      </c>
      <c r="G1142" s="738">
        <v>306.55245831338061</v>
      </c>
    </row>
    <row r="1143" spans="2:7" x14ac:dyDescent="0.25">
      <c r="B1143" s="737" t="s">
        <v>4735</v>
      </c>
      <c r="C1143" s="737" t="s">
        <v>4736</v>
      </c>
      <c r="D1143" s="738">
        <v>3734.0796</v>
      </c>
      <c r="E1143" s="738">
        <v>1869.3071</v>
      </c>
      <c r="F1143" s="738">
        <v>34464.751300000004</v>
      </c>
      <c r="G1143" s="738">
        <v>306.55245831338061</v>
      </c>
    </row>
    <row r="1144" spans="2:7" x14ac:dyDescent="0.25">
      <c r="B1144" s="737" t="s">
        <v>4737</v>
      </c>
      <c r="C1144" s="737" t="s">
        <v>4738</v>
      </c>
      <c r="D1144" s="738">
        <v>3883.5019000000002</v>
      </c>
      <c r="E1144" s="738">
        <v>1841.4756</v>
      </c>
      <c r="F1144" s="738">
        <v>37316.445500000002</v>
      </c>
      <c r="G1144" s="738">
        <v>306.55245831338061</v>
      </c>
    </row>
    <row r="1145" spans="2:7" x14ac:dyDescent="0.25">
      <c r="B1145" s="737" t="s">
        <v>4739</v>
      </c>
      <c r="C1145" s="737" t="s">
        <v>4740</v>
      </c>
      <c r="D1145" s="738">
        <v>3391.3020999999999</v>
      </c>
      <c r="E1145" s="738">
        <v>1892.1513</v>
      </c>
      <c r="F1145" s="738">
        <v>28149.173599999998</v>
      </c>
      <c r="G1145" s="738">
        <v>306.55245831338061</v>
      </c>
    </row>
    <row r="1146" spans="2:7" x14ac:dyDescent="0.25">
      <c r="B1146" s="737" t="s">
        <v>4741</v>
      </c>
      <c r="C1146" s="737" t="s">
        <v>4742</v>
      </c>
      <c r="D1146" s="738">
        <v>3858.7831000000001</v>
      </c>
      <c r="E1146" s="738">
        <v>1804.4333999999999</v>
      </c>
      <c r="F1146" s="738">
        <v>37067.021099999998</v>
      </c>
      <c r="G1146" s="738">
        <v>306.55245831338061</v>
      </c>
    </row>
    <row r="1147" spans="2:7" x14ac:dyDescent="0.25">
      <c r="B1147" s="737" t="s">
        <v>4743</v>
      </c>
      <c r="C1147" s="737" t="s">
        <v>4744</v>
      </c>
      <c r="D1147" s="738">
        <v>3349.0329999999999</v>
      </c>
      <c r="E1147" s="738">
        <v>1912.4690000000001</v>
      </c>
      <c r="F1147" s="738">
        <v>27273.612499999999</v>
      </c>
      <c r="G1147" s="738">
        <v>306.55245831338061</v>
      </c>
    </row>
    <row r="1148" spans="2:7" x14ac:dyDescent="0.25">
      <c r="B1148" s="737" t="s">
        <v>4745</v>
      </c>
      <c r="C1148" s="737" t="s">
        <v>4746</v>
      </c>
      <c r="D1148" s="738">
        <v>3320.0675999999999</v>
      </c>
      <c r="E1148" s="738">
        <v>1933.3671999999999</v>
      </c>
      <c r="F1148" s="738">
        <v>26628.093400000002</v>
      </c>
      <c r="G1148" s="738">
        <v>306.55245831338061</v>
      </c>
    </row>
    <row r="1149" spans="2:7" x14ac:dyDescent="0.25">
      <c r="B1149" s="737" t="s">
        <v>4747</v>
      </c>
      <c r="C1149" s="737" t="s">
        <v>4748</v>
      </c>
      <c r="D1149" s="738">
        <v>3287.2253999999998</v>
      </c>
      <c r="E1149" s="738">
        <v>1925.9254000000001</v>
      </c>
      <c r="F1149" s="738">
        <v>26078.981100000001</v>
      </c>
      <c r="G1149" s="738">
        <v>306.55245831338061</v>
      </c>
    </row>
    <row r="1150" spans="2:7" x14ac:dyDescent="0.25">
      <c r="B1150" s="737" t="s">
        <v>4749</v>
      </c>
      <c r="C1150" s="737" t="s">
        <v>4750</v>
      </c>
      <c r="D1150" s="738">
        <v>3305.7125000000001</v>
      </c>
      <c r="E1150" s="738">
        <v>1962.8015</v>
      </c>
      <c r="F1150" s="738">
        <v>26209.267500000002</v>
      </c>
      <c r="G1150" s="738">
        <v>306.55245831338061</v>
      </c>
    </row>
    <row r="1151" spans="2:7" x14ac:dyDescent="0.25">
      <c r="B1151" s="737" t="s">
        <v>4751</v>
      </c>
      <c r="C1151" s="737" t="s">
        <v>4752</v>
      </c>
      <c r="D1151" s="738">
        <v>3550.5248000000001</v>
      </c>
      <c r="E1151" s="738">
        <v>1893.2005999999999</v>
      </c>
      <c r="F1151" s="738">
        <v>30959.423500000001</v>
      </c>
      <c r="G1151" s="738">
        <v>306.55245831338061</v>
      </c>
    </row>
    <row r="1152" spans="2:7" x14ac:dyDescent="0.25">
      <c r="B1152" s="737" t="s">
        <v>4753</v>
      </c>
      <c r="C1152" s="737" t="s">
        <v>4754</v>
      </c>
      <c r="D1152" s="738">
        <v>3404.8903</v>
      </c>
      <c r="E1152" s="738">
        <v>2020.1811</v>
      </c>
      <c r="F1152" s="738">
        <v>27685.929499999998</v>
      </c>
      <c r="G1152" s="738">
        <v>306.55245831338061</v>
      </c>
    </row>
    <row r="1153" spans="2:7" x14ac:dyDescent="0.25">
      <c r="B1153" s="737" t="s">
        <v>4755</v>
      </c>
      <c r="C1153" s="737" t="s">
        <v>4756</v>
      </c>
      <c r="D1153" s="738">
        <v>3186.4969000000001</v>
      </c>
      <c r="E1153" s="738">
        <v>1992.4621</v>
      </c>
      <c r="F1153" s="738">
        <v>23886.457299999998</v>
      </c>
      <c r="G1153" s="738">
        <v>306.55245831338061</v>
      </c>
    </row>
    <row r="1154" spans="2:7" x14ac:dyDescent="0.25">
      <c r="B1154" s="737" t="s">
        <v>4757</v>
      </c>
      <c r="C1154" s="737" t="s">
        <v>4758</v>
      </c>
      <c r="D1154" s="738">
        <v>3181.6410000000001</v>
      </c>
      <c r="E1154" s="738">
        <v>1940.5225</v>
      </c>
      <c r="F1154" s="738">
        <v>24097.777999999998</v>
      </c>
      <c r="G1154" s="738">
        <v>306.55245831338061</v>
      </c>
    </row>
    <row r="1155" spans="2:7" x14ac:dyDescent="0.25">
      <c r="B1155" s="737" t="s">
        <v>4759</v>
      </c>
      <c r="C1155" s="737" t="s">
        <v>4760</v>
      </c>
      <c r="D1155" s="738">
        <v>3528.7103999999999</v>
      </c>
      <c r="E1155" s="738">
        <v>1885.0038</v>
      </c>
      <c r="F1155" s="738">
        <v>30671.061699999998</v>
      </c>
      <c r="G1155" s="738">
        <v>306.55245831338061</v>
      </c>
    </row>
    <row r="1156" spans="2:7" x14ac:dyDescent="0.25">
      <c r="B1156" s="737" t="s">
        <v>4761</v>
      </c>
      <c r="C1156" s="737" t="s">
        <v>4762</v>
      </c>
      <c r="D1156" s="738">
        <v>3671.1302999999998</v>
      </c>
      <c r="E1156" s="738">
        <v>1925.9135000000001</v>
      </c>
      <c r="F1156" s="738">
        <v>33013.035400000001</v>
      </c>
      <c r="G1156" s="738">
        <v>306.55245831338061</v>
      </c>
    </row>
    <row r="1157" spans="2:7" x14ac:dyDescent="0.25">
      <c r="B1157" s="737" t="s">
        <v>4763</v>
      </c>
      <c r="C1157" s="737" t="s">
        <v>4764</v>
      </c>
      <c r="D1157" s="738">
        <v>3421.8125</v>
      </c>
      <c r="E1157" s="738">
        <v>1914.0319</v>
      </c>
      <c r="F1157" s="738">
        <v>28574.646700000001</v>
      </c>
      <c r="G1157" s="738">
        <v>306.55245831338061</v>
      </c>
    </row>
    <row r="1158" spans="2:7" x14ac:dyDescent="0.25">
      <c r="B1158" s="737" t="s">
        <v>4765</v>
      </c>
      <c r="C1158" s="737" t="s">
        <v>4766</v>
      </c>
      <c r="D1158" s="738">
        <v>3500.8807000000002</v>
      </c>
      <c r="E1158" s="738">
        <v>1923.1269</v>
      </c>
      <c r="F1158" s="738">
        <v>29945.663799999998</v>
      </c>
      <c r="G1158" s="738">
        <v>306.55245831338061</v>
      </c>
    </row>
    <row r="1159" spans="2:7" x14ac:dyDescent="0.25">
      <c r="B1159" s="737" t="s">
        <v>4767</v>
      </c>
      <c r="C1159" s="737" t="s">
        <v>4768</v>
      </c>
      <c r="D1159" s="738">
        <v>3209.3751999999999</v>
      </c>
      <c r="E1159" s="738">
        <v>1831.6025</v>
      </c>
      <c r="F1159" s="738">
        <v>25208.760600000001</v>
      </c>
      <c r="G1159" s="738">
        <v>306.55245831338061</v>
      </c>
    </row>
    <row r="1160" spans="2:7" x14ac:dyDescent="0.25">
      <c r="B1160" s="737" t="s">
        <v>4769</v>
      </c>
      <c r="C1160" s="737" t="s">
        <v>4770</v>
      </c>
      <c r="D1160" s="738">
        <v>3071.1062999999999</v>
      </c>
      <c r="E1160" s="738">
        <v>1915.7588000000001</v>
      </c>
      <c r="F1160" s="738">
        <v>22249.0026</v>
      </c>
      <c r="G1160" s="738">
        <v>306.55245831338061</v>
      </c>
    </row>
    <row r="1161" spans="2:7" x14ac:dyDescent="0.25">
      <c r="B1161" s="737" t="s">
        <v>4771</v>
      </c>
      <c r="C1161" s="737" t="s">
        <v>4772</v>
      </c>
      <c r="D1161" s="738">
        <v>3152.0466999999999</v>
      </c>
      <c r="E1161" s="738">
        <v>1901.3557000000001</v>
      </c>
      <c r="F1161" s="738">
        <v>23785.708200000001</v>
      </c>
      <c r="G1161" s="738">
        <v>306.55245831338061</v>
      </c>
    </row>
    <row r="1162" spans="2:7" x14ac:dyDescent="0.25">
      <c r="B1162" s="737" t="s">
        <v>4773</v>
      </c>
      <c r="C1162" s="737" t="s">
        <v>4774</v>
      </c>
      <c r="D1162" s="738">
        <v>3094.1206000000002</v>
      </c>
      <c r="E1162" s="738">
        <v>1909.9341999999999</v>
      </c>
      <c r="F1162" s="738">
        <v>22696.831099999999</v>
      </c>
      <c r="G1162" s="738">
        <v>306.55245831338061</v>
      </c>
    </row>
    <row r="1163" spans="2:7" x14ac:dyDescent="0.25">
      <c r="B1163" s="737" t="s">
        <v>4775</v>
      </c>
      <c r="C1163" s="737" t="s">
        <v>4776</v>
      </c>
      <c r="D1163" s="738">
        <v>3100.1594</v>
      </c>
      <c r="E1163" s="738">
        <v>1919.0966000000001</v>
      </c>
      <c r="F1163" s="738">
        <v>22718.1705</v>
      </c>
      <c r="G1163" s="738">
        <v>306.55245831338061</v>
      </c>
    </row>
    <row r="1164" spans="2:7" x14ac:dyDescent="0.25">
      <c r="B1164" s="737" t="s">
        <v>4777</v>
      </c>
      <c r="C1164" s="737" t="s">
        <v>4778</v>
      </c>
      <c r="D1164" s="738">
        <v>3277.442</v>
      </c>
      <c r="E1164" s="738">
        <v>1903.9093</v>
      </c>
      <c r="F1164" s="738">
        <v>26033.8694</v>
      </c>
      <c r="G1164" s="738">
        <v>306.55245831338061</v>
      </c>
    </row>
    <row r="1165" spans="2:7" x14ac:dyDescent="0.25">
      <c r="B1165" s="737" t="s">
        <v>4779</v>
      </c>
      <c r="C1165" s="737" t="s">
        <v>4780</v>
      </c>
      <c r="D1165" s="738">
        <v>3207.8791999999999</v>
      </c>
      <c r="E1165" s="738">
        <v>1865.3824999999999</v>
      </c>
      <c r="F1165" s="738">
        <v>24957.604200000002</v>
      </c>
      <c r="G1165" s="738">
        <v>306.55245831338061</v>
      </c>
    </row>
    <row r="1166" spans="2:7" x14ac:dyDescent="0.25">
      <c r="B1166" s="737" t="s">
        <v>4781</v>
      </c>
      <c r="C1166" s="737" t="s">
        <v>4782</v>
      </c>
      <c r="D1166" s="738">
        <v>3065.4185000000002</v>
      </c>
      <c r="E1166" s="738">
        <v>1869.0938000000001</v>
      </c>
      <c r="F1166" s="738">
        <v>22407.018400000001</v>
      </c>
      <c r="G1166" s="738">
        <v>306.55245831338061</v>
      </c>
    </row>
    <row r="1167" spans="2:7" x14ac:dyDescent="0.25">
      <c r="B1167" s="737" t="s">
        <v>4783</v>
      </c>
      <c r="C1167" s="737" t="s">
        <v>4784</v>
      </c>
      <c r="D1167" s="738">
        <v>3031.8173000000002</v>
      </c>
      <c r="E1167" s="738">
        <v>1924.1215</v>
      </c>
      <c r="F1167" s="738">
        <v>21491.0101</v>
      </c>
      <c r="G1167" s="738">
        <v>306.55245831338061</v>
      </c>
    </row>
    <row r="1168" spans="2:7" x14ac:dyDescent="0.25">
      <c r="B1168" s="737" t="s">
        <v>4785</v>
      </c>
      <c r="C1168" s="737" t="s">
        <v>4786</v>
      </c>
      <c r="D1168" s="738">
        <v>3003.1448</v>
      </c>
      <c r="E1168" s="738">
        <v>1900.8593000000001</v>
      </c>
      <c r="F1168" s="738">
        <v>21104.285500000002</v>
      </c>
      <c r="G1168" s="738">
        <v>306.55245831338061</v>
      </c>
    </row>
    <row r="1169" spans="2:7" x14ac:dyDescent="0.25">
      <c r="B1169" s="737" t="s">
        <v>4787</v>
      </c>
      <c r="C1169" s="737" t="s">
        <v>4788</v>
      </c>
      <c r="D1169" s="738">
        <v>3116.9389999999999</v>
      </c>
      <c r="E1169" s="738">
        <v>1884.7773999999999</v>
      </c>
      <c r="F1169" s="738">
        <v>23246.4355</v>
      </c>
      <c r="G1169" s="738">
        <v>306.55245831338061</v>
      </c>
    </row>
    <row r="1170" spans="2:7" x14ac:dyDescent="0.25">
      <c r="B1170" s="737" t="s">
        <v>4789</v>
      </c>
      <c r="C1170" s="737" t="s">
        <v>4790</v>
      </c>
      <c r="D1170" s="738">
        <v>3062.1185</v>
      </c>
      <c r="E1170" s="738">
        <v>1880.5844</v>
      </c>
      <c r="F1170" s="738">
        <v>22282.2899</v>
      </c>
      <c r="G1170" s="738">
        <v>306.55245831338061</v>
      </c>
    </row>
    <row r="1171" spans="2:7" x14ac:dyDescent="0.25">
      <c r="B1171" s="737" t="s">
        <v>4791</v>
      </c>
      <c r="C1171" s="737" t="s">
        <v>4792</v>
      </c>
      <c r="D1171" s="738">
        <v>3144.3301999999999</v>
      </c>
      <c r="E1171" s="738">
        <v>1857.3991000000001</v>
      </c>
      <c r="F1171" s="738">
        <v>23894.849399999999</v>
      </c>
      <c r="G1171" s="738">
        <v>306.55245831338061</v>
      </c>
    </row>
    <row r="1172" spans="2:7" x14ac:dyDescent="0.25">
      <c r="B1172" s="737" t="s">
        <v>4793</v>
      </c>
      <c r="C1172" s="737" t="s">
        <v>4794</v>
      </c>
      <c r="D1172" s="738">
        <v>3246.5794999999998</v>
      </c>
      <c r="E1172" s="738">
        <v>1908.8154</v>
      </c>
      <c r="F1172" s="738">
        <v>25447.143899999999</v>
      </c>
      <c r="G1172" s="738">
        <v>306.55245831338061</v>
      </c>
    </row>
    <row r="1173" spans="2:7" x14ac:dyDescent="0.25">
      <c r="B1173" s="737" t="s">
        <v>4795</v>
      </c>
      <c r="C1173" s="737" t="s">
        <v>4796</v>
      </c>
      <c r="D1173" s="738">
        <v>3252.3425999999999</v>
      </c>
      <c r="E1173" s="738">
        <v>1876.7588000000001</v>
      </c>
      <c r="F1173" s="738">
        <v>25736.609400000001</v>
      </c>
      <c r="G1173" s="738">
        <v>306.55245831338061</v>
      </c>
    </row>
    <row r="1174" spans="2:7" x14ac:dyDescent="0.25">
      <c r="B1174" s="737" t="s">
        <v>4797</v>
      </c>
      <c r="C1174" s="737" t="s">
        <v>4798</v>
      </c>
      <c r="D1174" s="738">
        <v>3222.9567999999999</v>
      </c>
      <c r="E1174" s="738">
        <v>1883.5563999999999</v>
      </c>
      <c r="F1174" s="738">
        <v>25162.1983</v>
      </c>
      <c r="G1174" s="738">
        <v>306.55245831338061</v>
      </c>
    </row>
    <row r="1175" spans="2:7" x14ac:dyDescent="0.25">
      <c r="B1175" s="737" t="s">
        <v>4799</v>
      </c>
      <c r="C1175" s="737" t="s">
        <v>4800</v>
      </c>
      <c r="D1175" s="738">
        <v>3760.2044999999998</v>
      </c>
      <c r="E1175" s="738">
        <v>1954.559</v>
      </c>
      <c r="F1175" s="738">
        <v>34478.642899999999</v>
      </c>
      <c r="G1175" s="738">
        <v>306.55245831338061</v>
      </c>
    </row>
    <row r="1176" spans="2:7" x14ac:dyDescent="0.25">
      <c r="B1176" s="737" t="s">
        <v>4801</v>
      </c>
      <c r="C1176" s="737" t="s">
        <v>4802</v>
      </c>
      <c r="D1176" s="738">
        <v>3279.9803000000002</v>
      </c>
      <c r="E1176" s="738">
        <v>2114.0025000000001</v>
      </c>
      <c r="F1176" s="738">
        <v>32182.945199999998</v>
      </c>
      <c r="G1176" s="738">
        <v>121.0727592381094</v>
      </c>
    </row>
    <row r="1177" spans="2:7" x14ac:dyDescent="0.25">
      <c r="B1177" s="737" t="s">
        <v>4803</v>
      </c>
      <c r="C1177" s="737" t="s">
        <v>4804</v>
      </c>
      <c r="D1177" s="738">
        <v>3594.6824999999999</v>
      </c>
      <c r="E1177" s="738">
        <v>2139.3211000000001</v>
      </c>
      <c r="F1177" s="738">
        <v>32645.127799999998</v>
      </c>
      <c r="G1177" s="738">
        <v>251.58092376863095</v>
      </c>
    </row>
    <row r="1178" spans="2:7" x14ac:dyDescent="0.25">
      <c r="B1178" s="737" t="s">
        <v>4805</v>
      </c>
      <c r="C1178" s="737" t="s">
        <v>4806</v>
      </c>
      <c r="D1178" s="738">
        <v>3434.6410000000001</v>
      </c>
      <c r="E1178" s="738">
        <v>2193.2673</v>
      </c>
      <c r="F1178" s="738">
        <v>29502.343099999998</v>
      </c>
      <c r="G1178" s="738">
        <v>251.58092376863095</v>
      </c>
    </row>
    <row r="1179" spans="2:7" x14ac:dyDescent="0.25">
      <c r="B1179" s="737" t="s">
        <v>4807</v>
      </c>
      <c r="C1179" s="737" t="s">
        <v>4808</v>
      </c>
      <c r="D1179" s="738">
        <v>4289.7539999999999</v>
      </c>
      <c r="E1179" s="738">
        <v>2349.7725</v>
      </c>
      <c r="F1179" s="738">
        <v>30820.7058</v>
      </c>
      <c r="G1179" s="738">
        <v>559.86250076040449</v>
      </c>
    </row>
    <row r="1180" spans="2:7" x14ac:dyDescent="0.25">
      <c r="B1180" s="737" t="s">
        <v>4809</v>
      </c>
      <c r="C1180" s="737" t="s">
        <v>4810</v>
      </c>
      <c r="D1180" s="738">
        <v>3378.2440000000001</v>
      </c>
      <c r="E1180" s="738">
        <v>2481.7948000000001</v>
      </c>
      <c r="F1180" s="738">
        <v>25641.5177</v>
      </c>
      <c r="G1180" s="738">
        <v>285.05644083710104</v>
      </c>
    </row>
    <row r="1181" spans="2:7" x14ac:dyDescent="0.25">
      <c r="B1181" s="737" t="s">
        <v>4811</v>
      </c>
      <c r="C1181" s="737" t="s">
        <v>4812</v>
      </c>
      <c r="D1181" s="738">
        <v>4065.2671</v>
      </c>
      <c r="E1181" s="738">
        <v>2421.0097000000001</v>
      </c>
      <c r="F1181" s="738">
        <v>25678.9002</v>
      </c>
      <c r="G1181" s="738">
        <v>568.95265014299628</v>
      </c>
    </row>
    <row r="1182" spans="2:7" x14ac:dyDescent="0.25">
      <c r="B1182" s="737" t="s">
        <v>4813</v>
      </c>
      <c r="C1182" s="737" t="s">
        <v>4814</v>
      </c>
      <c r="D1182" s="738">
        <v>4082.0209</v>
      </c>
      <c r="E1182" s="738">
        <v>2327.8445000000002</v>
      </c>
      <c r="F1182" s="738">
        <v>26927.2559</v>
      </c>
      <c r="G1182" s="738">
        <v>568.95265014299628</v>
      </c>
    </row>
    <row r="1183" spans="2:7" x14ac:dyDescent="0.25">
      <c r="B1183" s="737" t="s">
        <v>4815</v>
      </c>
      <c r="C1183" s="737" t="s">
        <v>4816</v>
      </c>
      <c r="D1183" s="738">
        <v>3385.9801000000002</v>
      </c>
      <c r="E1183" s="738">
        <v>2212.1206000000002</v>
      </c>
      <c r="F1183" s="738">
        <v>28524.465800000002</v>
      </c>
      <c r="G1183" s="738">
        <v>251.58092376863095</v>
      </c>
    </row>
    <row r="1184" spans="2:7" x14ac:dyDescent="0.25">
      <c r="B1184" s="737" t="s">
        <v>4817</v>
      </c>
      <c r="C1184" s="737" t="s">
        <v>4818</v>
      </c>
      <c r="D1184" s="738">
        <v>3455.1943999999999</v>
      </c>
      <c r="E1184" s="738">
        <v>2232.8998000000001</v>
      </c>
      <c r="F1184" s="738">
        <v>29697.0422</v>
      </c>
      <c r="G1184" s="738">
        <v>251.58092376863095</v>
      </c>
    </row>
    <row r="1185" spans="2:7" x14ac:dyDescent="0.25">
      <c r="B1185" s="737" t="s">
        <v>4819</v>
      </c>
      <c r="C1185" s="737" t="s">
        <v>4820</v>
      </c>
      <c r="D1185" s="738">
        <v>3498.5704000000001</v>
      </c>
      <c r="E1185" s="738">
        <v>2236.7357999999999</v>
      </c>
      <c r="F1185" s="738">
        <v>30468.427800000001</v>
      </c>
      <c r="G1185" s="738">
        <v>251.58092376863095</v>
      </c>
    </row>
    <row r="1186" spans="2:7" x14ac:dyDescent="0.25">
      <c r="B1186" s="737" t="s">
        <v>4821</v>
      </c>
      <c r="C1186" s="737" t="s">
        <v>4822</v>
      </c>
      <c r="D1186" s="738">
        <v>2678.8377999999998</v>
      </c>
      <c r="E1186" s="738">
        <v>2053.1817000000001</v>
      </c>
      <c r="F1186" s="738">
        <v>17027.166799999999</v>
      </c>
      <c r="G1186" s="738">
        <v>237.61611909057012</v>
      </c>
    </row>
    <row r="1187" spans="2:7" x14ac:dyDescent="0.25">
      <c r="B1187" s="737" t="s">
        <v>4823</v>
      </c>
      <c r="C1187" s="737" t="s">
        <v>4824</v>
      </c>
      <c r="D1187" s="738">
        <v>2716.5093000000002</v>
      </c>
      <c r="E1187" s="738">
        <v>2085.8303000000001</v>
      </c>
      <c r="F1187" s="738">
        <v>17562.899000000001</v>
      </c>
      <c r="G1187" s="738">
        <v>237.61611909057012</v>
      </c>
    </row>
    <row r="1188" spans="2:7" x14ac:dyDescent="0.25">
      <c r="B1188" s="737" t="s">
        <v>4825</v>
      </c>
      <c r="C1188" s="737" t="s">
        <v>4826</v>
      </c>
      <c r="D1188" s="738">
        <v>4116.7674999999999</v>
      </c>
      <c r="E1188" s="738">
        <v>2312.4528</v>
      </c>
      <c r="F1188" s="738">
        <v>28111.9287</v>
      </c>
      <c r="G1188" s="738">
        <v>559.86250076040449</v>
      </c>
    </row>
    <row r="1189" spans="2:7" x14ac:dyDescent="0.25">
      <c r="B1189" s="737" t="s">
        <v>4827</v>
      </c>
      <c r="C1189" s="737" t="s">
        <v>4828</v>
      </c>
      <c r="D1189" s="738">
        <v>3540.4904000000001</v>
      </c>
      <c r="E1189" s="738">
        <v>2519.8152</v>
      </c>
      <c r="F1189" s="738">
        <v>25664.2906</v>
      </c>
      <c r="G1189" s="738">
        <v>343.33840427704536</v>
      </c>
    </row>
    <row r="1190" spans="2:7" x14ac:dyDescent="0.25">
      <c r="B1190" s="737" t="s">
        <v>4829</v>
      </c>
      <c r="C1190" s="737" t="s">
        <v>4830</v>
      </c>
      <c r="D1190" s="738">
        <v>3420.5536000000002</v>
      </c>
      <c r="E1190" s="738">
        <v>2455.1251999999999</v>
      </c>
      <c r="F1190" s="738">
        <v>23857.0651</v>
      </c>
      <c r="G1190" s="738">
        <v>343.33840427704536</v>
      </c>
    </row>
    <row r="1191" spans="2:7" x14ac:dyDescent="0.25">
      <c r="B1191" s="737" t="s">
        <v>4831</v>
      </c>
      <c r="C1191" s="737" t="s">
        <v>4832</v>
      </c>
      <c r="D1191" s="738">
        <v>3574.7002000000002</v>
      </c>
      <c r="E1191" s="738">
        <v>2753.5761000000002</v>
      </c>
      <c r="F1191" s="738">
        <v>24163.483899999999</v>
      </c>
      <c r="G1191" s="738">
        <v>356.46862005190007</v>
      </c>
    </row>
    <row r="1192" spans="2:7" x14ac:dyDescent="0.25">
      <c r="B1192" s="737" t="s">
        <v>4833</v>
      </c>
      <c r="C1192" s="737" t="s">
        <v>4834</v>
      </c>
      <c r="D1192" s="738">
        <v>4129.2509</v>
      </c>
      <c r="E1192" s="738">
        <v>2551.3054999999999</v>
      </c>
      <c r="F1192" s="738">
        <v>25821.523700000002</v>
      </c>
      <c r="G1192" s="738">
        <v>559.86250076040449</v>
      </c>
    </row>
    <row r="1193" spans="2:7" x14ac:dyDescent="0.25">
      <c r="B1193" s="737" t="s">
        <v>4835</v>
      </c>
      <c r="C1193" s="737" t="s">
        <v>4836</v>
      </c>
      <c r="D1193" s="738">
        <v>3112.5023999999999</v>
      </c>
      <c r="E1193" s="738">
        <v>2601.6441</v>
      </c>
      <c r="F1193" s="738">
        <v>22480.891899999999</v>
      </c>
      <c r="G1193" s="738">
        <v>237.61611909057012</v>
      </c>
    </row>
    <row r="1194" spans="2:7" x14ac:dyDescent="0.25">
      <c r="B1194" s="737" t="s">
        <v>4837</v>
      </c>
      <c r="C1194" s="737" t="s">
        <v>4838</v>
      </c>
      <c r="D1194" s="738">
        <v>4074.4470999999999</v>
      </c>
      <c r="E1194" s="738">
        <v>2858.6307000000002</v>
      </c>
      <c r="F1194" s="738">
        <v>25215.2464</v>
      </c>
      <c r="G1194" s="738">
        <v>495.05453300292947</v>
      </c>
    </row>
    <row r="1195" spans="2:7" x14ac:dyDescent="0.25">
      <c r="B1195" s="737" t="s">
        <v>4839</v>
      </c>
      <c r="C1195" s="737" t="s">
        <v>4840</v>
      </c>
      <c r="D1195" s="738">
        <v>4015.6255000000001</v>
      </c>
      <c r="E1195" s="738">
        <v>2813.9081999999999</v>
      </c>
      <c r="F1195" s="738">
        <v>24559.144100000001</v>
      </c>
      <c r="G1195" s="738">
        <v>495.05453300292947</v>
      </c>
    </row>
    <row r="1196" spans="2:7" x14ac:dyDescent="0.25">
      <c r="B1196" s="737" t="s">
        <v>4841</v>
      </c>
      <c r="C1196" s="737" t="s">
        <v>4842</v>
      </c>
      <c r="D1196" s="738">
        <v>3527.2089999999998</v>
      </c>
      <c r="E1196" s="738">
        <v>2950.5810000000001</v>
      </c>
      <c r="F1196" s="738">
        <v>22034.786800000002</v>
      </c>
      <c r="G1196" s="738">
        <v>356.46862005190007</v>
      </c>
    </row>
    <row r="1197" spans="2:7" x14ac:dyDescent="0.25">
      <c r="B1197" s="737" t="s">
        <v>4843</v>
      </c>
      <c r="C1197" s="737" t="s">
        <v>4844</v>
      </c>
      <c r="D1197" s="738">
        <v>3462.1594</v>
      </c>
      <c r="E1197" s="738">
        <v>3070.6734000000001</v>
      </c>
      <c r="F1197" s="738">
        <v>20079.801899999999</v>
      </c>
      <c r="G1197" s="738">
        <v>356.46862005190007</v>
      </c>
    </row>
    <row r="1198" spans="2:7" x14ac:dyDescent="0.25">
      <c r="B1198" s="737" t="s">
        <v>4845</v>
      </c>
      <c r="C1198" s="737" t="s">
        <v>4846</v>
      </c>
      <c r="D1198" s="738">
        <v>2725.8676999999998</v>
      </c>
      <c r="E1198" s="738">
        <v>2242.5699</v>
      </c>
      <c r="F1198" s="738">
        <v>17054.800899999998</v>
      </c>
      <c r="G1198" s="738">
        <v>237.61611909057012</v>
      </c>
    </row>
    <row r="1199" spans="2:7" x14ac:dyDescent="0.25">
      <c r="B1199" s="737" t="s">
        <v>4847</v>
      </c>
      <c r="C1199" s="737" t="s">
        <v>4848</v>
      </c>
      <c r="D1199" s="738">
        <v>3387.3588</v>
      </c>
      <c r="E1199" s="738">
        <v>2861.3164999999999</v>
      </c>
      <c r="F1199" s="738">
        <v>13030.489100000001</v>
      </c>
      <c r="G1199" s="738">
        <v>489.61063262108257</v>
      </c>
    </row>
    <row r="1200" spans="2:7" x14ac:dyDescent="0.25">
      <c r="B1200" s="737" t="s">
        <v>4849</v>
      </c>
      <c r="C1200" s="737" t="s">
        <v>4850</v>
      </c>
      <c r="D1200" s="738">
        <v>2663.4013</v>
      </c>
      <c r="E1200" s="738">
        <v>2835.3663000000001</v>
      </c>
      <c r="F1200" s="738">
        <v>13365.2804</v>
      </c>
      <c r="G1200" s="738">
        <v>489.61063262108257</v>
      </c>
    </row>
    <row r="1201" spans="2:7" x14ac:dyDescent="0.25">
      <c r="B1201" s="737" t="s">
        <v>4851</v>
      </c>
      <c r="C1201" s="737" t="s">
        <v>4852</v>
      </c>
      <c r="D1201" s="738">
        <v>3584.7597999999998</v>
      </c>
      <c r="E1201" s="738">
        <v>3075.9859000000001</v>
      </c>
      <c r="F1201" s="738">
        <v>14689.7847</v>
      </c>
      <c r="G1201" s="738">
        <v>237.61611909057012</v>
      </c>
    </row>
    <row r="1202" spans="2:7" x14ac:dyDescent="0.25">
      <c r="B1202" s="737" t="s">
        <v>4853</v>
      </c>
      <c r="C1202" s="737" t="s">
        <v>4854</v>
      </c>
      <c r="D1202" s="738">
        <v>3679.8566999999998</v>
      </c>
      <c r="E1202" s="738">
        <v>2334.0082000000002</v>
      </c>
      <c r="F1202" s="738">
        <v>22988.275900000001</v>
      </c>
      <c r="G1202" s="738">
        <v>489.61063262108257</v>
      </c>
    </row>
    <row r="1203" spans="2:7" x14ac:dyDescent="0.25">
      <c r="B1203" s="737" t="s">
        <v>4855</v>
      </c>
      <c r="C1203" s="737" t="s">
        <v>4856</v>
      </c>
      <c r="D1203" s="738">
        <v>4203.5925999999999</v>
      </c>
      <c r="E1203" s="738">
        <v>3442.0454</v>
      </c>
      <c r="F1203" s="738">
        <v>18251.989600000001</v>
      </c>
      <c r="G1203" s="738">
        <v>559.25496480859351</v>
      </c>
    </row>
    <row r="1204" spans="2:7" x14ac:dyDescent="0.25">
      <c r="B1204" s="737" t="s">
        <v>4857</v>
      </c>
      <c r="C1204" s="737" t="s">
        <v>4858</v>
      </c>
      <c r="D1204" s="738">
        <v>4150.8004000000001</v>
      </c>
      <c r="E1204" s="738">
        <v>3801.0245</v>
      </c>
      <c r="F1204" s="738">
        <v>18305.488399999998</v>
      </c>
      <c r="G1204" s="738">
        <v>492.83421322927796</v>
      </c>
    </row>
    <row r="1205" spans="2:7" x14ac:dyDescent="0.25">
      <c r="B1205" s="737" t="s">
        <v>4859</v>
      </c>
      <c r="C1205" s="737" t="s">
        <v>4860</v>
      </c>
      <c r="D1205" s="738">
        <v>4145.2434000000003</v>
      </c>
      <c r="E1205" s="738">
        <v>3707.2784999999999</v>
      </c>
      <c r="F1205" s="738">
        <v>19041.391100000001</v>
      </c>
      <c r="G1205" s="738">
        <v>492.83421322927796</v>
      </c>
    </row>
    <row r="1206" spans="2:7" x14ac:dyDescent="0.25">
      <c r="B1206" s="737" t="s">
        <v>4861</v>
      </c>
      <c r="C1206" s="737" t="s">
        <v>4862</v>
      </c>
      <c r="D1206" s="738">
        <v>4072.4301</v>
      </c>
      <c r="E1206" s="738">
        <v>3554.1419000000001</v>
      </c>
      <c r="F1206" s="738">
        <v>19096.364099999999</v>
      </c>
      <c r="G1206" s="738">
        <v>492.83421322927796</v>
      </c>
    </row>
    <row r="1207" spans="2:7" x14ac:dyDescent="0.25">
      <c r="B1207" s="737" t="s">
        <v>4863</v>
      </c>
      <c r="C1207" s="737" t="s">
        <v>4864</v>
      </c>
      <c r="D1207" s="738">
        <v>4145.8900000000003</v>
      </c>
      <c r="E1207" s="738">
        <v>3677.7903000000001</v>
      </c>
      <c r="F1207" s="738">
        <v>19314.608100000001</v>
      </c>
      <c r="G1207" s="738">
        <v>492.83421322927796</v>
      </c>
    </row>
    <row r="1208" spans="2:7" x14ac:dyDescent="0.25">
      <c r="B1208" s="737" t="s">
        <v>4865</v>
      </c>
      <c r="C1208" s="737" t="s">
        <v>4866</v>
      </c>
      <c r="D1208" s="738">
        <v>4051.6215999999999</v>
      </c>
      <c r="E1208" s="738">
        <v>3400.9</v>
      </c>
      <c r="F1208" s="738">
        <v>20084.5766</v>
      </c>
      <c r="G1208" s="738">
        <v>492.83421322927796</v>
      </c>
    </row>
    <row r="1209" spans="2:7" x14ac:dyDescent="0.25">
      <c r="B1209" s="737" t="s">
        <v>4867</v>
      </c>
      <c r="C1209" s="737" t="s">
        <v>4868</v>
      </c>
      <c r="D1209" s="738">
        <v>3945.5650000000001</v>
      </c>
      <c r="E1209" s="738">
        <v>3266.0738999999999</v>
      </c>
      <c r="F1209" s="738">
        <v>19369.675899999998</v>
      </c>
      <c r="G1209" s="738">
        <v>492.83421322927796</v>
      </c>
    </row>
    <row r="1210" spans="2:7" x14ac:dyDescent="0.25">
      <c r="B1210" s="737" t="s">
        <v>4869</v>
      </c>
      <c r="C1210" s="737" t="s">
        <v>4870</v>
      </c>
      <c r="D1210" s="738">
        <v>4002.3413999999998</v>
      </c>
      <c r="E1210" s="738">
        <v>4048.0659999999998</v>
      </c>
      <c r="F1210" s="738">
        <v>16860.089100000001</v>
      </c>
      <c r="G1210" s="738">
        <v>446.42209074422249</v>
      </c>
    </row>
    <row r="1211" spans="2:7" x14ac:dyDescent="0.25">
      <c r="B1211" s="737" t="s">
        <v>4871</v>
      </c>
      <c r="C1211" s="737" t="s">
        <v>4872</v>
      </c>
      <c r="D1211" s="738">
        <v>3498.3577</v>
      </c>
      <c r="E1211" s="738">
        <v>2903.4508999999998</v>
      </c>
      <c r="F1211" s="738">
        <v>21817.7451</v>
      </c>
      <c r="G1211" s="738">
        <v>356.46862005190007</v>
      </c>
    </row>
    <row r="1212" spans="2:7" x14ac:dyDescent="0.25">
      <c r="B1212" s="737" t="s">
        <v>4873</v>
      </c>
      <c r="C1212" s="737" t="s">
        <v>4874</v>
      </c>
      <c r="D1212" s="738">
        <v>3492.9041999999999</v>
      </c>
      <c r="E1212" s="738">
        <v>3183.0733</v>
      </c>
      <c r="F1212" s="738">
        <v>19893.190200000001</v>
      </c>
      <c r="G1212" s="738">
        <v>356.46862005190007</v>
      </c>
    </row>
    <row r="1213" spans="2:7" x14ac:dyDescent="0.25">
      <c r="B1213" s="737" t="s">
        <v>4875</v>
      </c>
      <c r="C1213" s="737" t="s">
        <v>4876</v>
      </c>
      <c r="D1213" s="738">
        <v>3486.3236000000002</v>
      </c>
      <c r="E1213" s="738">
        <v>3190.7399</v>
      </c>
      <c r="F1213" s="738">
        <v>19749.433400000002</v>
      </c>
      <c r="G1213" s="738">
        <v>356.46862005190007</v>
      </c>
    </row>
    <row r="1214" spans="2:7" x14ac:dyDescent="0.25">
      <c r="B1214" s="737" t="s">
        <v>4877</v>
      </c>
      <c r="C1214" s="737" t="s">
        <v>4878</v>
      </c>
      <c r="D1214" s="738">
        <v>3948.8874999999998</v>
      </c>
      <c r="E1214" s="738">
        <v>3995.8218999999999</v>
      </c>
      <c r="F1214" s="738">
        <v>16320.251399999999</v>
      </c>
      <c r="G1214" s="738">
        <v>446.42209074422249</v>
      </c>
    </row>
    <row r="1215" spans="2:7" x14ac:dyDescent="0.25">
      <c r="B1215" s="737" t="s">
        <v>4879</v>
      </c>
      <c r="C1215" s="737" t="s">
        <v>4880</v>
      </c>
      <c r="D1215" s="738">
        <v>4495.1030000000001</v>
      </c>
      <c r="E1215" s="738">
        <v>4449.5599000000002</v>
      </c>
      <c r="F1215" s="738">
        <v>15289.0687</v>
      </c>
      <c r="G1215" s="738">
        <v>535.1157426728131</v>
      </c>
    </row>
    <row r="1216" spans="2:7" x14ac:dyDescent="0.25">
      <c r="B1216" s="737" t="s">
        <v>4881</v>
      </c>
      <c r="C1216" s="737" t="s">
        <v>4882</v>
      </c>
      <c r="D1216" s="738">
        <v>5480.2204000000002</v>
      </c>
      <c r="E1216" s="738">
        <v>4229.7139999999999</v>
      </c>
      <c r="F1216" s="738">
        <v>14315.2593</v>
      </c>
      <c r="G1216" s="738">
        <v>804.57699350295354</v>
      </c>
    </row>
    <row r="1217" spans="2:7" x14ac:dyDescent="0.25">
      <c r="B1217" s="737" t="s">
        <v>4883</v>
      </c>
      <c r="C1217" s="737" t="s">
        <v>4884</v>
      </c>
      <c r="D1217" s="738">
        <v>5233.3069999999998</v>
      </c>
      <c r="E1217" s="738">
        <v>3962.6134999999999</v>
      </c>
      <c r="F1217" s="738">
        <v>13736.9694</v>
      </c>
      <c r="G1217" s="738">
        <v>804.57699350295354</v>
      </c>
    </row>
    <row r="1218" spans="2:7" x14ac:dyDescent="0.25">
      <c r="B1218" s="737" t="s">
        <v>4885</v>
      </c>
      <c r="C1218" s="737" t="s">
        <v>4886</v>
      </c>
      <c r="D1218" s="738">
        <v>5342.9596000000001</v>
      </c>
      <c r="E1218" s="738">
        <v>4082.1507000000001</v>
      </c>
      <c r="F1218" s="738">
        <v>13979.2582</v>
      </c>
      <c r="G1218" s="738">
        <v>804.57699350295354</v>
      </c>
    </row>
    <row r="1219" spans="2:7" x14ac:dyDescent="0.25">
      <c r="B1219" s="737" t="s">
        <v>4887</v>
      </c>
      <c r="C1219" s="737" t="s">
        <v>4888</v>
      </c>
      <c r="D1219" s="738">
        <v>4083.3506000000002</v>
      </c>
      <c r="E1219" s="738">
        <v>3833.1374000000001</v>
      </c>
      <c r="F1219" s="738">
        <v>13812.3308</v>
      </c>
      <c r="G1219" s="738">
        <v>535.1157426728131</v>
      </c>
    </row>
    <row r="1220" spans="2:7" x14ac:dyDescent="0.25">
      <c r="B1220" s="737" t="s">
        <v>4889</v>
      </c>
      <c r="C1220" s="737" t="s">
        <v>4890</v>
      </c>
      <c r="D1220" s="738">
        <v>4264.4677000000001</v>
      </c>
      <c r="E1220" s="738">
        <v>4102.3705</v>
      </c>
      <c r="F1220" s="738">
        <v>14478.114600000001</v>
      </c>
      <c r="G1220" s="738">
        <v>535.1157426728131</v>
      </c>
    </row>
    <row r="1221" spans="2:7" x14ac:dyDescent="0.25">
      <c r="B1221" s="737" t="s">
        <v>4891</v>
      </c>
      <c r="C1221" s="737" t="s">
        <v>4892</v>
      </c>
      <c r="D1221" s="738">
        <v>3984.7123000000001</v>
      </c>
      <c r="E1221" s="738">
        <v>3743.4573999999998</v>
      </c>
      <c r="F1221" s="738">
        <v>12897.799800000001</v>
      </c>
      <c r="G1221" s="738">
        <v>535.1157426728131</v>
      </c>
    </row>
    <row r="1222" spans="2:7" x14ac:dyDescent="0.25">
      <c r="B1222" s="737" t="s">
        <v>4893</v>
      </c>
      <c r="C1222" s="737" t="s">
        <v>4894</v>
      </c>
      <c r="D1222" s="738">
        <v>3950.8510000000001</v>
      </c>
      <c r="E1222" s="738">
        <v>3593.2397000000001</v>
      </c>
      <c r="F1222" s="738">
        <v>13754.1746</v>
      </c>
      <c r="G1222" s="738">
        <v>535.1157426728131</v>
      </c>
    </row>
    <row r="1223" spans="2:7" x14ac:dyDescent="0.25">
      <c r="B1223" s="737" t="s">
        <v>4895</v>
      </c>
      <c r="C1223" s="737" t="s">
        <v>4896</v>
      </c>
      <c r="D1223" s="738">
        <v>4296.3042999999998</v>
      </c>
      <c r="E1223" s="738">
        <v>4212.0864000000001</v>
      </c>
      <c r="F1223" s="738">
        <v>13987.1422</v>
      </c>
      <c r="G1223" s="738">
        <v>535.1157426728131</v>
      </c>
    </row>
    <row r="1224" spans="2:7" x14ac:dyDescent="0.25">
      <c r="B1224" s="739" t="s">
        <v>4897</v>
      </c>
      <c r="C1224" s="739" t="s">
        <v>4898</v>
      </c>
      <c r="D1224" s="740">
        <v>4351.1464999999998</v>
      </c>
      <c r="E1224" s="740">
        <v>4200.2232999999997</v>
      </c>
      <c r="F1224" s="740">
        <v>15108.1392</v>
      </c>
      <c r="G1224" s="740">
        <v>535.1157426728131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O309"/>
  <sheetViews>
    <sheetView zoomScale="70" zoomScaleNormal="70" workbookViewId="0">
      <pane ySplit="4" topLeftCell="A32" activePane="bottomLeft" state="frozen"/>
      <selection pane="bottomLeft" activeCell="S27" sqref="I27:S63"/>
    </sheetView>
  </sheetViews>
  <sheetFormatPr defaultRowHeight="15" x14ac:dyDescent="0.25"/>
  <cols>
    <col min="1" max="6" width="12.7109375" style="4" customWidth="1"/>
    <col min="7" max="7" width="12.7109375" style="12" customWidth="1"/>
    <col min="8" max="8" width="12.7109375" style="4" customWidth="1"/>
    <col min="9" max="9" width="16.28515625" customWidth="1"/>
    <col min="10" max="10" width="20.5703125" customWidth="1"/>
  </cols>
  <sheetData>
    <row r="1" spans="1:14" ht="15.75" x14ac:dyDescent="0.25">
      <c r="A1" s="812" t="s">
        <v>3</v>
      </c>
      <c r="B1" s="812"/>
      <c r="C1" s="812"/>
      <c r="D1" s="812"/>
      <c r="E1" s="812"/>
      <c r="F1" s="812"/>
      <c r="G1" s="812"/>
      <c r="H1" s="812"/>
    </row>
    <row r="2" spans="1:14" ht="18.75" x14ac:dyDescent="0.25">
      <c r="A2" s="812" t="s">
        <v>8</v>
      </c>
      <c r="B2" s="812"/>
      <c r="C2" s="812"/>
      <c r="D2" s="812"/>
      <c r="E2" s="812"/>
      <c r="F2" s="812"/>
      <c r="G2" s="812"/>
      <c r="H2" s="812"/>
    </row>
    <row r="3" spans="1:14" ht="15.75" thickBot="1" x14ac:dyDescent="0.3"/>
    <row r="4" spans="1:14" ht="57.75" x14ac:dyDescent="0.25">
      <c r="A4" s="5" t="s">
        <v>4</v>
      </c>
      <c r="B4" s="5" t="s">
        <v>10</v>
      </c>
      <c r="C4" s="5" t="s">
        <v>11</v>
      </c>
      <c r="D4" s="5" t="s">
        <v>0</v>
      </c>
      <c r="E4" s="5" t="s">
        <v>5</v>
      </c>
      <c r="F4" s="13" t="s">
        <v>1</v>
      </c>
      <c r="G4" s="30" t="s">
        <v>14</v>
      </c>
      <c r="H4" s="6" t="s">
        <v>2</v>
      </c>
      <c r="I4" s="2"/>
    </row>
    <row r="5" spans="1:14" x14ac:dyDescent="0.25">
      <c r="A5" s="16" t="s">
        <v>15</v>
      </c>
      <c r="B5" s="19">
        <v>1330209</v>
      </c>
      <c r="C5" s="19">
        <v>1401568</v>
      </c>
      <c r="D5" s="19">
        <v>195318</v>
      </c>
      <c r="E5" s="19">
        <v>592661</v>
      </c>
      <c r="F5" s="20">
        <v>3519756</v>
      </c>
      <c r="G5" s="20">
        <v>3519756</v>
      </c>
      <c r="H5" s="21">
        <v>3519756</v>
      </c>
      <c r="I5" s="3"/>
      <c r="J5" s="1"/>
      <c r="K5" s="1"/>
      <c r="L5" s="1"/>
      <c r="M5" s="1"/>
    </row>
    <row r="6" spans="1:14" x14ac:dyDescent="0.25">
      <c r="A6" s="17" t="s">
        <v>16</v>
      </c>
      <c r="B6" s="19">
        <v>1460429</v>
      </c>
      <c r="C6" s="19">
        <v>1434916</v>
      </c>
      <c r="D6" s="19">
        <v>339615</v>
      </c>
      <c r="E6" s="19">
        <v>857615</v>
      </c>
      <c r="F6" s="20">
        <v>4092575</v>
      </c>
      <c r="G6" s="20">
        <v>7612330</v>
      </c>
      <c r="H6" s="21">
        <v>7612330</v>
      </c>
      <c r="I6" s="3"/>
    </row>
    <row r="7" spans="1:14" x14ac:dyDescent="0.25">
      <c r="A7" s="18" t="s">
        <v>17</v>
      </c>
      <c r="B7" s="19">
        <v>1569405</v>
      </c>
      <c r="C7" s="19">
        <v>1898685</v>
      </c>
      <c r="D7" s="19">
        <v>609907</v>
      </c>
      <c r="E7" s="19">
        <v>902995</v>
      </c>
      <c r="F7" s="20">
        <v>4980992</v>
      </c>
      <c r="G7" s="20">
        <v>12593322</v>
      </c>
      <c r="H7" s="21">
        <v>12593322</v>
      </c>
      <c r="I7" s="3"/>
    </row>
    <row r="8" spans="1:14" x14ac:dyDescent="0.25">
      <c r="A8" s="18" t="s">
        <v>18</v>
      </c>
      <c r="B8" s="19">
        <v>1559710</v>
      </c>
      <c r="C8" s="19">
        <v>2217607</v>
      </c>
      <c r="D8" s="19">
        <v>734351</v>
      </c>
      <c r="E8" s="19">
        <v>761687</v>
      </c>
      <c r="F8" s="20">
        <v>5273355</v>
      </c>
      <c r="G8" s="20">
        <v>17866677</v>
      </c>
      <c r="H8" s="21">
        <v>17866677</v>
      </c>
      <c r="I8" s="3"/>
    </row>
    <row r="9" spans="1:14" x14ac:dyDescent="0.25">
      <c r="A9" s="18" t="s">
        <v>19</v>
      </c>
      <c r="B9" s="19">
        <v>1569454</v>
      </c>
      <c r="C9" s="19">
        <v>2070577</v>
      </c>
      <c r="D9" s="19">
        <v>1135648</v>
      </c>
      <c r="E9" s="19">
        <v>940028</v>
      </c>
      <c r="F9" s="20">
        <v>5715707</v>
      </c>
      <c r="G9" s="20">
        <v>23582384</v>
      </c>
      <c r="H9" s="21">
        <v>23582384</v>
      </c>
      <c r="I9" s="3"/>
    </row>
    <row r="10" spans="1:14" x14ac:dyDescent="0.25">
      <c r="A10" s="18" t="s">
        <v>20</v>
      </c>
      <c r="B10" s="19">
        <v>1530968</v>
      </c>
      <c r="C10" s="19">
        <v>2473627</v>
      </c>
      <c r="D10" s="19">
        <v>969637</v>
      </c>
      <c r="E10" s="19">
        <v>1547853</v>
      </c>
      <c r="F10" s="20">
        <v>6522085</v>
      </c>
      <c r="G10" s="20">
        <v>30104468</v>
      </c>
      <c r="H10" s="21">
        <v>30104468</v>
      </c>
      <c r="I10" s="3"/>
      <c r="J10" s="1"/>
      <c r="K10" s="1"/>
      <c r="L10" s="1"/>
      <c r="M10" s="1"/>
      <c r="N10" s="1"/>
    </row>
    <row r="11" spans="1:14" x14ac:dyDescent="0.25">
      <c r="A11" s="18" t="s">
        <v>21</v>
      </c>
      <c r="B11" s="19">
        <v>1659789</v>
      </c>
      <c r="C11" s="19">
        <v>2970183</v>
      </c>
      <c r="D11" s="19">
        <v>1397930</v>
      </c>
      <c r="E11" s="19">
        <v>1379549</v>
      </c>
      <c r="F11" s="20">
        <v>7407450</v>
      </c>
      <c r="G11" s="20">
        <v>37511919</v>
      </c>
      <c r="H11" s="21">
        <v>37511919</v>
      </c>
      <c r="I11" s="3"/>
    </row>
    <row r="12" spans="1:14" x14ac:dyDescent="0.25">
      <c r="A12" s="18" t="s">
        <v>22</v>
      </c>
      <c r="B12" s="19">
        <v>1892780</v>
      </c>
      <c r="C12" s="19">
        <v>3307078</v>
      </c>
      <c r="D12" s="19">
        <v>1464796</v>
      </c>
      <c r="E12" s="19">
        <v>1076513</v>
      </c>
      <c r="F12" s="20">
        <v>7741167</v>
      </c>
      <c r="G12" s="20">
        <v>45253086</v>
      </c>
      <c r="H12" s="21">
        <v>45253086</v>
      </c>
      <c r="I12" s="3"/>
    </row>
    <row r="13" spans="1:14" x14ac:dyDescent="0.25">
      <c r="A13" s="18" t="s">
        <v>23</v>
      </c>
      <c r="B13" s="19">
        <v>1795545</v>
      </c>
      <c r="C13" s="19">
        <v>2940346</v>
      </c>
      <c r="D13" s="19">
        <v>1446105</v>
      </c>
      <c r="E13" s="19">
        <v>1050874</v>
      </c>
      <c r="F13" s="20">
        <v>7232870</v>
      </c>
      <c r="G13" s="20">
        <v>52485956</v>
      </c>
      <c r="H13" s="21">
        <v>52485956</v>
      </c>
      <c r="I13" s="3"/>
    </row>
    <row r="14" spans="1:14" x14ac:dyDescent="0.25">
      <c r="A14" s="18" t="s">
        <v>24</v>
      </c>
      <c r="B14" s="19">
        <v>1816579</v>
      </c>
      <c r="C14" s="19">
        <v>3244159</v>
      </c>
      <c r="D14" s="19">
        <v>1718273</v>
      </c>
      <c r="E14" s="19">
        <v>863790</v>
      </c>
      <c r="F14" s="20">
        <v>7642800</v>
      </c>
      <c r="G14" s="20">
        <v>60128755</v>
      </c>
      <c r="H14" s="21">
        <v>60128755</v>
      </c>
      <c r="I14" s="3"/>
    </row>
    <row r="15" spans="1:14" x14ac:dyDescent="0.25">
      <c r="A15" s="26" t="s">
        <v>25</v>
      </c>
      <c r="B15" s="22">
        <v>1649935</v>
      </c>
      <c r="C15" s="22">
        <v>2933821</v>
      </c>
      <c r="D15" s="22">
        <v>1363689</v>
      </c>
      <c r="E15" s="22">
        <v>1518123</v>
      </c>
      <c r="F15" s="27">
        <v>7465568</v>
      </c>
      <c r="G15" s="25">
        <v>67594323</v>
      </c>
      <c r="H15" s="28">
        <v>67594323</v>
      </c>
      <c r="I15" s="3"/>
    </row>
    <row r="16" spans="1:14" x14ac:dyDescent="0.25">
      <c r="A16" s="18" t="s">
        <v>26</v>
      </c>
      <c r="B16" s="19">
        <v>1874283</v>
      </c>
      <c r="C16" s="19">
        <v>3472230</v>
      </c>
      <c r="D16" s="19">
        <v>1965731</v>
      </c>
      <c r="E16" s="19">
        <v>1245897</v>
      </c>
      <c r="F16" s="20">
        <v>8558141</v>
      </c>
      <c r="G16" s="20">
        <v>8558141</v>
      </c>
      <c r="H16" s="21">
        <v>76152465</v>
      </c>
      <c r="I16" s="3"/>
      <c r="J16" s="1"/>
      <c r="K16" s="1"/>
      <c r="L16" s="1"/>
      <c r="M16" s="1"/>
      <c r="N16" s="1"/>
    </row>
    <row r="17" spans="1:14" x14ac:dyDescent="0.25">
      <c r="A17" s="18" t="s">
        <v>27</v>
      </c>
      <c r="B17" s="19">
        <v>1808419</v>
      </c>
      <c r="C17" s="19">
        <v>3547864</v>
      </c>
      <c r="D17" s="19">
        <v>2349219</v>
      </c>
      <c r="E17" s="19">
        <v>1096793</v>
      </c>
      <c r="F17" s="20">
        <v>8802295</v>
      </c>
      <c r="G17" s="20">
        <v>17360436</v>
      </c>
      <c r="H17" s="21">
        <v>84954760</v>
      </c>
      <c r="I17" s="3"/>
    </row>
    <row r="18" spans="1:14" x14ac:dyDescent="0.25">
      <c r="A18" s="18" t="s">
        <v>28</v>
      </c>
      <c r="B18" s="19">
        <v>1919649</v>
      </c>
      <c r="C18" s="19">
        <v>3792120</v>
      </c>
      <c r="D18" s="19">
        <v>2123091</v>
      </c>
      <c r="E18" s="19">
        <v>1264534</v>
      </c>
      <c r="F18" s="20">
        <v>9099395</v>
      </c>
      <c r="G18" s="20">
        <v>26459831</v>
      </c>
      <c r="H18" s="21">
        <v>94054154</v>
      </c>
      <c r="I18" s="3"/>
    </row>
    <row r="19" spans="1:14" x14ac:dyDescent="0.25">
      <c r="A19" s="18" t="s">
        <v>29</v>
      </c>
      <c r="B19" s="19">
        <v>2093101</v>
      </c>
      <c r="C19" s="19">
        <v>4282160</v>
      </c>
      <c r="D19" s="19">
        <v>2587352</v>
      </c>
      <c r="E19" s="19">
        <v>1017030</v>
      </c>
      <c r="F19" s="20">
        <v>9979643</v>
      </c>
      <c r="G19" s="20">
        <v>36439474</v>
      </c>
      <c r="H19" s="21">
        <v>104033797</v>
      </c>
      <c r="I19" s="3"/>
    </row>
    <row r="20" spans="1:14" x14ac:dyDescent="0.25">
      <c r="A20" s="18" t="s">
        <v>30</v>
      </c>
      <c r="B20" s="19">
        <v>2084081</v>
      </c>
      <c r="C20" s="19">
        <v>4390362</v>
      </c>
      <c r="D20" s="19">
        <v>3103722</v>
      </c>
      <c r="E20" s="19">
        <v>1039145</v>
      </c>
      <c r="F20" s="20">
        <v>10617311</v>
      </c>
      <c r="G20" s="20">
        <v>47056785</v>
      </c>
      <c r="H20" s="21">
        <v>114651108</v>
      </c>
      <c r="I20" s="3"/>
    </row>
    <row r="21" spans="1:14" x14ac:dyDescent="0.25">
      <c r="A21" s="18" t="s">
        <v>31</v>
      </c>
      <c r="B21" s="19">
        <v>2100621</v>
      </c>
      <c r="C21" s="19">
        <v>4663848</v>
      </c>
      <c r="D21" s="19">
        <v>3506230</v>
      </c>
      <c r="E21" s="19">
        <v>1055753</v>
      </c>
      <c r="F21" s="20">
        <v>11326452</v>
      </c>
      <c r="G21" s="20">
        <v>58383236</v>
      </c>
      <c r="H21" s="21">
        <v>125977560</v>
      </c>
      <c r="I21" s="3"/>
    </row>
    <row r="22" spans="1:14" x14ac:dyDescent="0.25">
      <c r="A22" s="18" t="s">
        <v>32</v>
      </c>
      <c r="B22" s="19">
        <v>2394910</v>
      </c>
      <c r="C22" s="19">
        <v>4394550</v>
      </c>
      <c r="D22" s="19">
        <v>2933200</v>
      </c>
      <c r="E22" s="19">
        <v>1133924</v>
      </c>
      <c r="F22" s="20">
        <v>10856584</v>
      </c>
      <c r="G22" s="20">
        <v>69239821</v>
      </c>
      <c r="H22" s="21">
        <v>136834144</v>
      </c>
      <c r="I22" s="3"/>
      <c r="J22" s="1"/>
      <c r="K22" s="1"/>
      <c r="L22" s="1"/>
      <c r="M22" s="1"/>
      <c r="N22" s="1"/>
    </row>
    <row r="23" spans="1:14" x14ac:dyDescent="0.25">
      <c r="A23" s="18" t="s">
        <v>33</v>
      </c>
      <c r="B23" s="19">
        <v>2698757</v>
      </c>
      <c r="C23" s="19">
        <v>5839613</v>
      </c>
      <c r="D23" s="19">
        <v>3070314</v>
      </c>
      <c r="E23" s="19">
        <v>1202753</v>
      </c>
      <c r="F23" s="20">
        <v>12811437</v>
      </c>
      <c r="G23" s="20">
        <v>82051258</v>
      </c>
      <c r="H23" s="21">
        <v>149645581</v>
      </c>
      <c r="I23" s="3"/>
    </row>
    <row r="24" spans="1:14" x14ac:dyDescent="0.25">
      <c r="A24" s="18" t="s">
        <v>34</v>
      </c>
      <c r="B24" s="19">
        <v>2821102</v>
      </c>
      <c r="C24" s="19">
        <v>5813123</v>
      </c>
      <c r="D24" s="19">
        <v>3328898</v>
      </c>
      <c r="E24" s="19">
        <v>1218635</v>
      </c>
      <c r="F24" s="20">
        <v>13181758</v>
      </c>
      <c r="G24" s="20">
        <v>95233015</v>
      </c>
      <c r="H24" s="21">
        <v>162827339</v>
      </c>
      <c r="I24" s="3"/>
    </row>
    <row r="25" spans="1:14" x14ac:dyDescent="0.25">
      <c r="A25" s="18" t="s">
        <v>35</v>
      </c>
      <c r="B25" s="19">
        <v>2656088</v>
      </c>
      <c r="C25" s="19">
        <v>4955077</v>
      </c>
      <c r="D25" s="19">
        <v>2796865</v>
      </c>
      <c r="E25" s="19">
        <v>1248706</v>
      </c>
      <c r="F25" s="20">
        <v>11656736</v>
      </c>
      <c r="G25" s="20">
        <v>106889751</v>
      </c>
      <c r="H25" s="21">
        <v>174484075</v>
      </c>
      <c r="I25" s="3"/>
    </row>
    <row r="26" spans="1:14" x14ac:dyDescent="0.25">
      <c r="A26" s="18" t="s">
        <v>36</v>
      </c>
      <c r="B26" s="19">
        <v>2256473</v>
      </c>
      <c r="C26" s="19">
        <v>5207345</v>
      </c>
      <c r="D26" s="19">
        <v>2604672</v>
      </c>
      <c r="E26" s="19">
        <v>1221521</v>
      </c>
      <c r="F26" s="20">
        <v>11290012</v>
      </c>
      <c r="G26" s="20">
        <v>118179763</v>
      </c>
      <c r="H26" s="21">
        <v>185774087</v>
      </c>
      <c r="I26" s="3"/>
    </row>
    <row r="27" spans="1:14" x14ac:dyDescent="0.25">
      <c r="A27" s="26" t="s">
        <v>37</v>
      </c>
      <c r="B27" s="22">
        <v>2261503</v>
      </c>
      <c r="C27" s="22">
        <v>5258248</v>
      </c>
      <c r="D27" s="22">
        <v>3048539</v>
      </c>
      <c r="E27" s="22">
        <v>1663120</v>
      </c>
      <c r="F27" s="27">
        <v>12231410</v>
      </c>
      <c r="G27" s="25">
        <v>130411173</v>
      </c>
      <c r="H27" s="28">
        <v>198005496</v>
      </c>
    </row>
    <row r="28" spans="1:14" x14ac:dyDescent="0.25">
      <c r="A28" s="18" t="s">
        <v>38</v>
      </c>
      <c r="B28" s="19">
        <v>2841308</v>
      </c>
      <c r="C28" s="19">
        <v>5438522</v>
      </c>
      <c r="D28" s="19">
        <v>3608488</v>
      </c>
      <c r="E28" s="19">
        <v>1359117</v>
      </c>
      <c r="F28" s="20">
        <v>13247434</v>
      </c>
      <c r="G28" s="20">
        <v>13247434</v>
      </c>
      <c r="H28" s="21">
        <v>211252931</v>
      </c>
    </row>
    <row r="29" spans="1:14" x14ac:dyDescent="0.25">
      <c r="A29" s="18" t="s">
        <v>39</v>
      </c>
      <c r="B29" s="19">
        <v>2482086</v>
      </c>
      <c r="C29" s="19">
        <v>5213363</v>
      </c>
      <c r="D29" s="19">
        <v>3671875</v>
      </c>
      <c r="E29" s="19">
        <v>1099292</v>
      </c>
      <c r="F29" s="20">
        <v>12466617</v>
      </c>
      <c r="G29" s="20">
        <v>25714051</v>
      </c>
      <c r="H29" s="21">
        <v>223719547</v>
      </c>
    </row>
    <row r="30" spans="1:14" x14ac:dyDescent="0.25">
      <c r="A30" s="18" t="s">
        <v>40</v>
      </c>
      <c r="B30" s="19">
        <v>2599446</v>
      </c>
      <c r="C30" s="19">
        <v>6163941</v>
      </c>
      <c r="D30" s="19">
        <v>4015437</v>
      </c>
      <c r="E30" s="19">
        <v>1417099</v>
      </c>
      <c r="F30" s="20">
        <v>14195923</v>
      </c>
      <c r="G30" s="20">
        <v>39909974</v>
      </c>
      <c r="H30" s="21">
        <v>237915471</v>
      </c>
    </row>
    <row r="31" spans="1:14" x14ac:dyDescent="0.25">
      <c r="A31" s="18" t="s">
        <v>41</v>
      </c>
      <c r="B31" s="19">
        <v>2493845</v>
      </c>
      <c r="C31" s="19">
        <v>5876965</v>
      </c>
      <c r="D31" s="19">
        <v>3489694</v>
      </c>
      <c r="E31" s="19">
        <v>1236794</v>
      </c>
      <c r="F31" s="20">
        <v>13097298</v>
      </c>
      <c r="G31" s="20">
        <v>53007272</v>
      </c>
      <c r="H31" s="21">
        <v>251012768</v>
      </c>
    </row>
    <row r="32" spans="1:14" x14ac:dyDescent="0.25">
      <c r="A32" s="18" t="s">
        <v>42</v>
      </c>
      <c r="B32" s="19">
        <v>3292341</v>
      </c>
      <c r="C32" s="19">
        <v>6944330</v>
      </c>
      <c r="D32" s="19">
        <v>5538327</v>
      </c>
      <c r="E32" s="19">
        <v>1408164</v>
      </c>
      <c r="F32" s="20">
        <v>17183162</v>
      </c>
      <c r="G32" s="20">
        <v>70190434</v>
      </c>
      <c r="H32" s="21">
        <v>268195930</v>
      </c>
    </row>
    <row r="33" spans="1:8" x14ac:dyDescent="0.25">
      <c r="A33" s="18" t="s">
        <v>43</v>
      </c>
      <c r="B33" s="19">
        <v>2763721</v>
      </c>
      <c r="C33" s="19">
        <v>5989446</v>
      </c>
      <c r="D33" s="19">
        <v>4524531</v>
      </c>
      <c r="E33" s="19">
        <v>1204950</v>
      </c>
      <c r="F33" s="20">
        <v>14482648</v>
      </c>
      <c r="G33" s="20">
        <v>84673082</v>
      </c>
      <c r="H33" s="21">
        <v>282678578</v>
      </c>
    </row>
    <row r="34" spans="1:8" x14ac:dyDescent="0.25">
      <c r="A34" s="18" t="s">
        <v>44</v>
      </c>
      <c r="B34" s="19">
        <v>3130847</v>
      </c>
      <c r="C34" s="19">
        <v>7414551</v>
      </c>
      <c r="D34" s="19">
        <v>5378690</v>
      </c>
      <c r="E34" s="19">
        <v>899760</v>
      </c>
      <c r="F34" s="20">
        <v>16823849</v>
      </c>
      <c r="G34" s="20">
        <v>101496931</v>
      </c>
      <c r="H34" s="21">
        <v>299502427</v>
      </c>
    </row>
    <row r="35" spans="1:8" x14ac:dyDescent="0.25">
      <c r="A35" s="18" t="s">
        <v>45</v>
      </c>
      <c r="B35" s="19">
        <v>3440132</v>
      </c>
      <c r="C35" s="19">
        <v>8263335</v>
      </c>
      <c r="D35" s="19">
        <v>4711405</v>
      </c>
      <c r="E35" s="19">
        <v>1159277</v>
      </c>
      <c r="F35" s="20">
        <v>17574149</v>
      </c>
      <c r="G35" s="20">
        <v>119071079</v>
      </c>
      <c r="H35" s="21">
        <v>317076575</v>
      </c>
    </row>
    <row r="36" spans="1:8" x14ac:dyDescent="0.25">
      <c r="A36" s="18" t="s">
        <v>46</v>
      </c>
      <c r="B36" s="19">
        <v>3535768</v>
      </c>
      <c r="C36" s="19">
        <v>8492129</v>
      </c>
      <c r="D36" s="19">
        <v>6233494</v>
      </c>
      <c r="E36" s="19">
        <v>884601</v>
      </c>
      <c r="F36" s="20">
        <v>19145992</v>
      </c>
      <c r="G36" s="20">
        <v>138217071</v>
      </c>
      <c r="H36" s="21">
        <v>336222567</v>
      </c>
    </row>
    <row r="37" spans="1:8" x14ac:dyDescent="0.25">
      <c r="A37" s="18" t="s">
        <v>47</v>
      </c>
      <c r="B37" s="19">
        <v>3584480</v>
      </c>
      <c r="C37" s="19">
        <v>8584952</v>
      </c>
      <c r="D37" s="19">
        <v>6071105</v>
      </c>
      <c r="E37" s="19">
        <v>1026385</v>
      </c>
      <c r="F37" s="20">
        <v>19266922</v>
      </c>
      <c r="G37" s="20">
        <v>157483992</v>
      </c>
      <c r="H37" s="21">
        <v>355489488</v>
      </c>
    </row>
    <row r="38" spans="1:8" x14ac:dyDescent="0.25">
      <c r="A38" s="18" t="s">
        <v>48</v>
      </c>
      <c r="B38" s="19">
        <v>3304756</v>
      </c>
      <c r="C38" s="19">
        <v>8115943</v>
      </c>
      <c r="D38" s="19">
        <v>6045927</v>
      </c>
      <c r="E38" s="19">
        <v>959239</v>
      </c>
      <c r="F38" s="20">
        <v>18425864</v>
      </c>
      <c r="G38" s="20">
        <v>175909857</v>
      </c>
      <c r="H38" s="21">
        <v>373915353</v>
      </c>
    </row>
    <row r="39" spans="1:8" x14ac:dyDescent="0.25">
      <c r="A39" s="26" t="s">
        <v>49</v>
      </c>
      <c r="B39" s="22">
        <v>2980227</v>
      </c>
      <c r="C39" s="22">
        <v>7252646</v>
      </c>
      <c r="D39" s="22">
        <v>6131564</v>
      </c>
      <c r="E39" s="22">
        <v>1330517</v>
      </c>
      <c r="F39" s="27">
        <v>17694953</v>
      </c>
      <c r="G39" s="25">
        <v>193604810</v>
      </c>
      <c r="H39" s="28">
        <v>391610306</v>
      </c>
    </row>
    <row r="40" spans="1:8" x14ac:dyDescent="0.25">
      <c r="A40" s="18" t="s">
        <v>50</v>
      </c>
      <c r="B40" s="19">
        <v>3217201</v>
      </c>
      <c r="C40" s="19">
        <v>7746575</v>
      </c>
      <c r="D40" s="19">
        <v>6174352</v>
      </c>
      <c r="E40" s="19">
        <v>1026660</v>
      </c>
      <c r="F40" s="20">
        <v>18164787</v>
      </c>
      <c r="G40" s="20">
        <v>18164787</v>
      </c>
      <c r="H40" s="21">
        <v>409775094</v>
      </c>
    </row>
    <row r="41" spans="1:8" x14ac:dyDescent="0.25">
      <c r="A41" s="18" t="s">
        <v>51</v>
      </c>
      <c r="B41" s="19">
        <v>3056541</v>
      </c>
      <c r="C41" s="19">
        <v>8186608</v>
      </c>
      <c r="D41" s="19">
        <v>5503295</v>
      </c>
      <c r="E41" s="19">
        <v>977414</v>
      </c>
      <c r="F41" s="20">
        <v>17723858</v>
      </c>
      <c r="G41" s="20">
        <v>35888645</v>
      </c>
      <c r="H41" s="21">
        <v>427498951</v>
      </c>
    </row>
    <row r="42" spans="1:8" x14ac:dyDescent="0.25">
      <c r="A42" s="18" t="s">
        <v>52</v>
      </c>
      <c r="B42" s="19">
        <v>3534708</v>
      </c>
      <c r="C42" s="19">
        <v>7410258</v>
      </c>
      <c r="D42" s="19">
        <v>5367365</v>
      </c>
      <c r="E42" s="19">
        <v>1238362</v>
      </c>
      <c r="F42" s="20">
        <v>17550692</v>
      </c>
      <c r="G42" s="20">
        <v>53439337</v>
      </c>
      <c r="H42" s="21">
        <v>445049643</v>
      </c>
    </row>
    <row r="43" spans="1:8" x14ac:dyDescent="0.25">
      <c r="A43" s="18" t="s">
        <v>53</v>
      </c>
      <c r="B43" s="19">
        <v>3692930</v>
      </c>
      <c r="C43" s="19">
        <v>10107620</v>
      </c>
      <c r="D43" s="19">
        <v>7867853</v>
      </c>
      <c r="E43" s="19">
        <v>1199185</v>
      </c>
      <c r="F43" s="20">
        <v>22867587</v>
      </c>
      <c r="G43" s="20">
        <v>76306924</v>
      </c>
      <c r="H43" s="21">
        <v>467917230</v>
      </c>
    </row>
    <row r="44" spans="1:8" x14ac:dyDescent="0.25">
      <c r="A44" s="18" t="s">
        <v>54</v>
      </c>
      <c r="B44" s="19">
        <v>3511986</v>
      </c>
      <c r="C44" s="19">
        <v>8105694</v>
      </c>
      <c r="D44" s="19">
        <v>5699916</v>
      </c>
      <c r="E44" s="19">
        <v>1246343</v>
      </c>
      <c r="F44" s="20">
        <v>18563939</v>
      </c>
      <c r="G44" s="20">
        <v>94870862</v>
      </c>
      <c r="H44" s="21">
        <v>486481169</v>
      </c>
    </row>
    <row r="45" spans="1:8" x14ac:dyDescent="0.25">
      <c r="A45" s="18" t="s">
        <v>55</v>
      </c>
      <c r="B45" s="19">
        <v>3579867</v>
      </c>
      <c r="C45" s="19">
        <v>8744941</v>
      </c>
      <c r="D45" s="19">
        <v>6238143</v>
      </c>
      <c r="E45" s="19">
        <v>1099512</v>
      </c>
      <c r="F45" s="20">
        <v>19662464</v>
      </c>
      <c r="G45" s="20">
        <v>114533326</v>
      </c>
      <c r="H45" s="21">
        <v>506143632</v>
      </c>
    </row>
    <row r="46" spans="1:8" x14ac:dyDescent="0.25">
      <c r="A46" s="18" t="s">
        <v>56</v>
      </c>
      <c r="B46" s="19">
        <v>3691932</v>
      </c>
      <c r="C46" s="19">
        <v>9413260</v>
      </c>
      <c r="D46" s="19">
        <v>6416003</v>
      </c>
      <c r="E46" s="19">
        <v>916556</v>
      </c>
      <c r="F46" s="20">
        <v>20437751</v>
      </c>
      <c r="G46" s="20">
        <v>134971077</v>
      </c>
      <c r="H46" s="21">
        <v>526581383</v>
      </c>
    </row>
    <row r="47" spans="1:8" x14ac:dyDescent="0.25">
      <c r="A47" s="18" t="s">
        <v>57</v>
      </c>
      <c r="B47" s="19">
        <v>1738885</v>
      </c>
      <c r="C47" s="19">
        <v>15171154</v>
      </c>
      <c r="D47" s="19">
        <v>5536495</v>
      </c>
      <c r="E47" s="19">
        <v>1328509</v>
      </c>
      <c r="F47" s="20">
        <v>23775043</v>
      </c>
      <c r="G47" s="20">
        <v>158746120</v>
      </c>
      <c r="H47" s="21">
        <v>550356427</v>
      </c>
    </row>
    <row r="48" spans="1:8" s="11" customFormat="1" x14ac:dyDescent="0.25">
      <c r="A48" s="24" t="s">
        <v>58</v>
      </c>
      <c r="B48" s="19">
        <v>1353514</v>
      </c>
      <c r="C48" s="19">
        <v>15044994</v>
      </c>
      <c r="D48" s="19">
        <v>5816240</v>
      </c>
      <c r="E48" s="19">
        <v>1020759</v>
      </c>
      <c r="F48" s="20">
        <v>23235507</v>
      </c>
      <c r="G48" s="20">
        <v>181981627</v>
      </c>
      <c r="H48" s="21">
        <v>573591933</v>
      </c>
    </row>
    <row r="49" spans="1:15" s="11" customFormat="1" x14ac:dyDescent="0.25">
      <c r="A49" s="24" t="s">
        <v>59</v>
      </c>
      <c r="B49" s="19">
        <v>999826</v>
      </c>
      <c r="C49" s="19">
        <v>15125886</v>
      </c>
      <c r="D49" s="19">
        <v>5997375</v>
      </c>
      <c r="E49" s="19">
        <v>975320</v>
      </c>
      <c r="F49" s="20">
        <v>23098408</v>
      </c>
      <c r="G49" s="20">
        <v>205080035</v>
      </c>
      <c r="H49" s="21">
        <v>596690341</v>
      </c>
    </row>
    <row r="50" spans="1:15" s="11" customFormat="1" x14ac:dyDescent="0.25">
      <c r="A50" s="24" t="s">
        <v>60</v>
      </c>
      <c r="B50" s="19">
        <v>1021820</v>
      </c>
      <c r="C50" s="19">
        <v>13148705</v>
      </c>
      <c r="D50" s="19">
        <v>5771416</v>
      </c>
      <c r="E50" s="19">
        <v>1135051</v>
      </c>
      <c r="F50" s="19">
        <v>21076993</v>
      </c>
      <c r="G50" s="20">
        <v>226157028</v>
      </c>
      <c r="H50" s="21">
        <v>617767334</v>
      </c>
    </row>
    <row r="51" spans="1:15" s="11" customFormat="1" x14ac:dyDescent="0.25">
      <c r="A51" s="23" t="s">
        <v>61</v>
      </c>
      <c r="B51" s="22">
        <v>1137691</v>
      </c>
      <c r="C51" s="22">
        <v>13307123</v>
      </c>
      <c r="D51" s="22">
        <v>5576575</v>
      </c>
      <c r="E51" s="22">
        <v>1190056</v>
      </c>
      <c r="F51" s="22">
        <v>21211445</v>
      </c>
      <c r="G51" s="25">
        <v>247368473</v>
      </c>
      <c r="H51" s="28">
        <v>638978779</v>
      </c>
    </row>
    <row r="52" spans="1:15" s="11" customFormat="1" x14ac:dyDescent="0.25">
      <c r="A52" s="24" t="s">
        <v>62</v>
      </c>
      <c r="B52" s="19">
        <v>1181904</v>
      </c>
      <c r="C52" s="19">
        <v>13816947</v>
      </c>
      <c r="D52" s="19">
        <v>5619025</v>
      </c>
      <c r="E52" s="19">
        <v>1063563</v>
      </c>
      <c r="F52" s="19">
        <v>21681438</v>
      </c>
      <c r="G52" s="20">
        <v>21681438</v>
      </c>
      <c r="H52" s="21">
        <v>660660217</v>
      </c>
    </row>
    <row r="53" spans="1:15" s="11" customFormat="1" x14ac:dyDescent="0.25">
      <c r="A53" s="24" t="s">
        <v>63</v>
      </c>
      <c r="B53" s="19">
        <v>949653</v>
      </c>
      <c r="C53" s="19">
        <v>13445106</v>
      </c>
      <c r="D53" s="19">
        <v>5756281</v>
      </c>
      <c r="E53" s="19">
        <v>983823</v>
      </c>
      <c r="F53" s="19">
        <v>21134864</v>
      </c>
      <c r="G53" s="20">
        <v>42816302</v>
      </c>
      <c r="H53" s="21">
        <v>681795081</v>
      </c>
    </row>
    <row r="54" spans="1:15" s="11" customFormat="1" x14ac:dyDescent="0.25">
      <c r="A54" s="24" t="s">
        <v>64</v>
      </c>
      <c r="B54" s="19">
        <v>812244</v>
      </c>
      <c r="C54" s="19">
        <v>13853459</v>
      </c>
      <c r="D54" s="19">
        <v>5233996</v>
      </c>
      <c r="E54" s="19">
        <v>972122</v>
      </c>
      <c r="F54" s="19">
        <v>20871820</v>
      </c>
      <c r="G54" s="15">
        <v>63688122</v>
      </c>
      <c r="H54" s="21">
        <v>702666901</v>
      </c>
    </row>
    <row r="55" spans="1:15" s="11" customFormat="1" x14ac:dyDescent="0.25">
      <c r="A55" s="24" t="s">
        <v>65</v>
      </c>
      <c r="B55" s="19">
        <v>966721</v>
      </c>
      <c r="C55" s="19">
        <v>15340824</v>
      </c>
      <c r="D55" s="19">
        <v>5598581</v>
      </c>
      <c r="E55" s="19">
        <v>1041014</v>
      </c>
      <c r="F55" s="19">
        <v>22947141</v>
      </c>
      <c r="G55" s="15">
        <v>86635263</v>
      </c>
      <c r="H55" s="21">
        <v>725614042</v>
      </c>
    </row>
    <row r="56" spans="1:15" x14ac:dyDescent="0.25">
      <c r="A56" s="24" t="s">
        <v>66</v>
      </c>
      <c r="B56" s="19">
        <v>1014752</v>
      </c>
      <c r="C56" s="19">
        <v>14608085</v>
      </c>
      <c r="D56" s="19">
        <v>5586593</v>
      </c>
      <c r="E56" s="19">
        <v>1158277</v>
      </c>
      <c r="F56" s="19">
        <v>22367707</v>
      </c>
      <c r="G56" s="15">
        <v>109002969</v>
      </c>
      <c r="H56" s="21">
        <v>747981749</v>
      </c>
    </row>
    <row r="57" spans="1:15" s="11" customFormat="1" ht="15" customHeight="1" x14ac:dyDescent="0.25">
      <c r="A57" s="24" t="s">
        <v>67</v>
      </c>
      <c r="B57" s="19">
        <v>949473</v>
      </c>
      <c r="C57" s="19">
        <v>14911288</v>
      </c>
      <c r="D57" s="19">
        <v>5051632</v>
      </c>
      <c r="E57" s="19">
        <v>1016300</v>
      </c>
      <c r="F57" s="19">
        <v>21928692</v>
      </c>
      <c r="G57" s="15">
        <v>130931662</v>
      </c>
      <c r="H57" s="21">
        <v>769910441</v>
      </c>
    </row>
    <row r="58" spans="1:15" s="11" customFormat="1" x14ac:dyDescent="0.25">
      <c r="A58" s="23" t="s">
        <v>68</v>
      </c>
      <c r="B58" s="22">
        <v>792289</v>
      </c>
      <c r="C58" s="22">
        <v>15968272</v>
      </c>
      <c r="D58" s="22">
        <v>5215347</v>
      </c>
      <c r="E58" s="22">
        <v>987870</v>
      </c>
      <c r="F58" s="22">
        <v>22963778</v>
      </c>
      <c r="G58" s="29">
        <v>153895440</v>
      </c>
      <c r="H58" s="28">
        <v>792874219</v>
      </c>
    </row>
    <row r="59" spans="1:15" x14ac:dyDescent="0.25">
      <c r="A59" s="8"/>
      <c r="B59" s="9"/>
      <c r="C59" s="9"/>
      <c r="D59" s="9"/>
      <c r="E59" s="9"/>
      <c r="F59" s="9"/>
      <c r="G59" s="15"/>
      <c r="H59" s="9"/>
    </row>
    <row r="60" spans="1:15" x14ac:dyDescent="0.25">
      <c r="A60" s="809" t="s">
        <v>9</v>
      </c>
      <c r="B60" s="809"/>
      <c r="C60" s="809"/>
      <c r="D60" s="809"/>
      <c r="E60" s="809"/>
      <c r="F60" s="809"/>
      <c r="G60" s="809"/>
      <c r="H60" s="809"/>
    </row>
    <row r="61" spans="1:15" ht="15" customHeight="1" x14ac:dyDescent="0.25">
      <c r="A61" s="811" t="s">
        <v>69</v>
      </c>
      <c r="B61" s="811"/>
      <c r="C61" s="811"/>
      <c r="D61" s="811"/>
      <c r="E61" s="811"/>
      <c r="F61" s="811"/>
      <c r="G61" s="811"/>
      <c r="H61" s="811"/>
    </row>
    <row r="62" spans="1:15" ht="15" customHeight="1" x14ac:dyDescent="0.25">
      <c r="A62" s="811" t="s">
        <v>70</v>
      </c>
      <c r="B62" s="811"/>
      <c r="C62" s="811"/>
      <c r="D62" s="811"/>
      <c r="E62" s="811"/>
      <c r="F62" s="811"/>
      <c r="G62" s="811"/>
      <c r="H62" s="811"/>
    </row>
    <row r="63" spans="1:15" x14ac:dyDescent="0.25">
      <c r="A63" s="811" t="s">
        <v>71</v>
      </c>
      <c r="B63" s="811"/>
      <c r="C63" s="811"/>
      <c r="D63" s="811"/>
      <c r="E63" s="811"/>
      <c r="F63" s="811"/>
      <c r="G63" s="811"/>
      <c r="H63" s="811"/>
    </row>
    <row r="64" spans="1:15" ht="15" customHeight="1" x14ac:dyDescent="0.25">
      <c r="A64" s="808" t="s">
        <v>72</v>
      </c>
      <c r="B64" s="808"/>
      <c r="C64" s="808"/>
      <c r="D64" s="808"/>
      <c r="E64" s="808"/>
      <c r="F64" s="808"/>
      <c r="G64" s="808"/>
      <c r="H64" s="808"/>
      <c r="I64" s="31"/>
      <c r="J64" s="31"/>
      <c r="K64" s="11"/>
      <c r="L64" s="11"/>
      <c r="M64" s="11"/>
      <c r="N64" s="11"/>
      <c r="O64" s="11"/>
    </row>
    <row r="65" spans="1:15" ht="15" customHeight="1" x14ac:dyDescent="0.25">
      <c r="A65" s="808" t="s">
        <v>73</v>
      </c>
      <c r="B65" s="808"/>
      <c r="C65" s="808"/>
      <c r="D65" s="808"/>
      <c r="E65" s="808"/>
      <c r="F65" s="808"/>
      <c r="G65" s="808"/>
      <c r="H65" s="808"/>
      <c r="I65" s="31"/>
      <c r="J65" s="31"/>
      <c r="K65" s="11"/>
      <c r="L65" s="11"/>
      <c r="M65" s="11"/>
      <c r="N65" s="11"/>
      <c r="O65" s="11"/>
    </row>
    <row r="66" spans="1:15" x14ac:dyDescent="0.25">
      <c r="A66" s="810"/>
      <c r="B66" s="810"/>
      <c r="C66" s="810"/>
      <c r="D66" s="810"/>
      <c r="E66" s="810"/>
      <c r="F66" s="810"/>
      <c r="G66" s="810"/>
      <c r="H66" s="810"/>
      <c r="I66" s="31"/>
      <c r="J66" s="31"/>
      <c r="K66" s="11"/>
      <c r="L66" s="11"/>
      <c r="M66" s="11"/>
      <c r="N66" s="11"/>
      <c r="O66" s="11"/>
    </row>
    <row r="67" spans="1:15" x14ac:dyDescent="0.25">
      <c r="A67" s="808" t="s">
        <v>12</v>
      </c>
      <c r="B67" s="808"/>
      <c r="C67" s="808"/>
      <c r="D67" s="808"/>
      <c r="E67" s="808"/>
      <c r="F67" s="808"/>
      <c r="G67" s="808"/>
      <c r="H67" s="808"/>
      <c r="I67" s="31"/>
      <c r="J67" s="31"/>
      <c r="K67" s="11"/>
      <c r="L67" s="11"/>
      <c r="M67" s="11"/>
      <c r="N67" s="11"/>
      <c r="O67" s="11"/>
    </row>
    <row r="68" spans="1:15" x14ac:dyDescent="0.25">
      <c r="A68" s="808" t="s">
        <v>13</v>
      </c>
      <c r="B68" s="808"/>
      <c r="C68" s="808"/>
      <c r="D68" s="808"/>
      <c r="E68" s="808"/>
      <c r="F68" s="808"/>
      <c r="G68" s="808"/>
      <c r="H68" s="808"/>
      <c r="I68" s="31"/>
      <c r="J68" s="31"/>
      <c r="K68" s="11"/>
      <c r="L68" s="11"/>
      <c r="M68" s="11"/>
      <c r="N68" s="11"/>
      <c r="O68" s="11"/>
    </row>
    <row r="69" spans="1:15" x14ac:dyDescent="0.25">
      <c r="A69" s="810"/>
      <c r="B69" s="810"/>
      <c r="C69" s="810"/>
      <c r="D69" s="810"/>
      <c r="E69" s="810"/>
      <c r="F69" s="810"/>
      <c r="G69" s="810"/>
      <c r="H69" s="810"/>
      <c r="I69" s="31"/>
      <c r="J69" s="31"/>
      <c r="K69" s="11"/>
      <c r="L69" s="11"/>
      <c r="M69" s="11"/>
      <c r="N69" s="11"/>
      <c r="O69" s="11"/>
    </row>
    <row r="70" spans="1:15" x14ac:dyDescent="0.25">
      <c r="A70" s="813" t="s">
        <v>6</v>
      </c>
      <c r="B70" s="813"/>
      <c r="C70" s="813"/>
      <c r="D70" s="813"/>
      <c r="E70" s="813"/>
      <c r="F70" s="813"/>
      <c r="G70" s="813"/>
      <c r="H70" s="813"/>
      <c r="I70" s="31"/>
      <c r="J70" s="31"/>
      <c r="K70" s="11"/>
      <c r="L70" s="11"/>
      <c r="M70" s="11"/>
      <c r="N70" s="11"/>
      <c r="O70" s="11"/>
    </row>
    <row r="71" spans="1:15" x14ac:dyDescent="0.25">
      <c r="A71" s="813" t="s">
        <v>7</v>
      </c>
      <c r="B71" s="813"/>
      <c r="C71" s="813"/>
      <c r="D71" s="813"/>
      <c r="E71" s="813"/>
      <c r="F71" s="813"/>
      <c r="G71" s="813"/>
      <c r="H71" s="813"/>
      <c r="I71" s="31"/>
      <c r="J71" s="31"/>
      <c r="K71" s="11"/>
      <c r="L71" s="11"/>
      <c r="M71" s="11"/>
      <c r="N71" s="11"/>
      <c r="O71" s="11"/>
    </row>
    <row r="72" spans="1:15" x14ac:dyDescent="0.25">
      <c r="A72" s="807"/>
      <c r="B72" s="807"/>
      <c r="C72" s="807"/>
      <c r="D72" s="807"/>
      <c r="E72" s="807"/>
      <c r="F72" s="807"/>
      <c r="G72" s="807"/>
      <c r="H72" s="807"/>
      <c r="I72" s="31"/>
      <c r="J72" s="31"/>
      <c r="K72" s="11"/>
      <c r="L72" s="11"/>
      <c r="M72" s="11"/>
      <c r="N72" s="11"/>
      <c r="O72" s="11"/>
    </row>
    <row r="73" spans="1:15" x14ac:dyDescent="0.25">
      <c r="A73" s="807" t="s">
        <v>74</v>
      </c>
      <c r="B73" s="807"/>
      <c r="C73" s="807"/>
      <c r="D73" s="807"/>
      <c r="E73" s="807"/>
      <c r="F73" s="807"/>
      <c r="G73" s="807"/>
      <c r="H73" s="807"/>
      <c r="I73" s="31"/>
      <c r="J73" s="31"/>
      <c r="K73" s="11"/>
      <c r="L73" s="11"/>
      <c r="M73" s="11"/>
      <c r="N73" s="11"/>
      <c r="O73" s="11"/>
    </row>
    <row r="74" spans="1:15" x14ac:dyDescent="0.25">
      <c r="A74" s="7"/>
      <c r="B74" s="7"/>
      <c r="C74" s="7"/>
      <c r="D74" s="7"/>
      <c r="E74" s="7"/>
      <c r="F74" s="7"/>
      <c r="G74" s="14"/>
      <c r="H74" s="7"/>
    </row>
    <row r="75" spans="1:15" x14ac:dyDescent="0.25">
      <c r="A75" s="7"/>
      <c r="B75" s="7"/>
      <c r="C75" s="7"/>
      <c r="D75" s="7"/>
      <c r="E75" s="7"/>
      <c r="F75" s="7"/>
      <c r="G75" s="14"/>
      <c r="H75" s="7"/>
    </row>
    <row r="76" spans="1:15" x14ac:dyDescent="0.25">
      <c r="A76" s="7"/>
      <c r="B76" s="7"/>
      <c r="C76" s="7"/>
      <c r="D76" s="7"/>
      <c r="E76" s="7"/>
      <c r="F76" s="7"/>
      <c r="G76" s="14"/>
      <c r="H76" s="7"/>
    </row>
    <row r="77" spans="1:15" x14ac:dyDescent="0.25">
      <c r="A77" s="7"/>
      <c r="B77" s="7"/>
      <c r="C77" s="7"/>
      <c r="D77" s="7"/>
      <c r="E77" s="7"/>
      <c r="F77" s="7"/>
      <c r="G77" s="14"/>
      <c r="H77" s="7"/>
    </row>
    <row r="78" spans="1:15" x14ac:dyDescent="0.25">
      <c r="A78" s="7"/>
      <c r="B78" s="7"/>
      <c r="C78" s="7"/>
      <c r="D78" s="7"/>
      <c r="E78" s="7"/>
      <c r="F78" s="7"/>
      <c r="G78" s="14"/>
      <c r="H78" s="7"/>
    </row>
    <row r="79" spans="1:15" x14ac:dyDescent="0.25">
      <c r="A79" s="7"/>
      <c r="B79" s="7"/>
      <c r="C79" s="7"/>
      <c r="D79" s="7"/>
      <c r="E79" s="7"/>
      <c r="F79" s="7"/>
      <c r="G79" s="14"/>
      <c r="H79" s="7"/>
    </row>
    <row r="80" spans="1:15" x14ac:dyDescent="0.25">
      <c r="A80" s="7"/>
      <c r="B80" s="7"/>
      <c r="C80" s="7"/>
      <c r="D80" s="7"/>
      <c r="E80" s="7"/>
      <c r="F80" s="7"/>
      <c r="G80" s="14"/>
      <c r="H80" s="7"/>
    </row>
    <row r="81" spans="1:8" x14ac:dyDescent="0.25">
      <c r="A81" s="7"/>
      <c r="B81" s="7"/>
      <c r="C81" s="7"/>
      <c r="D81" s="7"/>
      <c r="E81" s="7"/>
      <c r="F81" s="7"/>
      <c r="G81" s="14"/>
      <c r="H81" s="7"/>
    </row>
    <row r="82" spans="1:8" x14ac:dyDescent="0.25">
      <c r="A82" s="7"/>
      <c r="B82" s="7"/>
      <c r="C82" s="7"/>
      <c r="D82" s="7"/>
      <c r="E82" s="7"/>
      <c r="F82" s="7"/>
      <c r="G82" s="14"/>
      <c r="H82" s="7"/>
    </row>
    <row r="83" spans="1:8" x14ac:dyDescent="0.25">
      <c r="A83" s="7"/>
      <c r="B83" s="7"/>
      <c r="C83" s="7"/>
      <c r="D83" s="7"/>
      <c r="E83" s="7"/>
      <c r="F83" s="7"/>
      <c r="G83" s="14"/>
      <c r="H83" s="7"/>
    </row>
    <row r="84" spans="1:8" x14ac:dyDescent="0.25">
      <c r="A84" s="7"/>
      <c r="B84" s="7"/>
      <c r="C84" s="7"/>
      <c r="D84" s="7"/>
      <c r="E84" s="7"/>
      <c r="F84" s="7"/>
      <c r="G84" s="14"/>
      <c r="H84" s="7"/>
    </row>
    <row r="85" spans="1:8" x14ac:dyDescent="0.25">
      <c r="A85" s="7"/>
      <c r="B85" s="7"/>
      <c r="C85" s="7"/>
      <c r="D85" s="7"/>
      <c r="E85" s="7"/>
      <c r="F85" s="7"/>
      <c r="G85" s="14"/>
      <c r="H85" s="7"/>
    </row>
    <row r="86" spans="1:8" x14ac:dyDescent="0.25">
      <c r="A86" s="7"/>
      <c r="B86" s="7"/>
      <c r="C86" s="7"/>
      <c r="D86" s="7"/>
      <c r="E86" s="7"/>
      <c r="F86" s="7"/>
      <c r="G86" s="14"/>
      <c r="H86" s="7"/>
    </row>
    <row r="87" spans="1:8" x14ac:dyDescent="0.25">
      <c r="A87" s="7"/>
      <c r="B87" s="7"/>
      <c r="C87" s="7"/>
      <c r="D87" s="7"/>
      <c r="E87" s="7"/>
      <c r="F87" s="7"/>
      <c r="G87" s="14"/>
      <c r="H87" s="7"/>
    </row>
    <row r="88" spans="1:8" x14ac:dyDescent="0.25">
      <c r="A88" s="7"/>
      <c r="B88" s="7"/>
      <c r="C88" s="7"/>
      <c r="D88" s="7"/>
      <c r="E88" s="7"/>
      <c r="F88" s="7"/>
      <c r="G88" s="14"/>
      <c r="H88" s="7"/>
    </row>
    <row r="89" spans="1:8" x14ac:dyDescent="0.25">
      <c r="A89" s="7"/>
      <c r="B89" s="7"/>
      <c r="C89" s="7"/>
      <c r="D89" s="7"/>
      <c r="E89" s="7"/>
      <c r="F89" s="7"/>
      <c r="G89" s="14"/>
      <c r="H89" s="7"/>
    </row>
    <row r="90" spans="1:8" x14ac:dyDescent="0.25">
      <c r="A90" s="7"/>
      <c r="B90" s="7"/>
      <c r="C90" s="7"/>
      <c r="D90" s="7"/>
      <c r="E90" s="7"/>
      <c r="F90" s="7"/>
      <c r="G90" s="14"/>
      <c r="H90" s="7"/>
    </row>
    <row r="91" spans="1:8" x14ac:dyDescent="0.25">
      <c r="A91" s="7"/>
      <c r="B91" s="7"/>
      <c r="C91" s="7"/>
      <c r="D91" s="7"/>
      <c r="E91" s="7"/>
      <c r="F91" s="7"/>
      <c r="G91" s="14"/>
      <c r="H91" s="7"/>
    </row>
    <row r="92" spans="1:8" x14ac:dyDescent="0.25">
      <c r="A92" s="7"/>
      <c r="B92" s="7"/>
      <c r="C92" s="7"/>
      <c r="D92" s="7"/>
      <c r="E92" s="7"/>
      <c r="F92" s="7"/>
      <c r="G92" s="14"/>
      <c r="H92" s="7"/>
    </row>
    <row r="93" spans="1:8" x14ac:dyDescent="0.25">
      <c r="A93" s="7"/>
      <c r="B93" s="7"/>
      <c r="C93" s="7"/>
      <c r="D93" s="7"/>
      <c r="E93" s="7"/>
      <c r="F93" s="7"/>
      <c r="G93" s="14"/>
      <c r="H93" s="7"/>
    </row>
    <row r="94" spans="1:8" x14ac:dyDescent="0.25">
      <c r="A94" s="7"/>
      <c r="B94" s="7"/>
      <c r="C94" s="7"/>
      <c r="D94" s="7"/>
      <c r="E94" s="7"/>
      <c r="F94" s="7"/>
      <c r="G94" s="14"/>
      <c r="H94" s="7"/>
    </row>
    <row r="95" spans="1:8" x14ac:dyDescent="0.25">
      <c r="A95" s="7"/>
      <c r="B95" s="7"/>
      <c r="C95" s="7"/>
      <c r="D95" s="7"/>
      <c r="E95" s="7"/>
      <c r="F95" s="7"/>
      <c r="G95" s="14"/>
      <c r="H95" s="7"/>
    </row>
    <row r="96" spans="1:8" x14ac:dyDescent="0.25">
      <c r="A96" s="7"/>
      <c r="B96" s="7"/>
      <c r="C96" s="7"/>
      <c r="D96" s="7"/>
      <c r="E96" s="7"/>
      <c r="F96" s="7"/>
      <c r="G96" s="14"/>
      <c r="H96" s="7"/>
    </row>
    <row r="97" spans="1:8" x14ac:dyDescent="0.25">
      <c r="A97" s="7"/>
      <c r="B97" s="7"/>
      <c r="C97" s="7"/>
      <c r="D97" s="7"/>
      <c r="E97" s="7"/>
      <c r="F97" s="7"/>
      <c r="G97" s="14"/>
      <c r="H97" s="7"/>
    </row>
    <row r="98" spans="1:8" x14ac:dyDescent="0.25">
      <c r="A98" s="7"/>
      <c r="B98" s="7"/>
      <c r="C98" s="7"/>
      <c r="D98" s="7"/>
      <c r="E98" s="7"/>
      <c r="F98" s="7"/>
      <c r="G98" s="14"/>
      <c r="H98" s="7"/>
    </row>
    <row r="99" spans="1:8" x14ac:dyDescent="0.25">
      <c r="A99" s="7"/>
      <c r="B99" s="7"/>
      <c r="C99" s="7"/>
      <c r="D99" s="7"/>
      <c r="E99" s="7"/>
      <c r="F99" s="7"/>
      <c r="G99" s="14"/>
      <c r="H99" s="7"/>
    </row>
    <row r="100" spans="1:8" x14ac:dyDescent="0.25">
      <c r="A100" s="7"/>
      <c r="B100" s="7"/>
      <c r="C100" s="7"/>
      <c r="D100" s="7"/>
      <c r="E100" s="7"/>
      <c r="F100" s="7"/>
      <c r="G100" s="14"/>
      <c r="H100" s="7"/>
    </row>
    <row r="101" spans="1:8" x14ac:dyDescent="0.25">
      <c r="A101" s="7"/>
      <c r="B101" s="7"/>
      <c r="C101" s="7"/>
      <c r="D101" s="7"/>
      <c r="E101" s="7"/>
      <c r="F101" s="7"/>
      <c r="G101" s="14"/>
      <c r="H101" s="7"/>
    </row>
    <row r="102" spans="1:8" x14ac:dyDescent="0.25">
      <c r="A102" s="7"/>
      <c r="B102" s="7"/>
      <c r="C102" s="7"/>
      <c r="D102" s="7"/>
      <c r="E102" s="7"/>
      <c r="F102" s="7"/>
      <c r="G102" s="14"/>
      <c r="H102" s="7"/>
    </row>
    <row r="103" spans="1:8" x14ac:dyDescent="0.25">
      <c r="A103" s="7"/>
      <c r="B103" s="7"/>
      <c r="C103" s="7"/>
      <c r="D103" s="7"/>
      <c r="E103" s="7"/>
      <c r="F103" s="7"/>
      <c r="G103" s="14"/>
      <c r="H103" s="7"/>
    </row>
    <row r="104" spans="1:8" x14ac:dyDescent="0.25">
      <c r="A104" s="7"/>
      <c r="B104" s="7"/>
      <c r="C104" s="7"/>
      <c r="D104" s="7"/>
      <c r="E104" s="7"/>
      <c r="F104" s="7"/>
      <c r="G104" s="14"/>
      <c r="H104" s="7"/>
    </row>
    <row r="105" spans="1:8" x14ac:dyDescent="0.25">
      <c r="A105" s="7"/>
      <c r="B105" s="7"/>
      <c r="C105" s="7"/>
      <c r="D105" s="7"/>
      <c r="E105" s="7"/>
      <c r="F105" s="7"/>
      <c r="G105" s="14"/>
      <c r="H105" s="7"/>
    </row>
    <row r="106" spans="1:8" x14ac:dyDescent="0.25">
      <c r="A106" s="7"/>
      <c r="B106" s="7"/>
      <c r="C106" s="7"/>
      <c r="D106" s="7"/>
      <c r="E106" s="7"/>
      <c r="F106" s="7"/>
      <c r="G106" s="14"/>
      <c r="H106" s="7"/>
    </row>
    <row r="107" spans="1:8" x14ac:dyDescent="0.25">
      <c r="A107" s="7"/>
      <c r="B107" s="7"/>
      <c r="C107" s="7"/>
      <c r="D107" s="7"/>
      <c r="E107" s="7"/>
      <c r="F107" s="7"/>
      <c r="G107" s="14"/>
      <c r="H107" s="7"/>
    </row>
    <row r="108" spans="1:8" x14ac:dyDescent="0.25">
      <c r="A108" s="7"/>
      <c r="B108" s="7"/>
      <c r="C108" s="7"/>
      <c r="D108" s="7"/>
      <c r="E108" s="7"/>
      <c r="F108" s="7"/>
      <c r="G108" s="14"/>
      <c r="H108" s="7"/>
    </row>
    <row r="109" spans="1:8" x14ac:dyDescent="0.25">
      <c r="A109" s="7"/>
      <c r="B109" s="7"/>
      <c r="C109" s="7"/>
      <c r="D109" s="7"/>
      <c r="E109" s="7"/>
      <c r="F109" s="7"/>
      <c r="G109" s="14"/>
      <c r="H109" s="7"/>
    </row>
    <row r="110" spans="1:8" x14ac:dyDescent="0.25">
      <c r="A110" s="7"/>
      <c r="B110" s="7"/>
      <c r="C110" s="7"/>
      <c r="D110" s="7"/>
      <c r="E110" s="7"/>
      <c r="F110" s="7"/>
      <c r="G110" s="14"/>
      <c r="H110" s="7"/>
    </row>
    <row r="111" spans="1:8" x14ac:dyDescent="0.25">
      <c r="A111" s="7"/>
      <c r="B111" s="7"/>
      <c r="C111" s="7"/>
      <c r="D111" s="7"/>
      <c r="E111" s="7"/>
      <c r="F111" s="7"/>
      <c r="G111" s="14"/>
      <c r="H111" s="7"/>
    </row>
    <row r="112" spans="1:8" x14ac:dyDescent="0.25">
      <c r="A112" s="7"/>
      <c r="B112" s="7"/>
      <c r="C112" s="7"/>
      <c r="D112" s="7"/>
      <c r="E112" s="7"/>
      <c r="F112" s="7"/>
      <c r="G112" s="14"/>
      <c r="H112" s="7"/>
    </row>
    <row r="113" spans="1:8" x14ac:dyDescent="0.25">
      <c r="A113" s="7"/>
      <c r="B113" s="7"/>
      <c r="C113" s="7"/>
      <c r="D113" s="7"/>
      <c r="E113" s="7"/>
      <c r="F113" s="7"/>
      <c r="G113" s="14"/>
      <c r="H113" s="7"/>
    </row>
    <row r="114" spans="1:8" x14ac:dyDescent="0.25">
      <c r="A114" s="7"/>
      <c r="B114" s="7"/>
      <c r="C114" s="7"/>
      <c r="D114" s="7"/>
      <c r="E114" s="7"/>
      <c r="F114" s="7"/>
      <c r="G114" s="14"/>
      <c r="H114" s="7"/>
    </row>
    <row r="115" spans="1:8" x14ac:dyDescent="0.25">
      <c r="A115" s="7"/>
      <c r="B115" s="7"/>
      <c r="C115" s="7"/>
      <c r="D115" s="7"/>
      <c r="E115" s="7"/>
      <c r="F115" s="7"/>
      <c r="G115" s="14"/>
      <c r="H115" s="7"/>
    </row>
    <row r="116" spans="1:8" x14ac:dyDescent="0.25">
      <c r="A116" s="7"/>
      <c r="B116" s="7"/>
      <c r="C116" s="7"/>
      <c r="D116" s="7"/>
      <c r="E116" s="7"/>
      <c r="F116" s="7"/>
      <c r="G116" s="14"/>
      <c r="H116" s="7"/>
    </row>
    <row r="117" spans="1:8" x14ac:dyDescent="0.25">
      <c r="A117" s="7"/>
      <c r="B117" s="7"/>
      <c r="C117" s="7"/>
      <c r="D117" s="7"/>
      <c r="E117" s="7"/>
      <c r="F117" s="7"/>
      <c r="G117" s="14"/>
      <c r="H117" s="7"/>
    </row>
    <row r="118" spans="1:8" x14ac:dyDescent="0.25">
      <c r="A118" s="7"/>
      <c r="B118" s="7"/>
      <c r="C118" s="7"/>
      <c r="D118" s="7"/>
      <c r="E118" s="7"/>
      <c r="F118" s="7"/>
      <c r="G118" s="14"/>
      <c r="H118" s="7"/>
    </row>
    <row r="119" spans="1:8" x14ac:dyDescent="0.25">
      <c r="A119" s="7"/>
      <c r="B119" s="7"/>
      <c r="C119" s="7"/>
      <c r="D119" s="7"/>
      <c r="E119" s="7"/>
      <c r="F119" s="7"/>
      <c r="G119" s="14"/>
      <c r="H119" s="7"/>
    </row>
    <row r="120" spans="1:8" x14ac:dyDescent="0.25">
      <c r="A120" s="7"/>
      <c r="B120" s="7"/>
      <c r="C120" s="7"/>
      <c r="D120" s="7"/>
      <c r="E120" s="7"/>
      <c r="F120" s="7"/>
      <c r="G120" s="14"/>
      <c r="H120" s="7"/>
    </row>
    <row r="121" spans="1:8" x14ac:dyDescent="0.25">
      <c r="A121" s="7"/>
      <c r="B121" s="7"/>
      <c r="C121" s="7"/>
      <c r="D121" s="7"/>
      <c r="E121" s="7"/>
      <c r="F121" s="7"/>
      <c r="G121" s="14"/>
      <c r="H121" s="7"/>
    </row>
    <row r="122" spans="1:8" x14ac:dyDescent="0.25">
      <c r="A122" s="7"/>
      <c r="B122" s="7"/>
      <c r="C122" s="7"/>
      <c r="D122" s="7"/>
      <c r="E122" s="7"/>
      <c r="F122" s="7"/>
      <c r="G122" s="14"/>
      <c r="H122" s="7"/>
    </row>
    <row r="123" spans="1:8" x14ac:dyDescent="0.25">
      <c r="A123" s="7"/>
      <c r="B123" s="7"/>
      <c r="C123" s="7"/>
      <c r="D123" s="7"/>
      <c r="E123" s="7"/>
      <c r="F123" s="7"/>
      <c r="G123" s="14"/>
      <c r="H123" s="7"/>
    </row>
    <row r="124" spans="1:8" x14ac:dyDescent="0.25">
      <c r="A124" s="7"/>
      <c r="B124" s="7"/>
      <c r="C124" s="7"/>
      <c r="D124" s="7"/>
      <c r="E124" s="7"/>
      <c r="F124" s="7"/>
      <c r="G124" s="14"/>
      <c r="H124" s="7"/>
    </row>
    <row r="125" spans="1:8" x14ac:dyDescent="0.25">
      <c r="A125" s="7"/>
      <c r="B125" s="7"/>
      <c r="C125" s="7"/>
      <c r="D125" s="7"/>
      <c r="E125" s="7"/>
      <c r="F125" s="7"/>
      <c r="G125" s="14"/>
      <c r="H125" s="7"/>
    </row>
    <row r="126" spans="1:8" x14ac:dyDescent="0.25">
      <c r="A126" s="7"/>
      <c r="B126" s="7"/>
      <c r="C126" s="7"/>
      <c r="D126" s="7"/>
      <c r="E126" s="7"/>
      <c r="F126" s="7"/>
      <c r="G126" s="14"/>
      <c r="H126" s="7"/>
    </row>
    <row r="127" spans="1:8" x14ac:dyDescent="0.25">
      <c r="A127" s="7"/>
      <c r="B127" s="7"/>
      <c r="C127" s="7"/>
      <c r="D127" s="7"/>
      <c r="E127" s="7"/>
      <c r="F127" s="7"/>
      <c r="G127" s="14"/>
      <c r="H127" s="7"/>
    </row>
    <row r="128" spans="1:8" x14ac:dyDescent="0.25">
      <c r="A128" s="7"/>
      <c r="B128" s="7"/>
      <c r="C128" s="7"/>
      <c r="D128" s="7"/>
      <c r="E128" s="7"/>
      <c r="F128" s="7"/>
      <c r="G128" s="14"/>
      <c r="H128" s="7"/>
    </row>
    <row r="129" spans="1:8" x14ac:dyDescent="0.25">
      <c r="A129" s="7"/>
      <c r="B129" s="7"/>
      <c r="C129" s="7"/>
      <c r="D129" s="7"/>
      <c r="E129" s="7"/>
      <c r="F129" s="7"/>
      <c r="G129" s="14"/>
      <c r="H129" s="7"/>
    </row>
    <row r="130" spans="1:8" x14ac:dyDescent="0.25">
      <c r="A130" s="7"/>
      <c r="B130" s="7"/>
      <c r="C130" s="7"/>
      <c r="D130" s="7"/>
      <c r="E130" s="7"/>
      <c r="F130" s="7"/>
      <c r="G130" s="14"/>
      <c r="H130" s="7"/>
    </row>
    <row r="131" spans="1:8" x14ac:dyDescent="0.25">
      <c r="A131" s="7"/>
      <c r="B131" s="7"/>
      <c r="C131" s="7"/>
      <c r="D131" s="7"/>
      <c r="E131" s="7"/>
      <c r="F131" s="7"/>
      <c r="G131" s="14"/>
      <c r="H131" s="7"/>
    </row>
    <row r="132" spans="1:8" x14ac:dyDescent="0.25">
      <c r="A132" s="7"/>
      <c r="B132" s="7"/>
      <c r="C132" s="7"/>
      <c r="D132" s="7"/>
      <c r="E132" s="7"/>
      <c r="F132" s="7"/>
      <c r="G132" s="14"/>
      <c r="H132" s="7"/>
    </row>
    <row r="133" spans="1:8" x14ac:dyDescent="0.25">
      <c r="A133" s="7"/>
      <c r="B133" s="7"/>
      <c r="C133" s="7"/>
      <c r="D133" s="7"/>
      <c r="E133" s="7"/>
      <c r="F133" s="7"/>
      <c r="G133" s="14"/>
      <c r="H133" s="7"/>
    </row>
    <row r="134" spans="1:8" x14ac:dyDescent="0.25">
      <c r="A134" s="7"/>
      <c r="B134" s="7"/>
      <c r="C134" s="7"/>
      <c r="D134" s="7"/>
      <c r="E134" s="7"/>
      <c r="F134" s="7"/>
      <c r="G134" s="14"/>
      <c r="H134" s="7"/>
    </row>
    <row r="135" spans="1:8" x14ac:dyDescent="0.25">
      <c r="A135" s="7"/>
      <c r="B135" s="7"/>
      <c r="C135" s="7"/>
      <c r="D135" s="7"/>
      <c r="E135" s="7"/>
      <c r="F135" s="7"/>
      <c r="G135" s="14"/>
      <c r="H135" s="7"/>
    </row>
    <row r="136" spans="1:8" x14ac:dyDescent="0.25">
      <c r="A136" s="7"/>
      <c r="B136" s="7"/>
      <c r="C136" s="7"/>
      <c r="D136" s="7"/>
      <c r="E136" s="7"/>
      <c r="F136" s="7"/>
      <c r="G136" s="14"/>
      <c r="H136" s="7"/>
    </row>
    <row r="137" spans="1:8" x14ac:dyDescent="0.25">
      <c r="A137" s="7"/>
      <c r="B137" s="7"/>
      <c r="C137" s="7"/>
      <c r="D137" s="7"/>
      <c r="E137" s="7"/>
      <c r="F137" s="7"/>
      <c r="G137" s="14"/>
      <c r="H137" s="7"/>
    </row>
    <row r="138" spans="1:8" x14ac:dyDescent="0.25">
      <c r="A138" s="7"/>
      <c r="B138" s="7"/>
      <c r="C138" s="7"/>
      <c r="D138" s="7"/>
      <c r="E138" s="7"/>
      <c r="F138" s="7"/>
      <c r="G138" s="14"/>
      <c r="H138" s="7"/>
    </row>
    <row r="139" spans="1:8" x14ac:dyDescent="0.25">
      <c r="A139" s="7"/>
      <c r="B139" s="7"/>
      <c r="C139" s="7"/>
      <c r="D139" s="7"/>
      <c r="E139" s="7"/>
      <c r="F139" s="7"/>
      <c r="G139" s="14"/>
      <c r="H139" s="7"/>
    </row>
    <row r="140" spans="1:8" x14ac:dyDescent="0.25">
      <c r="A140" s="7"/>
      <c r="B140" s="7"/>
      <c r="C140" s="7"/>
      <c r="D140" s="7"/>
      <c r="E140" s="7"/>
      <c r="F140" s="7"/>
      <c r="G140" s="14"/>
      <c r="H140" s="7"/>
    </row>
    <row r="141" spans="1:8" x14ac:dyDescent="0.25">
      <c r="A141" s="7"/>
      <c r="B141" s="7"/>
      <c r="C141" s="7"/>
      <c r="D141" s="7"/>
      <c r="E141" s="7"/>
      <c r="F141" s="7"/>
      <c r="G141" s="14"/>
      <c r="H141" s="7"/>
    </row>
    <row r="142" spans="1:8" x14ac:dyDescent="0.25">
      <c r="A142" s="7"/>
      <c r="B142" s="7"/>
      <c r="C142" s="7"/>
      <c r="D142" s="7"/>
      <c r="E142" s="7"/>
      <c r="F142" s="7"/>
      <c r="G142" s="14"/>
      <c r="H142" s="7"/>
    </row>
    <row r="143" spans="1:8" x14ac:dyDescent="0.25">
      <c r="A143" s="7"/>
      <c r="B143" s="7"/>
      <c r="C143" s="7"/>
      <c r="D143" s="7"/>
      <c r="E143" s="7"/>
      <c r="F143" s="7"/>
      <c r="G143" s="14"/>
      <c r="H143" s="7"/>
    </row>
    <row r="144" spans="1:8" x14ac:dyDescent="0.25">
      <c r="A144" s="7"/>
      <c r="B144" s="7"/>
      <c r="C144" s="7"/>
      <c r="D144" s="7"/>
      <c r="E144" s="7"/>
      <c r="F144" s="7"/>
      <c r="G144" s="14"/>
      <c r="H144" s="7"/>
    </row>
    <row r="145" spans="1:8" x14ac:dyDescent="0.25">
      <c r="A145" s="7"/>
      <c r="B145" s="7"/>
      <c r="C145" s="7"/>
      <c r="D145" s="7"/>
      <c r="E145" s="7"/>
      <c r="F145" s="7"/>
      <c r="G145" s="14"/>
      <c r="H145" s="7"/>
    </row>
    <row r="146" spans="1:8" x14ac:dyDescent="0.25">
      <c r="A146" s="7"/>
      <c r="B146" s="7"/>
      <c r="C146" s="7"/>
      <c r="D146" s="7"/>
      <c r="E146" s="7"/>
      <c r="F146" s="7"/>
      <c r="G146" s="14"/>
      <c r="H146" s="7"/>
    </row>
    <row r="147" spans="1:8" x14ac:dyDescent="0.25">
      <c r="A147" s="7"/>
      <c r="B147" s="7"/>
      <c r="C147" s="7"/>
      <c r="D147" s="7"/>
      <c r="E147" s="7"/>
      <c r="F147" s="7"/>
      <c r="G147" s="14"/>
      <c r="H147" s="7"/>
    </row>
    <row r="148" spans="1:8" x14ac:dyDescent="0.25">
      <c r="A148" s="7"/>
      <c r="B148" s="7"/>
      <c r="C148" s="7"/>
      <c r="D148" s="7"/>
      <c r="E148" s="7"/>
      <c r="F148" s="7"/>
      <c r="G148" s="14"/>
      <c r="H148" s="7"/>
    </row>
    <row r="149" spans="1:8" x14ac:dyDescent="0.25">
      <c r="A149" s="7"/>
      <c r="B149" s="7"/>
      <c r="C149" s="7"/>
      <c r="D149" s="7"/>
      <c r="E149" s="7"/>
      <c r="F149" s="7"/>
      <c r="G149" s="14"/>
      <c r="H149" s="7"/>
    </row>
    <row r="150" spans="1:8" x14ac:dyDescent="0.25">
      <c r="A150" s="7"/>
      <c r="B150" s="7"/>
      <c r="C150" s="7"/>
      <c r="D150" s="7"/>
      <c r="E150" s="7"/>
      <c r="F150" s="7"/>
      <c r="G150" s="14"/>
      <c r="H150" s="7"/>
    </row>
    <row r="151" spans="1:8" x14ac:dyDescent="0.25">
      <c r="A151" s="7"/>
      <c r="B151" s="7"/>
      <c r="C151" s="7"/>
      <c r="D151" s="7"/>
      <c r="E151" s="7"/>
      <c r="F151" s="7"/>
      <c r="G151" s="14"/>
      <c r="H151" s="7"/>
    </row>
    <row r="152" spans="1:8" x14ac:dyDescent="0.25">
      <c r="A152" s="7"/>
      <c r="B152" s="7"/>
      <c r="C152" s="7"/>
      <c r="D152" s="7"/>
      <c r="E152" s="7"/>
      <c r="F152" s="7"/>
      <c r="G152" s="14"/>
      <c r="H152" s="7"/>
    </row>
    <row r="153" spans="1:8" x14ac:dyDescent="0.25">
      <c r="A153" s="7"/>
      <c r="B153" s="7"/>
      <c r="C153" s="7"/>
      <c r="D153" s="7"/>
      <c r="E153" s="7"/>
      <c r="F153" s="7"/>
      <c r="G153" s="14"/>
      <c r="H153" s="7"/>
    </row>
    <row r="154" spans="1:8" x14ac:dyDescent="0.25">
      <c r="A154" s="7"/>
      <c r="B154" s="7"/>
      <c r="C154" s="7"/>
      <c r="D154" s="7"/>
      <c r="E154" s="7"/>
      <c r="F154" s="7"/>
      <c r="G154" s="14"/>
      <c r="H154" s="7"/>
    </row>
    <row r="155" spans="1:8" x14ac:dyDescent="0.25">
      <c r="A155" s="7"/>
      <c r="B155" s="7"/>
      <c r="C155" s="7"/>
      <c r="D155" s="7"/>
      <c r="E155" s="7"/>
      <c r="F155" s="7"/>
      <c r="G155" s="14"/>
      <c r="H155" s="7"/>
    </row>
    <row r="156" spans="1:8" x14ac:dyDescent="0.25">
      <c r="A156" s="7"/>
      <c r="B156" s="7"/>
      <c r="C156" s="7"/>
      <c r="D156" s="7"/>
      <c r="E156" s="7"/>
      <c r="F156" s="7"/>
      <c r="G156" s="14"/>
      <c r="H156" s="7"/>
    </row>
    <row r="157" spans="1:8" x14ac:dyDescent="0.25">
      <c r="A157" s="7"/>
      <c r="B157" s="7"/>
      <c r="C157" s="7"/>
      <c r="D157" s="7"/>
      <c r="E157" s="7"/>
      <c r="F157" s="7"/>
      <c r="G157" s="14"/>
      <c r="H157" s="7"/>
    </row>
    <row r="158" spans="1:8" x14ac:dyDescent="0.25">
      <c r="A158" s="7"/>
      <c r="B158" s="7"/>
      <c r="C158" s="7"/>
      <c r="D158" s="7"/>
      <c r="E158" s="7"/>
      <c r="F158" s="7"/>
      <c r="G158" s="14"/>
      <c r="H158" s="7"/>
    </row>
    <row r="159" spans="1:8" x14ac:dyDescent="0.25">
      <c r="A159" s="7"/>
      <c r="B159" s="7"/>
      <c r="C159" s="7"/>
      <c r="D159" s="7"/>
      <c r="E159" s="7"/>
      <c r="F159" s="7"/>
      <c r="G159" s="14"/>
      <c r="H159" s="7"/>
    </row>
    <row r="160" spans="1:8" x14ac:dyDescent="0.25">
      <c r="A160" s="7"/>
      <c r="B160" s="7"/>
      <c r="C160" s="7"/>
      <c r="D160" s="7"/>
      <c r="E160" s="7"/>
      <c r="F160" s="7"/>
      <c r="G160" s="14"/>
      <c r="H160" s="7"/>
    </row>
    <row r="161" spans="1:8" x14ac:dyDescent="0.25">
      <c r="A161" s="7"/>
      <c r="B161" s="7"/>
      <c r="C161" s="7"/>
      <c r="D161" s="7"/>
      <c r="E161" s="7"/>
      <c r="F161" s="7"/>
      <c r="G161" s="14"/>
      <c r="H161" s="7"/>
    </row>
    <row r="162" spans="1:8" x14ac:dyDescent="0.25">
      <c r="A162" s="7"/>
      <c r="B162" s="7"/>
      <c r="C162" s="7"/>
      <c r="D162" s="7"/>
      <c r="E162" s="7"/>
      <c r="F162" s="7"/>
      <c r="G162" s="14"/>
      <c r="H162" s="7"/>
    </row>
    <row r="163" spans="1:8" x14ac:dyDescent="0.25">
      <c r="A163" s="7"/>
      <c r="B163" s="7"/>
      <c r="C163" s="7"/>
      <c r="D163" s="7"/>
      <c r="E163" s="7"/>
      <c r="F163" s="7"/>
      <c r="G163" s="14"/>
      <c r="H163" s="7"/>
    </row>
    <row r="164" spans="1:8" x14ac:dyDescent="0.25">
      <c r="A164" s="7"/>
      <c r="B164" s="7"/>
      <c r="C164" s="7"/>
      <c r="D164" s="7"/>
      <c r="E164" s="7"/>
      <c r="F164" s="7"/>
      <c r="G164" s="14"/>
      <c r="H164" s="7"/>
    </row>
    <row r="165" spans="1:8" x14ac:dyDescent="0.25">
      <c r="A165" s="7"/>
      <c r="B165" s="7"/>
      <c r="C165" s="7"/>
      <c r="D165" s="7"/>
      <c r="E165" s="7"/>
      <c r="F165" s="7"/>
      <c r="G165" s="14"/>
      <c r="H165" s="7"/>
    </row>
    <row r="166" spans="1:8" x14ac:dyDescent="0.25">
      <c r="A166" s="7"/>
      <c r="B166" s="7"/>
      <c r="C166" s="7"/>
      <c r="D166" s="7"/>
      <c r="E166" s="7"/>
      <c r="F166" s="7"/>
      <c r="G166" s="14"/>
      <c r="H166" s="7"/>
    </row>
    <row r="167" spans="1:8" x14ac:dyDescent="0.25">
      <c r="A167" s="7"/>
      <c r="B167" s="7"/>
      <c r="C167" s="7"/>
      <c r="D167" s="7"/>
      <c r="E167" s="7"/>
      <c r="F167" s="7"/>
      <c r="G167" s="14"/>
      <c r="H167" s="7"/>
    </row>
    <row r="168" spans="1:8" x14ac:dyDescent="0.25">
      <c r="A168" s="7"/>
      <c r="B168" s="7"/>
      <c r="C168" s="7"/>
      <c r="D168" s="7"/>
      <c r="E168" s="7"/>
      <c r="F168" s="7"/>
      <c r="G168" s="14"/>
      <c r="H168" s="7"/>
    </row>
    <row r="169" spans="1:8" x14ac:dyDescent="0.25">
      <c r="A169" s="7"/>
      <c r="B169" s="7"/>
      <c r="C169" s="7"/>
      <c r="D169" s="7"/>
      <c r="E169" s="7"/>
      <c r="F169" s="7"/>
      <c r="G169" s="14"/>
      <c r="H169" s="7"/>
    </row>
    <row r="170" spans="1:8" x14ac:dyDescent="0.25">
      <c r="A170" s="7"/>
      <c r="B170" s="7"/>
      <c r="C170" s="7"/>
      <c r="D170" s="7"/>
      <c r="E170" s="7"/>
      <c r="F170" s="7"/>
      <c r="G170" s="14"/>
      <c r="H170" s="7"/>
    </row>
    <row r="171" spans="1:8" x14ac:dyDescent="0.25">
      <c r="A171" s="7"/>
      <c r="B171" s="7"/>
      <c r="C171" s="7"/>
      <c r="D171" s="7"/>
      <c r="E171" s="7"/>
      <c r="F171" s="7"/>
      <c r="G171" s="14"/>
      <c r="H171" s="7"/>
    </row>
    <row r="172" spans="1:8" x14ac:dyDescent="0.25">
      <c r="A172" s="7"/>
      <c r="B172" s="7"/>
      <c r="C172" s="7"/>
      <c r="D172" s="7"/>
      <c r="E172" s="7"/>
      <c r="F172" s="7"/>
      <c r="G172" s="14"/>
      <c r="H172" s="7"/>
    </row>
    <row r="173" spans="1:8" x14ac:dyDescent="0.25">
      <c r="A173" s="7"/>
      <c r="B173" s="7"/>
      <c r="C173" s="7"/>
      <c r="D173" s="7"/>
      <c r="E173" s="7"/>
      <c r="F173" s="7"/>
      <c r="G173" s="14"/>
      <c r="H173" s="7"/>
    </row>
    <row r="174" spans="1:8" x14ac:dyDescent="0.25">
      <c r="A174" s="7"/>
      <c r="B174" s="7"/>
      <c r="C174" s="7"/>
      <c r="D174" s="7"/>
      <c r="E174" s="7"/>
      <c r="F174" s="7"/>
      <c r="G174" s="14"/>
      <c r="H174" s="7"/>
    </row>
    <row r="175" spans="1:8" x14ac:dyDescent="0.25">
      <c r="A175" s="7"/>
      <c r="B175" s="7"/>
      <c r="C175" s="7"/>
      <c r="D175" s="7"/>
      <c r="E175" s="7"/>
      <c r="F175" s="7"/>
      <c r="G175" s="14"/>
      <c r="H175" s="7"/>
    </row>
    <row r="176" spans="1:8" x14ac:dyDescent="0.25">
      <c r="A176" s="7"/>
      <c r="B176" s="7"/>
      <c r="C176" s="7"/>
      <c r="D176" s="7"/>
      <c r="E176" s="7"/>
      <c r="F176" s="7"/>
      <c r="G176" s="14"/>
      <c r="H176" s="7"/>
    </row>
    <row r="177" spans="1:8" x14ac:dyDescent="0.25">
      <c r="A177" s="7"/>
      <c r="B177" s="7"/>
      <c r="C177" s="7"/>
      <c r="D177" s="7"/>
      <c r="E177" s="7"/>
      <c r="F177" s="7"/>
      <c r="G177" s="14"/>
      <c r="H177" s="7"/>
    </row>
    <row r="178" spans="1:8" x14ac:dyDescent="0.25">
      <c r="A178" s="7"/>
      <c r="B178" s="7"/>
      <c r="C178" s="7"/>
      <c r="D178" s="7"/>
      <c r="E178" s="7"/>
      <c r="F178" s="7"/>
      <c r="G178" s="14"/>
      <c r="H178" s="7"/>
    </row>
    <row r="179" spans="1:8" x14ac:dyDescent="0.25">
      <c r="A179" s="7"/>
      <c r="B179" s="7"/>
      <c r="C179" s="7"/>
      <c r="D179" s="7"/>
      <c r="E179" s="7"/>
      <c r="F179" s="7"/>
      <c r="G179" s="14"/>
      <c r="H179" s="7"/>
    </row>
    <row r="180" spans="1:8" x14ac:dyDescent="0.25">
      <c r="A180" s="7"/>
      <c r="B180" s="7"/>
      <c r="C180" s="7"/>
      <c r="D180" s="7"/>
      <c r="E180" s="7"/>
      <c r="F180" s="7"/>
      <c r="G180" s="14"/>
      <c r="H180" s="7"/>
    </row>
    <row r="181" spans="1:8" x14ac:dyDescent="0.25">
      <c r="A181" s="7"/>
      <c r="B181" s="7"/>
      <c r="C181" s="7"/>
      <c r="D181" s="7"/>
      <c r="E181" s="7"/>
      <c r="F181" s="7"/>
      <c r="G181" s="14"/>
      <c r="H181" s="7"/>
    </row>
    <row r="182" spans="1:8" x14ac:dyDescent="0.25">
      <c r="A182" s="7"/>
      <c r="B182" s="7"/>
      <c r="C182" s="7"/>
      <c r="D182" s="7"/>
      <c r="E182" s="7"/>
      <c r="F182" s="7"/>
      <c r="G182" s="14"/>
      <c r="H182" s="7"/>
    </row>
    <row r="183" spans="1:8" x14ac:dyDescent="0.25">
      <c r="A183" s="7"/>
      <c r="B183" s="7"/>
      <c r="C183" s="7"/>
      <c r="D183" s="7"/>
      <c r="E183" s="7"/>
      <c r="F183" s="7"/>
      <c r="G183" s="14"/>
      <c r="H183" s="7"/>
    </row>
    <row r="184" spans="1:8" x14ac:dyDescent="0.25">
      <c r="A184" s="7"/>
      <c r="B184" s="7"/>
      <c r="C184" s="7"/>
      <c r="D184" s="7"/>
      <c r="E184" s="7"/>
      <c r="F184" s="7"/>
      <c r="G184" s="14"/>
      <c r="H184" s="7"/>
    </row>
    <row r="185" spans="1:8" x14ac:dyDescent="0.25">
      <c r="A185" s="7"/>
      <c r="B185" s="7"/>
      <c r="C185" s="7"/>
      <c r="D185" s="7"/>
      <c r="E185" s="7"/>
      <c r="F185" s="7"/>
      <c r="G185" s="14"/>
      <c r="H185" s="7"/>
    </row>
    <row r="186" spans="1:8" x14ac:dyDescent="0.25">
      <c r="A186" s="7"/>
      <c r="B186" s="7"/>
      <c r="C186" s="7"/>
      <c r="D186" s="7"/>
      <c r="E186" s="7"/>
      <c r="F186" s="7"/>
      <c r="G186" s="14"/>
      <c r="H186" s="7"/>
    </row>
    <row r="187" spans="1:8" x14ac:dyDescent="0.25">
      <c r="A187" s="7"/>
      <c r="B187" s="7"/>
      <c r="C187" s="7"/>
      <c r="D187" s="7"/>
      <c r="E187" s="7"/>
      <c r="F187" s="7"/>
      <c r="G187" s="14"/>
      <c r="H187" s="7"/>
    </row>
    <row r="188" spans="1:8" x14ac:dyDescent="0.25">
      <c r="A188" s="7"/>
      <c r="B188" s="7"/>
      <c r="C188" s="7"/>
      <c r="D188" s="7"/>
      <c r="E188" s="7"/>
      <c r="F188" s="7"/>
      <c r="G188" s="14"/>
      <c r="H188" s="7"/>
    </row>
    <row r="189" spans="1:8" x14ac:dyDescent="0.25">
      <c r="A189" s="7"/>
      <c r="B189" s="7"/>
      <c r="C189" s="7"/>
      <c r="D189" s="7"/>
      <c r="E189" s="7"/>
      <c r="F189" s="7"/>
      <c r="G189" s="14"/>
      <c r="H189" s="7"/>
    </row>
    <row r="190" spans="1:8" x14ac:dyDescent="0.25">
      <c r="A190" s="7"/>
      <c r="B190" s="7"/>
      <c r="C190" s="7"/>
      <c r="D190" s="7"/>
      <c r="E190" s="7"/>
      <c r="F190" s="7"/>
      <c r="G190" s="14"/>
      <c r="H190" s="7"/>
    </row>
    <row r="191" spans="1:8" x14ac:dyDescent="0.25">
      <c r="A191" s="7"/>
      <c r="B191" s="7"/>
      <c r="C191" s="7"/>
      <c r="D191" s="7"/>
      <c r="E191" s="7"/>
      <c r="F191" s="7"/>
      <c r="G191" s="14"/>
      <c r="H191" s="7"/>
    </row>
    <row r="192" spans="1:8" x14ac:dyDescent="0.25">
      <c r="A192" s="7"/>
      <c r="B192" s="7"/>
      <c r="C192" s="7"/>
      <c r="D192" s="7"/>
      <c r="E192" s="7"/>
      <c r="F192" s="7"/>
      <c r="G192" s="14"/>
      <c r="H192" s="7"/>
    </row>
    <row r="193" spans="1:8" x14ac:dyDescent="0.25">
      <c r="A193" s="7"/>
      <c r="B193" s="7"/>
      <c r="C193" s="7"/>
      <c r="D193" s="7"/>
      <c r="E193" s="7"/>
      <c r="F193" s="7"/>
      <c r="G193" s="14"/>
      <c r="H193" s="7"/>
    </row>
    <row r="194" spans="1:8" x14ac:dyDescent="0.25">
      <c r="A194" s="7"/>
      <c r="B194" s="7"/>
      <c r="C194" s="7"/>
      <c r="D194" s="7"/>
      <c r="E194" s="7"/>
      <c r="F194" s="7"/>
      <c r="G194" s="14"/>
      <c r="H194" s="7"/>
    </row>
    <row r="195" spans="1:8" x14ac:dyDescent="0.25">
      <c r="A195" s="7"/>
      <c r="B195" s="7"/>
      <c r="C195" s="7"/>
      <c r="D195" s="7"/>
      <c r="E195" s="7"/>
      <c r="F195" s="7"/>
      <c r="G195" s="14"/>
      <c r="H195" s="7"/>
    </row>
    <row r="196" spans="1:8" x14ac:dyDescent="0.25">
      <c r="A196" s="7"/>
      <c r="B196" s="7"/>
      <c r="C196" s="7"/>
      <c r="D196" s="7"/>
      <c r="E196" s="7"/>
      <c r="F196" s="7"/>
      <c r="G196" s="14"/>
      <c r="H196" s="7"/>
    </row>
    <row r="197" spans="1:8" x14ac:dyDescent="0.25">
      <c r="A197" s="7"/>
      <c r="B197" s="7"/>
      <c r="C197" s="7"/>
      <c r="D197" s="7"/>
      <c r="E197" s="7"/>
      <c r="F197" s="7"/>
      <c r="G197" s="14"/>
      <c r="H197" s="7"/>
    </row>
    <row r="198" spans="1:8" x14ac:dyDescent="0.25">
      <c r="A198" s="7"/>
      <c r="B198" s="7"/>
      <c r="C198" s="7"/>
      <c r="D198" s="7"/>
      <c r="E198" s="7"/>
      <c r="F198" s="7"/>
      <c r="G198" s="14"/>
      <c r="H198" s="7"/>
    </row>
    <row r="199" spans="1:8" x14ac:dyDescent="0.25">
      <c r="A199" s="7"/>
      <c r="B199" s="7"/>
      <c r="C199" s="7"/>
      <c r="D199" s="7"/>
      <c r="E199" s="7"/>
      <c r="F199" s="7"/>
      <c r="G199" s="14"/>
      <c r="H199" s="7"/>
    </row>
    <row r="200" spans="1:8" x14ac:dyDescent="0.25">
      <c r="A200" s="7"/>
      <c r="B200" s="7"/>
      <c r="C200" s="7"/>
      <c r="D200" s="7"/>
      <c r="E200" s="7"/>
      <c r="F200" s="7"/>
      <c r="G200" s="14"/>
      <c r="H200" s="7"/>
    </row>
    <row r="201" spans="1:8" x14ac:dyDescent="0.25">
      <c r="A201" s="7"/>
      <c r="B201" s="7"/>
      <c r="C201" s="7"/>
      <c r="D201" s="7"/>
      <c r="E201" s="7"/>
      <c r="F201" s="7"/>
      <c r="G201" s="14"/>
      <c r="H201" s="7"/>
    </row>
    <row r="202" spans="1:8" x14ac:dyDescent="0.25">
      <c r="A202" s="7"/>
      <c r="B202" s="7"/>
      <c r="C202" s="7"/>
      <c r="D202" s="7"/>
      <c r="E202" s="7"/>
      <c r="F202" s="7"/>
      <c r="G202" s="14"/>
      <c r="H202" s="7"/>
    </row>
    <row r="203" spans="1:8" x14ac:dyDescent="0.25">
      <c r="A203" s="7"/>
      <c r="B203" s="7"/>
      <c r="C203" s="7"/>
      <c r="D203" s="7"/>
      <c r="E203" s="7"/>
      <c r="F203" s="7"/>
      <c r="G203" s="14"/>
      <c r="H203" s="7"/>
    </row>
    <row r="204" spans="1:8" x14ac:dyDescent="0.25">
      <c r="A204" s="7"/>
      <c r="B204" s="7"/>
      <c r="C204" s="7"/>
      <c r="D204" s="7"/>
      <c r="E204" s="7"/>
      <c r="F204" s="7"/>
      <c r="G204" s="14"/>
      <c r="H204" s="7"/>
    </row>
    <row r="205" spans="1:8" x14ac:dyDescent="0.25">
      <c r="A205" s="7"/>
      <c r="B205" s="7"/>
      <c r="C205" s="7"/>
      <c r="D205" s="7"/>
      <c r="E205" s="7"/>
      <c r="F205" s="7"/>
      <c r="G205" s="14"/>
      <c r="H205" s="7"/>
    </row>
    <row r="206" spans="1:8" x14ac:dyDescent="0.25">
      <c r="A206" s="7"/>
      <c r="B206" s="7"/>
      <c r="C206" s="7"/>
      <c r="D206" s="7"/>
      <c r="E206" s="7"/>
      <c r="F206" s="7"/>
      <c r="G206" s="14"/>
      <c r="H206" s="7"/>
    </row>
    <row r="207" spans="1:8" x14ac:dyDescent="0.25">
      <c r="A207" s="7"/>
      <c r="B207" s="7"/>
      <c r="C207" s="7"/>
      <c r="D207" s="7"/>
      <c r="E207" s="7"/>
      <c r="F207" s="7"/>
      <c r="G207" s="14"/>
      <c r="H207" s="7"/>
    </row>
    <row r="208" spans="1:8" x14ac:dyDescent="0.25">
      <c r="A208" s="7"/>
      <c r="B208" s="7"/>
      <c r="C208" s="7"/>
      <c r="D208" s="7"/>
      <c r="E208" s="7"/>
      <c r="F208" s="7"/>
      <c r="G208" s="14"/>
      <c r="H208" s="7"/>
    </row>
    <row r="209" spans="1:8" x14ac:dyDescent="0.25">
      <c r="A209" s="7"/>
      <c r="B209" s="7"/>
      <c r="C209" s="7"/>
      <c r="D209" s="7"/>
      <c r="E209" s="7"/>
      <c r="F209" s="7"/>
      <c r="G209" s="14"/>
      <c r="H209" s="7"/>
    </row>
    <row r="210" spans="1:8" x14ac:dyDescent="0.25">
      <c r="A210" s="7"/>
      <c r="B210" s="7"/>
      <c r="C210" s="7"/>
      <c r="D210" s="7"/>
      <c r="E210" s="7"/>
      <c r="F210" s="7"/>
      <c r="G210" s="14"/>
      <c r="H210" s="7"/>
    </row>
    <row r="211" spans="1:8" x14ac:dyDescent="0.25">
      <c r="A211" s="7"/>
      <c r="B211" s="7"/>
      <c r="C211" s="7"/>
      <c r="D211" s="7"/>
      <c r="E211" s="7"/>
      <c r="F211" s="7"/>
      <c r="G211" s="14"/>
      <c r="H211" s="7"/>
    </row>
    <row r="212" spans="1:8" x14ac:dyDescent="0.25">
      <c r="A212" s="7"/>
      <c r="B212" s="7"/>
      <c r="C212" s="7"/>
      <c r="D212" s="7"/>
      <c r="E212" s="7"/>
      <c r="F212" s="7"/>
      <c r="G212" s="14"/>
      <c r="H212" s="7"/>
    </row>
    <row r="213" spans="1:8" x14ac:dyDescent="0.25">
      <c r="A213" s="7"/>
      <c r="B213" s="7"/>
      <c r="C213" s="7"/>
      <c r="D213" s="7"/>
      <c r="E213" s="7"/>
      <c r="F213" s="7"/>
      <c r="G213" s="14"/>
      <c r="H213" s="7"/>
    </row>
    <row r="214" spans="1:8" x14ac:dyDescent="0.25">
      <c r="A214" s="7"/>
      <c r="B214" s="7"/>
      <c r="C214" s="7"/>
      <c r="D214" s="7"/>
      <c r="E214" s="7"/>
      <c r="F214" s="7"/>
      <c r="G214" s="14"/>
      <c r="H214" s="7"/>
    </row>
    <row r="215" spans="1:8" x14ac:dyDescent="0.25">
      <c r="A215" s="7"/>
      <c r="B215" s="7"/>
      <c r="C215" s="7"/>
      <c r="D215" s="7"/>
      <c r="E215" s="7"/>
      <c r="F215" s="7"/>
      <c r="G215" s="14"/>
      <c r="H215" s="7"/>
    </row>
    <row r="216" spans="1:8" x14ac:dyDescent="0.25">
      <c r="A216" s="7"/>
      <c r="B216" s="7"/>
      <c r="C216" s="7"/>
      <c r="D216" s="7"/>
      <c r="E216" s="7"/>
      <c r="F216" s="7"/>
      <c r="G216" s="14"/>
      <c r="H216" s="7"/>
    </row>
    <row r="217" spans="1:8" x14ac:dyDescent="0.25">
      <c r="A217" s="7"/>
      <c r="B217" s="7"/>
      <c r="C217" s="7"/>
      <c r="D217" s="7"/>
      <c r="E217" s="7"/>
      <c r="F217" s="7"/>
      <c r="G217" s="14"/>
      <c r="H217" s="7"/>
    </row>
    <row r="218" spans="1:8" x14ac:dyDescent="0.25">
      <c r="A218" s="7"/>
      <c r="B218" s="7"/>
      <c r="C218" s="7"/>
      <c r="D218" s="7"/>
      <c r="E218" s="7"/>
      <c r="F218" s="7"/>
      <c r="G218" s="14"/>
      <c r="H218" s="7"/>
    </row>
    <row r="219" spans="1:8" x14ac:dyDescent="0.25">
      <c r="A219" s="7"/>
      <c r="B219" s="7"/>
      <c r="C219" s="7"/>
      <c r="D219" s="7"/>
      <c r="E219" s="7"/>
      <c r="F219" s="7"/>
      <c r="G219" s="14"/>
      <c r="H219" s="7"/>
    </row>
    <row r="220" spans="1:8" x14ac:dyDescent="0.25">
      <c r="A220" s="7"/>
      <c r="B220" s="7"/>
      <c r="C220" s="7"/>
      <c r="D220" s="7"/>
      <c r="E220" s="7"/>
      <c r="F220" s="7"/>
      <c r="G220" s="14"/>
      <c r="H220" s="7"/>
    </row>
    <row r="221" spans="1:8" x14ac:dyDescent="0.25">
      <c r="A221" s="7"/>
      <c r="B221" s="7"/>
      <c r="C221" s="7"/>
      <c r="D221" s="7"/>
      <c r="E221" s="7"/>
      <c r="F221" s="7"/>
      <c r="G221" s="14"/>
      <c r="H221" s="7"/>
    </row>
    <row r="222" spans="1:8" x14ac:dyDescent="0.25">
      <c r="A222" s="7"/>
      <c r="B222" s="7"/>
      <c r="C222" s="7"/>
      <c r="D222" s="7"/>
      <c r="E222" s="7"/>
      <c r="F222" s="7"/>
      <c r="G222" s="14"/>
      <c r="H222" s="7"/>
    </row>
    <row r="223" spans="1:8" x14ac:dyDescent="0.25">
      <c r="A223" s="7"/>
      <c r="B223" s="7"/>
      <c r="C223" s="7"/>
      <c r="D223" s="7"/>
      <c r="E223" s="7"/>
      <c r="F223" s="7"/>
      <c r="G223" s="14"/>
      <c r="H223" s="7"/>
    </row>
    <row r="224" spans="1:8" x14ac:dyDescent="0.25">
      <c r="A224" s="7"/>
      <c r="B224" s="7"/>
      <c r="C224" s="7"/>
      <c r="D224" s="7"/>
      <c r="E224" s="7"/>
      <c r="F224" s="7"/>
      <c r="G224" s="14"/>
      <c r="H224" s="7"/>
    </row>
    <row r="225" spans="1:8" x14ac:dyDescent="0.25">
      <c r="A225" s="7"/>
      <c r="B225" s="7"/>
      <c r="C225" s="7"/>
      <c r="D225" s="7"/>
      <c r="E225" s="7"/>
      <c r="F225" s="7"/>
      <c r="G225" s="14"/>
      <c r="H225" s="7"/>
    </row>
    <row r="226" spans="1:8" x14ac:dyDescent="0.25">
      <c r="A226" s="7"/>
      <c r="B226" s="7"/>
      <c r="C226" s="7"/>
      <c r="D226" s="7"/>
      <c r="E226" s="7"/>
      <c r="F226" s="7"/>
      <c r="G226" s="14"/>
      <c r="H226" s="7"/>
    </row>
    <row r="227" spans="1:8" x14ac:dyDescent="0.25">
      <c r="A227" s="7"/>
      <c r="B227" s="7"/>
      <c r="C227" s="7"/>
      <c r="D227" s="7"/>
      <c r="E227" s="7"/>
      <c r="F227" s="7"/>
      <c r="G227" s="14"/>
      <c r="H227" s="7"/>
    </row>
    <row r="228" spans="1:8" x14ac:dyDescent="0.25">
      <c r="A228" s="7"/>
      <c r="B228" s="7"/>
      <c r="C228" s="7"/>
      <c r="D228" s="7"/>
      <c r="E228" s="7"/>
      <c r="F228" s="7"/>
      <c r="G228" s="14"/>
      <c r="H228" s="7"/>
    </row>
    <row r="229" spans="1:8" x14ac:dyDescent="0.25">
      <c r="A229" s="7"/>
      <c r="B229" s="7"/>
      <c r="C229" s="7"/>
      <c r="D229" s="7"/>
      <c r="E229" s="7"/>
      <c r="F229" s="7"/>
      <c r="G229" s="14"/>
      <c r="H229" s="7"/>
    </row>
    <row r="230" spans="1:8" x14ac:dyDescent="0.25">
      <c r="A230" s="7"/>
      <c r="B230" s="7"/>
      <c r="C230" s="7"/>
      <c r="D230" s="7"/>
      <c r="E230" s="7"/>
      <c r="F230" s="7"/>
      <c r="G230" s="14"/>
      <c r="H230" s="7"/>
    </row>
    <row r="231" spans="1:8" x14ac:dyDescent="0.25">
      <c r="A231" s="7"/>
      <c r="B231" s="7"/>
      <c r="C231" s="7"/>
      <c r="D231" s="7"/>
      <c r="E231" s="7"/>
      <c r="F231" s="7"/>
      <c r="G231" s="14"/>
      <c r="H231" s="7"/>
    </row>
    <row r="232" spans="1:8" x14ac:dyDescent="0.25">
      <c r="A232" s="7"/>
      <c r="B232" s="7"/>
      <c r="C232" s="7"/>
      <c r="D232" s="7"/>
      <c r="E232" s="7"/>
      <c r="F232" s="7"/>
      <c r="G232" s="14"/>
      <c r="H232" s="7"/>
    </row>
    <row r="233" spans="1:8" x14ac:dyDescent="0.25">
      <c r="A233" s="7"/>
      <c r="B233" s="7"/>
      <c r="C233" s="7"/>
      <c r="D233" s="7"/>
      <c r="E233" s="7"/>
      <c r="F233" s="7"/>
      <c r="G233" s="14"/>
      <c r="H233" s="7"/>
    </row>
    <row r="234" spans="1:8" x14ac:dyDescent="0.25">
      <c r="A234" s="7"/>
      <c r="B234" s="7"/>
      <c r="C234" s="7"/>
      <c r="D234" s="7"/>
      <c r="E234" s="7"/>
      <c r="F234" s="7"/>
      <c r="G234" s="14"/>
      <c r="H234" s="7"/>
    </row>
    <row r="235" spans="1:8" x14ac:dyDescent="0.25">
      <c r="A235" s="7"/>
      <c r="B235" s="7"/>
      <c r="C235" s="7"/>
      <c r="D235" s="7"/>
      <c r="E235" s="7"/>
      <c r="F235" s="7"/>
      <c r="G235" s="14"/>
      <c r="H235" s="7"/>
    </row>
    <row r="236" spans="1:8" x14ac:dyDescent="0.25">
      <c r="A236" s="7"/>
      <c r="B236" s="7"/>
      <c r="C236" s="7"/>
      <c r="D236" s="7"/>
      <c r="E236" s="7"/>
      <c r="F236" s="7"/>
      <c r="G236" s="14"/>
      <c r="H236" s="7"/>
    </row>
    <row r="237" spans="1:8" x14ac:dyDescent="0.25">
      <c r="A237" s="7"/>
      <c r="B237" s="7"/>
      <c r="C237" s="7"/>
      <c r="D237" s="7"/>
      <c r="E237" s="7"/>
      <c r="F237" s="7"/>
      <c r="G237" s="14"/>
      <c r="H237" s="7"/>
    </row>
    <row r="238" spans="1:8" x14ac:dyDescent="0.25">
      <c r="A238" s="7"/>
      <c r="B238" s="7"/>
      <c r="C238" s="7"/>
      <c r="D238" s="7"/>
      <c r="E238" s="7"/>
      <c r="F238" s="7"/>
      <c r="G238" s="14"/>
      <c r="H238" s="7"/>
    </row>
    <row r="239" spans="1:8" x14ac:dyDescent="0.25">
      <c r="A239" s="7"/>
      <c r="B239" s="7"/>
      <c r="C239" s="7"/>
      <c r="D239" s="7"/>
      <c r="E239" s="7"/>
      <c r="F239" s="7"/>
      <c r="G239" s="14"/>
      <c r="H239" s="7"/>
    </row>
    <row r="240" spans="1:8" x14ac:dyDescent="0.25">
      <c r="A240" s="7"/>
      <c r="B240" s="7"/>
      <c r="C240" s="7"/>
      <c r="D240" s="7"/>
      <c r="E240" s="7"/>
      <c r="F240" s="7"/>
      <c r="G240" s="14"/>
      <c r="H240" s="7"/>
    </row>
    <row r="241" spans="1:8" x14ac:dyDescent="0.25">
      <c r="A241" s="7"/>
      <c r="B241" s="7"/>
      <c r="C241" s="7"/>
      <c r="D241" s="7"/>
      <c r="E241" s="7"/>
      <c r="F241" s="7"/>
      <c r="G241" s="14"/>
      <c r="H241" s="7"/>
    </row>
    <row r="242" spans="1:8" x14ac:dyDescent="0.25">
      <c r="A242" s="7"/>
      <c r="B242" s="7"/>
      <c r="C242" s="7"/>
      <c r="D242" s="7"/>
      <c r="E242" s="7"/>
      <c r="F242" s="7"/>
      <c r="G242" s="14"/>
      <c r="H242" s="7"/>
    </row>
    <row r="243" spans="1:8" x14ac:dyDescent="0.25">
      <c r="A243" s="7"/>
      <c r="B243" s="7"/>
      <c r="C243" s="7"/>
      <c r="D243" s="7"/>
      <c r="E243" s="7"/>
      <c r="F243" s="7"/>
      <c r="G243" s="14"/>
      <c r="H243" s="7"/>
    </row>
    <row r="244" spans="1:8" x14ac:dyDescent="0.25">
      <c r="A244" s="7"/>
      <c r="B244" s="7"/>
      <c r="C244" s="7"/>
      <c r="D244" s="7"/>
      <c r="E244" s="7"/>
      <c r="F244" s="7"/>
      <c r="G244" s="14"/>
      <c r="H244" s="7"/>
    </row>
    <row r="245" spans="1:8" x14ac:dyDescent="0.25">
      <c r="A245" s="7"/>
      <c r="B245" s="7"/>
      <c r="C245" s="7"/>
      <c r="D245" s="7"/>
      <c r="E245" s="7"/>
      <c r="F245" s="7"/>
      <c r="G245" s="14"/>
      <c r="H245" s="7"/>
    </row>
    <row r="246" spans="1:8" x14ac:dyDescent="0.25">
      <c r="A246" s="7"/>
      <c r="B246" s="7"/>
      <c r="C246" s="7"/>
      <c r="D246" s="7"/>
      <c r="E246" s="7"/>
      <c r="F246" s="7"/>
      <c r="G246" s="14"/>
      <c r="H246" s="7"/>
    </row>
    <row r="247" spans="1:8" x14ac:dyDescent="0.25">
      <c r="A247" s="7"/>
      <c r="B247" s="7"/>
      <c r="C247" s="7"/>
      <c r="D247" s="7"/>
      <c r="E247" s="7"/>
      <c r="F247" s="7"/>
      <c r="G247" s="14"/>
      <c r="H247" s="7"/>
    </row>
    <row r="248" spans="1:8" x14ac:dyDescent="0.25">
      <c r="A248" s="7"/>
      <c r="B248" s="7"/>
      <c r="C248" s="7"/>
      <c r="D248" s="7"/>
      <c r="E248" s="7"/>
      <c r="F248" s="7"/>
      <c r="G248" s="14"/>
      <c r="H248" s="7"/>
    </row>
    <row r="249" spans="1:8" x14ac:dyDescent="0.25">
      <c r="A249" s="7"/>
      <c r="B249" s="7"/>
      <c r="C249" s="7"/>
      <c r="D249" s="7"/>
      <c r="E249" s="7"/>
      <c r="F249" s="7"/>
      <c r="G249" s="14"/>
      <c r="H249" s="7"/>
    </row>
    <row r="250" spans="1:8" x14ac:dyDescent="0.25">
      <c r="A250" s="7"/>
      <c r="B250" s="7"/>
      <c r="C250" s="7"/>
      <c r="D250" s="7"/>
      <c r="E250" s="7"/>
      <c r="F250" s="7"/>
      <c r="G250" s="14"/>
      <c r="H250" s="7"/>
    </row>
    <row r="251" spans="1:8" x14ac:dyDescent="0.25">
      <c r="A251" s="7"/>
      <c r="B251" s="7"/>
      <c r="C251" s="7"/>
      <c r="D251" s="7"/>
      <c r="E251" s="7"/>
      <c r="F251" s="7"/>
      <c r="G251" s="14"/>
      <c r="H251" s="7"/>
    </row>
    <row r="252" spans="1:8" x14ac:dyDescent="0.25">
      <c r="A252" s="7"/>
      <c r="B252" s="7"/>
      <c r="C252" s="7"/>
      <c r="D252" s="7"/>
      <c r="E252" s="7"/>
      <c r="F252" s="7"/>
      <c r="G252" s="14"/>
      <c r="H252" s="7"/>
    </row>
    <row r="253" spans="1:8" x14ac:dyDescent="0.25">
      <c r="A253" s="7"/>
      <c r="B253" s="7"/>
      <c r="C253" s="7"/>
      <c r="D253" s="7"/>
      <c r="E253" s="7"/>
      <c r="F253" s="7"/>
      <c r="G253" s="14"/>
      <c r="H253" s="7"/>
    </row>
    <row r="254" spans="1:8" x14ac:dyDescent="0.25">
      <c r="A254" s="7"/>
      <c r="B254" s="7"/>
      <c r="C254" s="7"/>
      <c r="D254" s="7"/>
      <c r="E254" s="7"/>
      <c r="F254" s="7"/>
      <c r="G254" s="14"/>
      <c r="H254" s="7"/>
    </row>
    <row r="255" spans="1:8" x14ac:dyDescent="0.25">
      <c r="A255" s="7"/>
      <c r="B255" s="7"/>
      <c r="C255" s="7"/>
      <c r="D255" s="7"/>
      <c r="E255" s="7"/>
      <c r="F255" s="7"/>
      <c r="G255" s="14"/>
      <c r="H255" s="7"/>
    </row>
    <row r="256" spans="1:8" x14ac:dyDescent="0.25">
      <c r="A256" s="7"/>
      <c r="B256" s="7"/>
      <c r="C256" s="7"/>
      <c r="D256" s="7"/>
      <c r="E256" s="7"/>
      <c r="F256" s="7"/>
      <c r="G256" s="14"/>
      <c r="H256" s="7"/>
    </row>
    <row r="257" spans="1:8" x14ac:dyDescent="0.25">
      <c r="A257" s="7"/>
      <c r="B257" s="7"/>
      <c r="C257" s="7"/>
      <c r="D257" s="7"/>
      <c r="E257" s="7"/>
      <c r="F257" s="7"/>
      <c r="G257" s="14"/>
      <c r="H257" s="7"/>
    </row>
    <row r="258" spans="1:8" x14ac:dyDescent="0.25">
      <c r="A258" s="7"/>
      <c r="B258" s="7"/>
      <c r="C258" s="7"/>
      <c r="D258" s="7"/>
      <c r="E258" s="7"/>
      <c r="F258" s="7"/>
      <c r="G258" s="14"/>
      <c r="H258" s="7"/>
    </row>
    <row r="259" spans="1:8" x14ac:dyDescent="0.25">
      <c r="A259" s="7"/>
      <c r="B259" s="7"/>
      <c r="C259" s="7"/>
      <c r="D259" s="7"/>
      <c r="E259" s="7"/>
      <c r="F259" s="7"/>
      <c r="G259" s="14"/>
      <c r="H259" s="7"/>
    </row>
    <row r="260" spans="1:8" x14ac:dyDescent="0.25">
      <c r="A260" s="7"/>
      <c r="B260" s="7"/>
      <c r="C260" s="7"/>
      <c r="D260" s="7"/>
      <c r="E260" s="7"/>
      <c r="F260" s="7"/>
      <c r="G260" s="14"/>
      <c r="H260" s="7"/>
    </row>
    <row r="261" spans="1:8" x14ac:dyDescent="0.25">
      <c r="A261" s="7"/>
      <c r="B261" s="7"/>
      <c r="C261" s="7"/>
      <c r="D261" s="7"/>
      <c r="E261" s="7"/>
      <c r="F261" s="7"/>
      <c r="G261" s="14"/>
      <c r="H261" s="7"/>
    </row>
    <row r="262" spans="1:8" x14ac:dyDescent="0.25">
      <c r="A262" s="7"/>
      <c r="B262" s="7"/>
      <c r="C262" s="7"/>
      <c r="D262" s="7"/>
      <c r="E262" s="7"/>
      <c r="F262" s="7"/>
      <c r="G262" s="14"/>
      <c r="H262" s="7"/>
    </row>
    <row r="263" spans="1:8" x14ac:dyDescent="0.25">
      <c r="A263" s="7"/>
      <c r="B263" s="7"/>
      <c r="C263" s="7"/>
      <c r="D263" s="7"/>
      <c r="E263" s="7"/>
      <c r="F263" s="7"/>
      <c r="G263" s="14"/>
      <c r="H263" s="7"/>
    </row>
    <row r="264" spans="1:8" x14ac:dyDescent="0.25">
      <c r="A264" s="7"/>
      <c r="B264" s="7"/>
      <c r="C264" s="7"/>
      <c r="D264" s="7"/>
      <c r="E264" s="7"/>
      <c r="F264" s="7"/>
      <c r="G264" s="14"/>
      <c r="H264" s="7"/>
    </row>
    <row r="265" spans="1:8" x14ac:dyDescent="0.25">
      <c r="A265" s="7"/>
      <c r="B265" s="7"/>
      <c r="C265" s="7"/>
      <c r="D265" s="7"/>
      <c r="E265" s="7"/>
      <c r="F265" s="7"/>
      <c r="G265" s="14"/>
      <c r="H265" s="7"/>
    </row>
    <row r="266" spans="1:8" x14ac:dyDescent="0.25">
      <c r="A266" s="7"/>
      <c r="B266" s="7"/>
      <c r="C266" s="7"/>
      <c r="D266" s="7"/>
      <c r="E266" s="7"/>
      <c r="F266" s="7"/>
      <c r="G266" s="14"/>
      <c r="H266" s="7"/>
    </row>
    <row r="267" spans="1:8" x14ac:dyDescent="0.25">
      <c r="A267" s="7"/>
      <c r="B267" s="7"/>
      <c r="C267" s="7"/>
      <c r="D267" s="7"/>
      <c r="E267" s="7"/>
      <c r="F267" s="7"/>
      <c r="G267" s="14"/>
      <c r="H267" s="7"/>
    </row>
    <row r="268" spans="1:8" x14ac:dyDescent="0.25">
      <c r="A268" s="7"/>
      <c r="B268" s="7"/>
      <c r="C268" s="7"/>
      <c r="D268" s="7"/>
      <c r="E268" s="7"/>
      <c r="F268" s="7"/>
      <c r="G268" s="14"/>
      <c r="H268" s="7"/>
    </row>
    <row r="269" spans="1:8" x14ac:dyDescent="0.25">
      <c r="A269" s="7"/>
      <c r="B269" s="7"/>
      <c r="C269" s="7"/>
      <c r="D269" s="7"/>
      <c r="E269" s="7"/>
      <c r="F269" s="7"/>
      <c r="G269" s="14"/>
      <c r="H269" s="7"/>
    </row>
    <row r="270" spans="1:8" x14ac:dyDescent="0.25">
      <c r="A270" s="7"/>
      <c r="B270" s="7"/>
      <c r="C270" s="7"/>
      <c r="D270" s="7"/>
      <c r="E270" s="7"/>
      <c r="F270" s="7"/>
      <c r="G270" s="14"/>
      <c r="H270" s="7"/>
    </row>
    <row r="271" spans="1:8" x14ac:dyDescent="0.25">
      <c r="A271" s="7"/>
      <c r="B271" s="7"/>
      <c r="C271" s="7"/>
      <c r="D271" s="7"/>
      <c r="E271" s="7"/>
      <c r="F271" s="7"/>
      <c r="G271" s="14"/>
      <c r="H271" s="7"/>
    </row>
    <row r="272" spans="1:8" x14ac:dyDescent="0.25">
      <c r="A272" s="7"/>
      <c r="B272" s="7"/>
      <c r="C272" s="7"/>
      <c r="D272" s="7"/>
      <c r="E272" s="7"/>
      <c r="F272" s="7"/>
      <c r="G272" s="14"/>
      <c r="H272" s="7"/>
    </row>
    <row r="273" spans="1:8" x14ac:dyDescent="0.25">
      <c r="A273" s="7"/>
      <c r="B273" s="7"/>
      <c r="C273" s="7"/>
      <c r="D273" s="7"/>
      <c r="E273" s="7"/>
      <c r="F273" s="7"/>
      <c r="G273" s="14"/>
      <c r="H273" s="7"/>
    </row>
    <row r="274" spans="1:8" x14ac:dyDescent="0.25">
      <c r="A274" s="7"/>
      <c r="B274" s="7"/>
      <c r="C274" s="7"/>
      <c r="D274" s="7"/>
      <c r="E274" s="7"/>
      <c r="F274" s="7"/>
      <c r="G274" s="14"/>
      <c r="H274" s="7"/>
    </row>
    <row r="275" spans="1:8" x14ac:dyDescent="0.25">
      <c r="A275" s="7"/>
      <c r="B275" s="7"/>
      <c r="C275" s="7"/>
      <c r="D275" s="7"/>
      <c r="E275" s="7"/>
      <c r="F275" s="7"/>
      <c r="G275" s="14"/>
      <c r="H275" s="7"/>
    </row>
    <row r="276" spans="1:8" x14ac:dyDescent="0.25">
      <c r="A276" s="7"/>
      <c r="B276" s="7"/>
      <c r="C276" s="7"/>
      <c r="D276" s="7"/>
      <c r="E276" s="7"/>
      <c r="F276" s="7"/>
      <c r="G276" s="14"/>
      <c r="H276" s="7"/>
    </row>
    <row r="277" spans="1:8" x14ac:dyDescent="0.25">
      <c r="A277" s="7"/>
      <c r="B277" s="7"/>
      <c r="C277" s="7"/>
      <c r="D277" s="7"/>
      <c r="E277" s="7"/>
      <c r="F277" s="7"/>
      <c r="G277" s="14"/>
      <c r="H277" s="7"/>
    </row>
    <row r="278" spans="1:8" x14ac:dyDescent="0.25">
      <c r="A278" s="7"/>
      <c r="B278" s="7"/>
      <c r="C278" s="7"/>
      <c r="D278" s="7"/>
      <c r="E278" s="7"/>
      <c r="F278" s="7"/>
      <c r="G278" s="14"/>
      <c r="H278" s="7"/>
    </row>
    <row r="279" spans="1:8" x14ac:dyDescent="0.25">
      <c r="A279" s="7"/>
      <c r="B279" s="7"/>
      <c r="C279" s="7"/>
      <c r="D279" s="7"/>
      <c r="E279" s="7"/>
      <c r="F279" s="7"/>
      <c r="G279" s="14"/>
      <c r="H279" s="7"/>
    </row>
    <row r="280" spans="1:8" x14ac:dyDescent="0.25">
      <c r="A280" s="7"/>
      <c r="B280" s="7"/>
      <c r="C280" s="7"/>
      <c r="D280" s="7"/>
      <c r="E280" s="7"/>
      <c r="F280" s="7"/>
      <c r="G280" s="14"/>
      <c r="H280" s="7"/>
    </row>
    <row r="281" spans="1:8" x14ac:dyDescent="0.25">
      <c r="A281" s="7"/>
      <c r="B281" s="7"/>
      <c r="C281" s="7"/>
      <c r="D281" s="7"/>
      <c r="E281" s="7"/>
      <c r="F281" s="7"/>
      <c r="G281" s="14"/>
      <c r="H281" s="7"/>
    </row>
    <row r="282" spans="1:8" x14ac:dyDescent="0.25">
      <c r="A282" s="7"/>
      <c r="B282" s="7"/>
      <c r="C282" s="7"/>
      <c r="D282" s="7"/>
      <c r="E282" s="7"/>
      <c r="F282" s="7"/>
      <c r="G282" s="14"/>
      <c r="H282" s="7"/>
    </row>
    <row r="283" spans="1:8" x14ac:dyDescent="0.25">
      <c r="A283" s="7"/>
      <c r="B283" s="7"/>
      <c r="C283" s="7"/>
      <c r="D283" s="7"/>
      <c r="E283" s="7"/>
      <c r="F283" s="7"/>
      <c r="G283" s="14"/>
      <c r="H283" s="7"/>
    </row>
    <row r="284" spans="1:8" x14ac:dyDescent="0.25">
      <c r="A284" s="7"/>
      <c r="B284" s="7"/>
      <c r="C284" s="7"/>
      <c r="D284" s="7"/>
      <c r="E284" s="7"/>
      <c r="F284" s="7"/>
      <c r="G284" s="14"/>
      <c r="H284" s="7"/>
    </row>
    <row r="285" spans="1:8" x14ac:dyDescent="0.25">
      <c r="A285" s="7"/>
      <c r="B285" s="7"/>
      <c r="C285" s="7"/>
      <c r="D285" s="7"/>
      <c r="E285" s="7"/>
      <c r="F285" s="7"/>
      <c r="G285" s="14"/>
      <c r="H285" s="7"/>
    </row>
    <row r="286" spans="1:8" x14ac:dyDescent="0.25">
      <c r="A286" s="7"/>
      <c r="B286" s="7"/>
      <c r="C286" s="7"/>
      <c r="D286" s="7"/>
      <c r="E286" s="7"/>
      <c r="F286" s="7"/>
      <c r="G286" s="14"/>
      <c r="H286" s="7"/>
    </row>
    <row r="287" spans="1:8" x14ac:dyDescent="0.25">
      <c r="A287" s="7"/>
      <c r="B287" s="7"/>
      <c r="C287" s="7"/>
      <c r="D287" s="7"/>
      <c r="E287" s="7"/>
      <c r="F287" s="7"/>
      <c r="G287" s="14"/>
      <c r="H287" s="7"/>
    </row>
    <row r="288" spans="1:8" x14ac:dyDescent="0.25">
      <c r="A288" s="7"/>
      <c r="B288" s="7"/>
      <c r="C288" s="7"/>
      <c r="D288" s="7"/>
      <c r="E288" s="7"/>
      <c r="F288" s="7"/>
      <c r="G288" s="14"/>
      <c r="H288" s="7"/>
    </row>
    <row r="289" spans="1:8" x14ac:dyDescent="0.25">
      <c r="A289" s="7"/>
      <c r="B289" s="7"/>
      <c r="C289" s="7"/>
      <c r="D289" s="7"/>
      <c r="E289" s="7"/>
      <c r="F289" s="7"/>
      <c r="G289" s="14"/>
      <c r="H289" s="7"/>
    </row>
    <row r="290" spans="1:8" x14ac:dyDescent="0.25">
      <c r="A290" s="7"/>
      <c r="B290" s="7"/>
      <c r="C290" s="7"/>
      <c r="D290" s="7"/>
      <c r="E290" s="7"/>
      <c r="F290" s="7"/>
      <c r="G290" s="14"/>
      <c r="H290" s="7"/>
    </row>
    <row r="291" spans="1:8" x14ac:dyDescent="0.25">
      <c r="A291" s="7"/>
      <c r="B291" s="7"/>
      <c r="C291" s="7"/>
      <c r="D291" s="7"/>
      <c r="E291" s="7"/>
      <c r="F291" s="7"/>
      <c r="G291" s="14"/>
      <c r="H291" s="7"/>
    </row>
    <row r="292" spans="1:8" x14ac:dyDescent="0.25">
      <c r="A292" s="7"/>
      <c r="B292" s="7"/>
      <c r="C292" s="7"/>
      <c r="D292" s="7"/>
      <c r="E292" s="7"/>
      <c r="F292" s="7"/>
      <c r="G292" s="14"/>
      <c r="H292" s="7"/>
    </row>
    <row r="293" spans="1:8" x14ac:dyDescent="0.25">
      <c r="A293" s="7"/>
      <c r="B293" s="7"/>
      <c r="C293" s="7"/>
      <c r="D293" s="7"/>
      <c r="E293" s="7"/>
      <c r="F293" s="7"/>
      <c r="G293" s="14"/>
      <c r="H293" s="7"/>
    </row>
    <row r="294" spans="1:8" x14ac:dyDescent="0.25">
      <c r="A294" s="7"/>
      <c r="B294" s="7"/>
      <c r="C294" s="7"/>
      <c r="D294" s="7"/>
      <c r="E294" s="7"/>
      <c r="F294" s="7"/>
      <c r="G294" s="14"/>
      <c r="H294" s="7"/>
    </row>
    <row r="295" spans="1:8" x14ac:dyDescent="0.25">
      <c r="A295" s="7"/>
      <c r="B295" s="7"/>
      <c r="C295" s="7"/>
      <c r="D295" s="7"/>
      <c r="E295" s="7"/>
      <c r="F295" s="7"/>
      <c r="G295" s="14"/>
      <c r="H295" s="7"/>
    </row>
    <row r="296" spans="1:8" x14ac:dyDescent="0.25">
      <c r="A296" s="7"/>
      <c r="B296" s="7"/>
      <c r="C296" s="7"/>
      <c r="D296" s="7"/>
      <c r="E296" s="7"/>
      <c r="F296" s="7"/>
      <c r="G296" s="14"/>
      <c r="H296" s="7"/>
    </row>
    <row r="297" spans="1:8" x14ac:dyDescent="0.25">
      <c r="A297" s="7"/>
      <c r="B297" s="7"/>
      <c r="C297" s="7"/>
      <c r="D297" s="7"/>
      <c r="E297" s="7"/>
      <c r="F297" s="7"/>
      <c r="G297" s="14"/>
      <c r="H297" s="7"/>
    </row>
    <row r="298" spans="1:8" x14ac:dyDescent="0.25">
      <c r="A298" s="7"/>
      <c r="B298" s="7"/>
      <c r="C298" s="7"/>
      <c r="D298" s="7"/>
      <c r="E298" s="7"/>
      <c r="F298" s="7"/>
      <c r="G298" s="14"/>
      <c r="H298" s="7"/>
    </row>
    <row r="299" spans="1:8" x14ac:dyDescent="0.25">
      <c r="A299" s="7"/>
      <c r="B299" s="7"/>
      <c r="C299" s="7"/>
      <c r="D299" s="7"/>
      <c r="E299" s="7"/>
      <c r="F299" s="7"/>
      <c r="G299" s="14"/>
      <c r="H299" s="7"/>
    </row>
    <row r="300" spans="1:8" x14ac:dyDescent="0.25">
      <c r="A300" s="7"/>
      <c r="B300" s="7"/>
      <c r="C300" s="7"/>
      <c r="D300" s="7"/>
      <c r="E300" s="7"/>
      <c r="F300" s="7"/>
      <c r="G300" s="14"/>
      <c r="H300" s="7"/>
    </row>
    <row r="301" spans="1:8" x14ac:dyDescent="0.25">
      <c r="A301" s="7"/>
      <c r="B301" s="7"/>
      <c r="C301" s="7"/>
      <c r="D301" s="7"/>
      <c r="E301" s="7"/>
      <c r="F301" s="7"/>
      <c r="G301" s="14"/>
      <c r="H301" s="7"/>
    </row>
    <row r="302" spans="1:8" x14ac:dyDescent="0.25">
      <c r="A302" s="7"/>
      <c r="B302" s="7"/>
      <c r="C302" s="7"/>
      <c r="D302" s="7"/>
      <c r="E302" s="7"/>
      <c r="F302" s="7"/>
      <c r="G302" s="14"/>
      <c r="H302" s="7"/>
    </row>
    <row r="303" spans="1:8" x14ac:dyDescent="0.25">
      <c r="A303" s="7"/>
      <c r="B303" s="7"/>
      <c r="C303" s="7"/>
      <c r="D303" s="7"/>
      <c r="E303" s="7"/>
      <c r="F303" s="7"/>
      <c r="G303" s="14"/>
      <c r="H303" s="7"/>
    </row>
    <row r="304" spans="1:8" x14ac:dyDescent="0.25">
      <c r="A304" s="7"/>
      <c r="B304" s="7"/>
      <c r="C304" s="7"/>
      <c r="D304" s="7"/>
      <c r="E304" s="7"/>
      <c r="F304" s="7"/>
      <c r="G304" s="14"/>
      <c r="H304" s="7"/>
    </row>
    <row r="305" spans="1:8" x14ac:dyDescent="0.25">
      <c r="A305" s="7"/>
      <c r="B305" s="7"/>
      <c r="C305" s="7"/>
      <c r="D305" s="7"/>
      <c r="E305" s="7"/>
      <c r="F305" s="7"/>
      <c r="G305" s="14"/>
      <c r="H305" s="7"/>
    </row>
    <row r="306" spans="1:8" x14ac:dyDescent="0.25">
      <c r="A306" s="7"/>
      <c r="B306" s="7"/>
      <c r="C306" s="7"/>
      <c r="D306" s="7"/>
      <c r="E306" s="7"/>
      <c r="F306" s="7"/>
      <c r="G306" s="14"/>
      <c r="H306" s="7"/>
    </row>
    <row r="307" spans="1:8" x14ac:dyDescent="0.25">
      <c r="A307" s="7"/>
      <c r="B307" s="7"/>
      <c r="C307" s="7"/>
      <c r="D307" s="7"/>
      <c r="E307" s="7"/>
      <c r="F307" s="7"/>
      <c r="G307" s="14"/>
      <c r="H307" s="7"/>
    </row>
    <row r="308" spans="1:8" x14ac:dyDescent="0.25">
      <c r="A308" s="7"/>
      <c r="B308" s="7"/>
      <c r="C308" s="7"/>
      <c r="D308" s="7"/>
      <c r="E308" s="7"/>
      <c r="F308" s="7"/>
      <c r="G308" s="14"/>
      <c r="H308" s="7"/>
    </row>
    <row r="309" spans="1:8" x14ac:dyDescent="0.25">
      <c r="A309" s="7"/>
      <c r="B309" s="7"/>
      <c r="C309" s="7"/>
      <c r="D309" s="7"/>
      <c r="E309" s="7"/>
      <c r="F309" s="7"/>
      <c r="G309" s="14"/>
      <c r="H309" s="7"/>
    </row>
  </sheetData>
  <mergeCells count="16">
    <mergeCell ref="A1:H1"/>
    <mergeCell ref="A2:H2"/>
    <mergeCell ref="A70:H70"/>
    <mergeCell ref="A71:H71"/>
    <mergeCell ref="A72:H72"/>
    <mergeCell ref="A73:H73"/>
    <mergeCell ref="A64:H64"/>
    <mergeCell ref="A65:H65"/>
    <mergeCell ref="A60:H60"/>
    <mergeCell ref="A67:H67"/>
    <mergeCell ref="A68:H68"/>
    <mergeCell ref="A69:H69"/>
    <mergeCell ref="A61:H61"/>
    <mergeCell ref="A62:H62"/>
    <mergeCell ref="A63:H63"/>
    <mergeCell ref="A66:H66"/>
  </mergeCells>
  <pageMargins left="0.7" right="0.7" top="0.75" bottom="0.75" header="0.3" footer="0.3"/>
  <pageSetup scale="47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2" tint="-0.249977111117893"/>
  </sheetPr>
  <dimension ref="A1:Q135"/>
  <sheetViews>
    <sheetView topLeftCell="A19" zoomScale="80" zoomScaleNormal="80" workbookViewId="0">
      <selection activeCell="B57" sqref="B57"/>
    </sheetView>
  </sheetViews>
  <sheetFormatPr defaultRowHeight="15" x14ac:dyDescent="0.25"/>
  <cols>
    <col min="1" max="1" width="33" customWidth="1"/>
    <col min="2" max="2" width="26.5703125" customWidth="1"/>
    <col min="3" max="3" width="13" customWidth="1"/>
    <col min="4" max="4" width="17.5703125" customWidth="1"/>
    <col min="7" max="7" width="4.5703125" style="394" customWidth="1"/>
    <col min="8" max="8" width="46.5703125" customWidth="1"/>
    <col min="9" max="9" width="16" style="31" customWidth="1"/>
    <col min="10" max="10" width="10.42578125" customWidth="1"/>
    <col min="11" max="11" width="45" customWidth="1"/>
    <col min="12" max="12" width="12.85546875" bestFit="1" customWidth="1"/>
    <col min="15" max="15" width="10.7109375" bestFit="1" customWidth="1"/>
  </cols>
  <sheetData>
    <row r="1" spans="1:15" s="31" customFormat="1" ht="15.75" thickBot="1" x14ac:dyDescent="0.3">
      <c r="G1" s="394"/>
    </row>
    <row r="2" spans="1:15" s="31" customFormat="1" ht="15.75" thickBot="1" x14ac:dyDescent="0.3">
      <c r="A2" s="814" t="s">
        <v>280</v>
      </c>
      <c r="B2" s="815"/>
      <c r="C2" s="815"/>
      <c r="D2" s="815"/>
      <c r="E2" s="815"/>
      <c r="F2" s="815"/>
      <c r="G2" s="396"/>
      <c r="H2" s="816" t="s">
        <v>1395</v>
      </c>
      <c r="I2" s="816"/>
      <c r="J2" s="816"/>
      <c r="K2" s="816"/>
      <c r="L2" s="816"/>
      <c r="M2" s="817"/>
    </row>
    <row r="3" spans="1:15" s="31" customFormat="1" x14ac:dyDescent="0.25">
      <c r="B3" s="31" t="s">
        <v>1167</v>
      </c>
      <c r="G3" s="394"/>
      <c r="I3" s="31" t="s">
        <v>1167</v>
      </c>
    </row>
    <row r="4" spans="1:15" s="31" customFormat="1" x14ac:dyDescent="0.25">
      <c r="G4" s="394"/>
    </row>
    <row r="5" spans="1:15" x14ac:dyDescent="0.25">
      <c r="C5" t="s">
        <v>1166</v>
      </c>
      <c r="D5" t="s">
        <v>1174</v>
      </c>
      <c r="H5" s="31"/>
      <c r="J5" s="31" t="s">
        <v>1166</v>
      </c>
      <c r="K5" s="31" t="s">
        <v>1174</v>
      </c>
      <c r="L5" s="31"/>
      <c r="M5" s="31"/>
    </row>
    <row r="6" spans="1:15" x14ac:dyDescent="0.25">
      <c r="A6" s="399" t="s">
        <v>1163</v>
      </c>
      <c r="C6" s="31">
        <f>14244.39-34.87</f>
        <v>14209.519999999999</v>
      </c>
      <c r="H6" s="335" t="s">
        <v>1163</v>
      </c>
      <c r="J6" s="31">
        <f>14244.39-34.87</f>
        <v>14209.519999999999</v>
      </c>
      <c r="K6" s="31"/>
      <c r="L6" s="31"/>
      <c r="M6" s="31"/>
    </row>
    <row r="7" spans="1:15" s="31" customFormat="1" x14ac:dyDescent="0.25">
      <c r="A7" s="171"/>
      <c r="B7" s="210" t="s">
        <v>1196</v>
      </c>
      <c r="C7" s="31">
        <v>799.9</v>
      </c>
      <c r="D7" s="31">
        <f>ROUNDUP(C7/C51,4)</f>
        <v>19.045300000000001</v>
      </c>
      <c r="G7" s="394"/>
      <c r="H7" s="171"/>
      <c r="I7" s="210" t="s">
        <v>1196</v>
      </c>
      <c r="J7" s="31">
        <v>799.9</v>
      </c>
      <c r="K7" s="31">
        <f>ROUNDUP(J7/J51,4)</f>
        <v>19.045300000000001</v>
      </c>
    </row>
    <row r="8" spans="1:15" x14ac:dyDescent="0.25">
      <c r="B8" s="397" t="s">
        <v>1179</v>
      </c>
      <c r="C8" s="31">
        <f>184.23+2659.56</f>
        <v>2843.79</v>
      </c>
      <c r="D8">
        <f>ROUNDUP(C8/C33,4)</f>
        <v>142.18950000000001</v>
      </c>
      <c r="H8" s="31"/>
      <c r="I8" s="157" t="s">
        <v>1179</v>
      </c>
      <c r="J8" s="31">
        <f>184.23+2659.56</f>
        <v>2843.79</v>
      </c>
      <c r="K8" s="31">
        <f>ROUNDUP(J8/J33,4)</f>
        <v>142.18950000000001</v>
      </c>
      <c r="L8" s="31"/>
      <c r="M8" s="31"/>
    </row>
    <row r="9" spans="1:15" x14ac:dyDescent="0.25">
      <c r="B9" s="211" t="s">
        <v>344</v>
      </c>
      <c r="C9" s="31">
        <f>39.07+1099.56+129.7+188.76</f>
        <v>1457.09</v>
      </c>
      <c r="D9">
        <f>ROUNDUP(C9/C39,4)</f>
        <v>15.6677</v>
      </c>
      <c r="H9" s="31"/>
      <c r="I9" s="211" t="s">
        <v>344</v>
      </c>
      <c r="J9" s="31">
        <f>39.07+1099.56+129.7+188.76</f>
        <v>1457.09</v>
      </c>
      <c r="K9" s="31">
        <f>ROUNDUP(J9/J39,4)</f>
        <v>15.6677</v>
      </c>
      <c r="L9" s="31"/>
      <c r="M9" s="31"/>
    </row>
    <row r="10" spans="1:15" x14ac:dyDescent="0.25">
      <c r="B10" s="398" t="s">
        <v>1200</v>
      </c>
      <c r="C10" s="31">
        <f>547.95+1106.71+489.09+245.15+4627.35</f>
        <v>7016.25</v>
      </c>
      <c r="D10">
        <f>ROUNDUP(C10/C42,4)</f>
        <v>167.05360000000002</v>
      </c>
      <c r="H10" s="31"/>
      <c r="I10" s="398" t="s">
        <v>1200</v>
      </c>
      <c r="J10" s="31">
        <f>547.95+1106.71+489.09+245.15+4627.35</f>
        <v>7016.25</v>
      </c>
      <c r="K10" s="31">
        <f>ROUNDUP(J10/J42,4)</f>
        <v>167.05360000000002</v>
      </c>
      <c r="L10" s="31"/>
      <c r="M10" s="31"/>
    </row>
    <row r="11" spans="1:15" x14ac:dyDescent="0.25">
      <c r="A11" s="335" t="s">
        <v>1175</v>
      </c>
      <c r="C11" s="31">
        <v>18195.7</v>
      </c>
      <c r="D11">
        <f>ROUNDUP(C11/AVERAGE(C20:C23),4)</f>
        <v>205.04509999999999</v>
      </c>
      <c r="H11" s="335" t="s">
        <v>1175</v>
      </c>
      <c r="J11" s="31">
        <v>18195.7</v>
      </c>
      <c r="K11" s="31">
        <f>ROUNDUP(J11/AVERAGE(J20:J23),4)</f>
        <v>205.04509999999999</v>
      </c>
      <c r="L11" s="31"/>
      <c r="M11" s="31"/>
      <c r="O11" s="1"/>
    </row>
    <row r="12" spans="1:15" x14ac:dyDescent="0.25">
      <c r="A12" s="335" t="s">
        <v>1164</v>
      </c>
      <c r="C12" s="31">
        <v>5018.63</v>
      </c>
      <c r="D12">
        <f>ROUNDUP(C12/C28,4)</f>
        <v>13.569799999999999</v>
      </c>
      <c r="H12" s="335" t="s">
        <v>1164</v>
      </c>
      <c r="J12" s="31">
        <v>5018.63</v>
      </c>
      <c r="K12" s="31">
        <f>ROUNDUP(J12/J28,4)</f>
        <v>13.569799999999999</v>
      </c>
      <c r="L12" s="31"/>
      <c r="M12" s="31"/>
    </row>
    <row r="13" spans="1:15" x14ac:dyDescent="0.25">
      <c r="A13" s="335" t="s">
        <v>1165</v>
      </c>
      <c r="C13" s="31">
        <v>16817.560000000001</v>
      </c>
      <c r="H13" s="335" t="s">
        <v>1165</v>
      </c>
      <c r="J13" s="31">
        <v>16817.560000000001</v>
      </c>
      <c r="K13" s="31"/>
      <c r="L13" s="31"/>
      <c r="M13" s="31"/>
    </row>
    <row r="14" spans="1:15" x14ac:dyDescent="0.25">
      <c r="B14" t="s">
        <v>343</v>
      </c>
      <c r="C14" s="31">
        <v>50.13</v>
      </c>
      <c r="H14" s="31"/>
      <c r="I14" s="31" t="s">
        <v>343</v>
      </c>
      <c r="J14" s="31">
        <v>50.13</v>
      </c>
      <c r="K14" s="31"/>
      <c r="L14" s="31"/>
      <c r="M14" s="31"/>
    </row>
    <row r="15" spans="1:15" x14ac:dyDescent="0.25">
      <c r="B15" t="s">
        <v>788</v>
      </c>
      <c r="C15" s="31">
        <f>16817.56-50.13</f>
        <v>16767.43</v>
      </c>
      <c r="D15">
        <f>ROUNDUP(C15/C46,4)</f>
        <v>51.592100000000002</v>
      </c>
      <c r="H15" s="31"/>
      <c r="I15" s="31" t="s">
        <v>788</v>
      </c>
      <c r="J15" s="31">
        <f>16817.56-50.13</f>
        <v>16767.43</v>
      </c>
      <c r="K15" s="31">
        <f>ROUNDUP(J15/J46,4)</f>
        <v>51.592100000000002</v>
      </c>
      <c r="L15" s="31"/>
      <c r="M15" s="31"/>
    </row>
    <row r="16" spans="1:15" x14ac:dyDescent="0.25">
      <c r="L16" s="31"/>
      <c r="M16" s="31"/>
    </row>
    <row r="17" spans="1:13" x14ac:dyDescent="0.25">
      <c r="H17" s="31"/>
      <c r="J17" s="31"/>
      <c r="K17" s="31"/>
      <c r="L17" s="31"/>
      <c r="M17" s="31"/>
    </row>
    <row r="18" spans="1:13" x14ac:dyDescent="0.25">
      <c r="A18" s="261" t="s">
        <v>1176</v>
      </c>
      <c r="B18" s="261"/>
      <c r="C18" s="31"/>
      <c r="D18" s="31"/>
      <c r="E18" s="31"/>
      <c r="F18" s="31"/>
      <c r="H18" s="261" t="s">
        <v>1176</v>
      </c>
      <c r="I18" s="261"/>
      <c r="J18" s="31"/>
      <c r="K18" s="31"/>
      <c r="L18" s="31"/>
      <c r="M18" s="31"/>
    </row>
    <row r="19" spans="1:13" x14ac:dyDescent="0.25">
      <c r="A19" t="s">
        <v>92</v>
      </c>
      <c r="B19" s="31" t="s">
        <v>1168</v>
      </c>
      <c r="C19" t="s">
        <v>1169</v>
      </c>
      <c r="D19" t="s">
        <v>1173</v>
      </c>
      <c r="E19" t="s">
        <v>1191</v>
      </c>
      <c r="H19" s="31" t="s">
        <v>92</v>
      </c>
      <c r="I19" s="31" t="s">
        <v>1168</v>
      </c>
      <c r="J19" s="31" t="s">
        <v>1169</v>
      </c>
      <c r="K19" s="31" t="s">
        <v>1173</v>
      </c>
      <c r="L19" s="31" t="s">
        <v>1191</v>
      </c>
      <c r="M19" s="31"/>
    </row>
    <row r="20" spans="1:13" x14ac:dyDescent="0.25">
      <c r="A20" s="31" t="s">
        <v>1170</v>
      </c>
      <c r="B20" s="31">
        <v>25</v>
      </c>
      <c r="C20" s="1">
        <v>99.99</v>
      </c>
      <c r="D20" s="31">
        <f>B20*$D$11</f>
        <v>5126.1274999999996</v>
      </c>
      <c r="H20" s="31" t="s">
        <v>1170</v>
      </c>
      <c r="I20" s="31">
        <v>25</v>
      </c>
      <c r="J20" s="1">
        <v>99.99</v>
      </c>
      <c r="K20" s="31">
        <f>I20*$K$11</f>
        <v>5126.1274999999996</v>
      </c>
      <c r="L20" s="31"/>
      <c r="M20" s="31"/>
    </row>
    <row r="21" spans="1:13" x14ac:dyDescent="0.25">
      <c r="A21" s="31" t="s">
        <v>390</v>
      </c>
      <c r="B21" s="31">
        <v>25</v>
      </c>
      <c r="C21" s="1">
        <v>149.99</v>
      </c>
      <c r="D21" s="31">
        <f>B21*$D$11</f>
        <v>5126.1274999999996</v>
      </c>
      <c r="H21" s="31" t="s">
        <v>390</v>
      </c>
      <c r="I21" s="31">
        <v>25</v>
      </c>
      <c r="J21" s="1">
        <v>149.99</v>
      </c>
      <c r="K21" s="31">
        <f>I21*$K$11</f>
        <v>5126.1274999999996</v>
      </c>
      <c r="L21" s="31"/>
      <c r="M21" s="31"/>
    </row>
    <row r="22" spans="1:13" x14ac:dyDescent="0.25">
      <c r="A22" s="31" t="s">
        <v>1171</v>
      </c>
      <c r="B22" s="31">
        <v>5</v>
      </c>
      <c r="C22" s="31">
        <v>64.989999999999995</v>
      </c>
      <c r="D22" s="31">
        <f>B22*$D$11</f>
        <v>1025.2255</v>
      </c>
      <c r="H22" s="31" t="s">
        <v>1171</v>
      </c>
      <c r="I22" s="31">
        <v>5</v>
      </c>
      <c r="J22" s="31">
        <v>64.989999999999995</v>
      </c>
      <c r="K22" s="31">
        <f>I22*$K$11</f>
        <v>1025.2255</v>
      </c>
      <c r="L22" s="31"/>
      <c r="M22" s="31"/>
    </row>
    <row r="23" spans="1:13" ht="15.75" thickBot="1" x14ac:dyDescent="0.3">
      <c r="A23" s="31" t="s">
        <v>1172</v>
      </c>
      <c r="B23" s="31">
        <v>5</v>
      </c>
      <c r="C23" s="31">
        <v>39.99</v>
      </c>
      <c r="D23" s="31">
        <f>B23*$D$11</f>
        <v>1025.2255</v>
      </c>
      <c r="H23" s="31" t="s">
        <v>1172</v>
      </c>
      <c r="I23" s="31">
        <v>5</v>
      </c>
      <c r="J23" s="31">
        <v>39.99</v>
      </c>
      <c r="K23" s="31">
        <f>I23*$D$11</f>
        <v>1025.2255</v>
      </c>
      <c r="L23" s="31"/>
      <c r="M23" s="31"/>
    </row>
    <row r="24" spans="1:13" ht="15.75" thickBot="1" x14ac:dyDescent="0.3">
      <c r="A24" s="31"/>
      <c r="B24" s="31"/>
      <c r="C24" s="1">
        <f>SUM(C20:C23)</f>
        <v>354.96000000000004</v>
      </c>
      <c r="D24" s="334">
        <f>SUM(D20:D23)</f>
        <v>12302.706</v>
      </c>
      <c r="E24" t="s">
        <v>1194</v>
      </c>
      <c r="H24" s="31"/>
      <c r="J24" s="1">
        <f>SUM(J20:J23)</f>
        <v>354.96000000000004</v>
      </c>
      <c r="K24" s="334">
        <f>SUM(K20:K23)</f>
        <v>12302.706</v>
      </c>
      <c r="L24" s="31" t="s">
        <v>1194</v>
      </c>
      <c r="M24" s="31"/>
    </row>
    <row r="25" spans="1:13" x14ac:dyDescent="0.25">
      <c r="A25" s="31"/>
      <c r="B25" s="31"/>
      <c r="C25" s="86"/>
      <c r="D25" s="31"/>
      <c r="H25" s="31"/>
      <c r="J25" s="1"/>
      <c r="K25" s="31"/>
      <c r="L25" s="31"/>
      <c r="M25" s="31"/>
    </row>
    <row r="26" spans="1:13" x14ac:dyDescent="0.25">
      <c r="A26" s="261" t="s">
        <v>1164</v>
      </c>
      <c r="B26" s="31"/>
      <c r="H26" s="261" t="s">
        <v>1164</v>
      </c>
      <c r="J26" s="31"/>
      <c r="K26" s="31"/>
      <c r="L26" s="31"/>
      <c r="M26" s="31"/>
    </row>
    <row r="27" spans="1:13" x14ac:dyDescent="0.25">
      <c r="A27" t="s">
        <v>92</v>
      </c>
      <c r="B27" s="31" t="s">
        <v>1075</v>
      </c>
      <c r="C27" t="s">
        <v>1169</v>
      </c>
      <c r="D27" t="s">
        <v>1178</v>
      </c>
      <c r="H27" s="31" t="s">
        <v>92</v>
      </c>
      <c r="I27" s="31" t="s">
        <v>1075</v>
      </c>
      <c r="J27" s="31" t="s">
        <v>1169</v>
      </c>
      <c r="K27" s="31" t="s">
        <v>1178</v>
      </c>
      <c r="L27" s="31"/>
      <c r="M27" s="31"/>
    </row>
    <row r="28" spans="1:13" ht="15.75" thickBot="1" x14ac:dyDescent="0.3">
      <c r="A28" t="s">
        <v>1177</v>
      </c>
      <c r="B28" s="31">
        <v>1</v>
      </c>
      <c r="C28">
        <v>369.84</v>
      </c>
      <c r="D28" s="77">
        <f>B28*D12</f>
        <v>13.569799999999999</v>
      </c>
      <c r="E28" t="s">
        <v>1192</v>
      </c>
      <c r="H28" s="31" t="s">
        <v>1177</v>
      </c>
      <c r="I28" s="31">
        <v>1</v>
      </c>
      <c r="J28" s="31">
        <v>369.84</v>
      </c>
      <c r="K28" s="77">
        <f>I28*K12</f>
        <v>13.569799999999999</v>
      </c>
      <c r="L28" s="31" t="s">
        <v>1192</v>
      </c>
      <c r="M28" s="31"/>
    </row>
    <row r="29" spans="1:13" s="31" customFormat="1" ht="15.75" thickBot="1" x14ac:dyDescent="0.3">
      <c r="B29" s="31" t="s">
        <v>1209</v>
      </c>
      <c r="D29" s="334">
        <f>D28*gals_to_liters/m3_to_liters*B30</f>
        <v>51.367256617999999</v>
      </c>
      <c r="E29" s="31" t="s">
        <v>1044</v>
      </c>
      <c r="G29" s="394"/>
      <c r="I29" s="31" t="s">
        <v>1209</v>
      </c>
      <c r="K29" s="334">
        <f>K28*gals_to_liters/m3_to_liters*I30</f>
        <v>51.367256617999999</v>
      </c>
      <c r="L29" s="31" t="s">
        <v>1044</v>
      </c>
    </row>
    <row r="30" spans="1:13" s="31" customFormat="1" x14ac:dyDescent="0.25">
      <c r="B30" s="31">
        <v>1000</v>
      </c>
      <c r="C30" s="31" t="s">
        <v>568</v>
      </c>
      <c r="D30" s="77"/>
      <c r="G30" s="394"/>
      <c r="I30" s="31">
        <v>1000</v>
      </c>
      <c r="J30" s="31" t="s">
        <v>568</v>
      </c>
      <c r="K30" s="77"/>
    </row>
    <row r="31" spans="1:13" x14ac:dyDescent="0.25">
      <c r="B31" s="31"/>
      <c r="H31" s="31"/>
      <c r="J31" s="31"/>
      <c r="K31" s="31"/>
      <c r="L31" s="31"/>
      <c r="M31" s="31"/>
    </row>
    <row r="32" spans="1:13" x14ac:dyDescent="0.25">
      <c r="A32" s="261" t="s">
        <v>1179</v>
      </c>
      <c r="B32" s="31" t="s">
        <v>1181</v>
      </c>
      <c r="C32" t="s">
        <v>1169</v>
      </c>
      <c r="D32" t="s">
        <v>1185</v>
      </c>
      <c r="H32" s="261" t="s">
        <v>1179</v>
      </c>
      <c r="I32" s="31" t="s">
        <v>1181</v>
      </c>
      <c r="J32" s="31" t="s">
        <v>1169</v>
      </c>
      <c r="K32" s="31" t="s">
        <v>1185</v>
      </c>
      <c r="L32" s="31"/>
      <c r="M32" s="31"/>
    </row>
    <row r="33" spans="1:13" x14ac:dyDescent="0.25">
      <c r="A33" t="s">
        <v>1180</v>
      </c>
      <c r="B33" s="33">
        <v>113</v>
      </c>
      <c r="C33">
        <v>20</v>
      </c>
      <c r="D33" s="41">
        <f>D8*B33</f>
        <v>16067.413500000001</v>
      </c>
      <c r="E33" t="s">
        <v>134</v>
      </c>
      <c r="H33" s="31" t="s">
        <v>1180</v>
      </c>
      <c r="I33" s="33">
        <v>113</v>
      </c>
      <c r="J33" s="31">
        <v>20</v>
      </c>
      <c r="K33" s="41">
        <f>K8*I33</f>
        <v>16067.413500000001</v>
      </c>
      <c r="L33" s="31" t="s">
        <v>134</v>
      </c>
      <c r="M33" s="31"/>
    </row>
    <row r="34" spans="1:13" ht="15.75" thickBot="1" x14ac:dyDescent="0.3">
      <c r="A34" t="s">
        <v>1182</v>
      </c>
      <c r="B34" s="31">
        <v>1100</v>
      </c>
      <c r="E34" t="s">
        <v>1193</v>
      </c>
      <c r="H34" s="31" t="s">
        <v>1182</v>
      </c>
      <c r="I34" s="31">
        <v>1100</v>
      </c>
      <c r="J34" s="31"/>
      <c r="K34" s="31"/>
      <c r="L34" s="31" t="s">
        <v>1193</v>
      </c>
      <c r="M34" s="31"/>
    </row>
    <row r="35" spans="1:13" ht="15.75" thickBot="1" x14ac:dyDescent="0.3">
      <c r="A35" t="s">
        <v>1183</v>
      </c>
      <c r="B35" s="33">
        <f>B34*B33/m3_to_liters</f>
        <v>124.3</v>
      </c>
      <c r="D35" s="334">
        <f>B35*D8</f>
        <v>17674.154849999999</v>
      </c>
      <c r="E35" t="s">
        <v>127</v>
      </c>
      <c r="H35" s="31" t="s">
        <v>1183</v>
      </c>
      <c r="I35" s="33">
        <f>I34*I33/m3_to_liters</f>
        <v>124.3</v>
      </c>
      <c r="J35" s="31"/>
      <c r="K35" s="334">
        <f>I35*K8</f>
        <v>17674.154849999999</v>
      </c>
      <c r="L35" s="31" t="s">
        <v>127</v>
      </c>
      <c r="M35" s="31"/>
    </row>
    <row r="36" spans="1:13" x14ac:dyDescent="0.25">
      <c r="B36" s="31"/>
      <c r="H36" s="31"/>
      <c r="J36" s="31"/>
      <c r="K36" s="31"/>
      <c r="L36" s="31"/>
      <c r="M36" s="31"/>
    </row>
    <row r="37" spans="1:13" x14ac:dyDescent="0.25">
      <c r="B37" s="31"/>
      <c r="H37" s="31"/>
      <c r="J37" s="31"/>
      <c r="K37" s="31"/>
      <c r="L37" s="31"/>
      <c r="M37" s="31"/>
    </row>
    <row r="38" spans="1:13" ht="15.75" thickBot="1" x14ac:dyDescent="0.3">
      <c r="A38" s="261" t="s">
        <v>344</v>
      </c>
      <c r="B38" s="31" t="s">
        <v>1168</v>
      </c>
      <c r="C38" t="s">
        <v>1169</v>
      </c>
      <c r="D38" t="s">
        <v>1173</v>
      </c>
      <c r="H38" s="261" t="s">
        <v>344</v>
      </c>
      <c r="I38" s="31" t="s">
        <v>1168</v>
      </c>
      <c r="J38" s="31" t="s">
        <v>1169</v>
      </c>
      <c r="K38" s="31" t="s">
        <v>1173</v>
      </c>
      <c r="L38" s="31"/>
      <c r="M38" s="31"/>
    </row>
    <row r="39" spans="1:13" ht="15.75" thickBot="1" x14ac:dyDescent="0.3">
      <c r="A39" t="s">
        <v>1184</v>
      </c>
      <c r="B39" s="31">
        <v>4</v>
      </c>
      <c r="C39">
        <v>93</v>
      </c>
      <c r="D39" s="334">
        <f>B39*D9</f>
        <v>62.6708</v>
      </c>
      <c r="E39" t="s">
        <v>1194</v>
      </c>
      <c r="H39" s="31" t="s">
        <v>1184</v>
      </c>
      <c r="I39" s="31">
        <v>4</v>
      </c>
      <c r="J39" s="31">
        <v>93</v>
      </c>
      <c r="K39" s="334">
        <f>I39*K9</f>
        <v>62.6708</v>
      </c>
      <c r="L39" s="31" t="s">
        <v>1194</v>
      </c>
      <c r="M39" s="31"/>
    </row>
    <row r="40" spans="1:13" x14ac:dyDescent="0.25">
      <c r="B40" s="31"/>
      <c r="H40" s="31"/>
      <c r="J40" s="31"/>
      <c r="K40" s="31"/>
      <c r="L40" s="31"/>
      <c r="M40" s="31"/>
    </row>
    <row r="41" spans="1:13" x14ac:dyDescent="0.25">
      <c r="A41" s="261" t="s">
        <v>1186</v>
      </c>
      <c r="B41" s="31" t="s">
        <v>1168</v>
      </c>
      <c r="C41" t="s">
        <v>1169</v>
      </c>
      <c r="D41" t="s">
        <v>1173</v>
      </c>
      <c r="F41" s="282" t="s">
        <v>1187</v>
      </c>
      <c r="G41" s="395"/>
      <c r="H41" s="261" t="s">
        <v>1186</v>
      </c>
      <c r="I41" s="31" t="s">
        <v>1168</v>
      </c>
      <c r="J41" s="31" t="s">
        <v>1169</v>
      </c>
      <c r="K41" s="31" t="s">
        <v>1173</v>
      </c>
      <c r="L41" s="31"/>
      <c r="M41" s="282" t="s">
        <v>1187</v>
      </c>
    </row>
    <row r="42" spans="1:13" ht="15.75" thickBot="1" x14ac:dyDescent="0.3">
      <c r="A42" t="s">
        <v>1188</v>
      </c>
      <c r="B42" s="31">
        <v>60</v>
      </c>
      <c r="C42">
        <v>42</v>
      </c>
      <c r="D42" s="77">
        <f>B42*D10</f>
        <v>10023.216</v>
      </c>
      <c r="E42" t="s">
        <v>1073</v>
      </c>
      <c r="H42" s="31" t="s">
        <v>1188</v>
      </c>
      <c r="I42" s="31">
        <v>60</v>
      </c>
      <c r="J42" s="31">
        <v>42</v>
      </c>
      <c r="K42" s="77">
        <f>I42*K10</f>
        <v>10023.216</v>
      </c>
      <c r="L42" s="31" t="s">
        <v>1073</v>
      </c>
      <c r="M42" s="31"/>
    </row>
    <row r="43" spans="1:13" ht="15.75" thickBot="1" x14ac:dyDescent="0.3">
      <c r="B43" s="31"/>
      <c r="D43" s="334">
        <f>D42/kg_to_lb/B53</f>
        <v>11.366149268354638</v>
      </c>
      <c r="E43" t="s">
        <v>122</v>
      </c>
      <c r="H43" s="31"/>
      <c r="J43" s="31"/>
      <c r="K43" s="334">
        <f>K42/kg_to_lb/I53</f>
        <v>11.366149268354638</v>
      </c>
      <c r="L43" s="31" t="s">
        <v>122</v>
      </c>
      <c r="M43" s="31"/>
    </row>
    <row r="44" spans="1:13" x14ac:dyDescent="0.25">
      <c r="B44" s="31"/>
      <c r="H44" s="31"/>
      <c r="J44" s="31"/>
      <c r="K44" s="31"/>
      <c r="L44" s="31"/>
      <c r="M44" s="31"/>
    </row>
    <row r="45" spans="1:13" x14ac:dyDescent="0.25">
      <c r="A45" s="261" t="s">
        <v>1189</v>
      </c>
      <c r="B45" s="31" t="s">
        <v>1075</v>
      </c>
      <c r="C45" t="s">
        <v>1169</v>
      </c>
      <c r="D45" t="s">
        <v>1178</v>
      </c>
      <c r="H45" s="261" t="s">
        <v>1189</v>
      </c>
      <c r="I45" s="31" t="s">
        <v>1075</v>
      </c>
      <c r="J45" s="31" t="s">
        <v>1169</v>
      </c>
      <c r="K45" s="31" t="s">
        <v>1178</v>
      </c>
      <c r="L45" s="31"/>
      <c r="M45" s="31"/>
    </row>
    <row r="46" spans="1:13" ht="15.75" thickBot="1" x14ac:dyDescent="0.3">
      <c r="A46" t="s">
        <v>1190</v>
      </c>
      <c r="B46" s="31">
        <v>2.5</v>
      </c>
      <c r="C46">
        <v>325</v>
      </c>
      <c r="D46" s="77">
        <f>D15*B46</f>
        <v>128.98025000000001</v>
      </c>
      <c r="E46" t="s">
        <v>1195</v>
      </c>
      <c r="H46" s="31" t="s">
        <v>1190</v>
      </c>
      <c r="I46" s="31">
        <v>2.5</v>
      </c>
      <c r="J46" s="31">
        <v>325</v>
      </c>
      <c r="K46" s="77">
        <f>K15*I46</f>
        <v>128.98025000000001</v>
      </c>
      <c r="L46" s="31" t="s">
        <v>1195</v>
      </c>
      <c r="M46" s="31"/>
    </row>
    <row r="47" spans="1:13" s="31" customFormat="1" ht="15.75" thickBot="1" x14ac:dyDescent="0.3">
      <c r="B47" s="31" t="s">
        <v>1209</v>
      </c>
      <c r="D47" s="334">
        <f>D46*gals_to_liters/m3_to_liters*B48</f>
        <v>488.24312815250005</v>
      </c>
      <c r="E47" s="31" t="s">
        <v>1044</v>
      </c>
      <c r="G47" s="394"/>
      <c r="I47" s="31" t="s">
        <v>1209</v>
      </c>
      <c r="K47" s="334">
        <f>K46*gals_to_liters/m3_to_liters*I48</f>
        <v>488.24312815250005</v>
      </c>
      <c r="L47" s="31" t="s">
        <v>1044</v>
      </c>
    </row>
    <row r="48" spans="1:13" s="31" customFormat="1" x14ac:dyDescent="0.25">
      <c r="B48" s="31">
        <v>1000</v>
      </c>
      <c r="C48" s="31" t="s">
        <v>568</v>
      </c>
      <c r="D48" s="77"/>
      <c r="G48" s="394"/>
      <c r="I48" s="31">
        <v>1000</v>
      </c>
      <c r="J48" s="31" t="s">
        <v>568</v>
      </c>
      <c r="K48" s="77"/>
    </row>
    <row r="49" spans="1:13" x14ac:dyDescent="0.25">
      <c r="B49" s="31"/>
      <c r="H49" s="31"/>
      <c r="J49" s="31"/>
      <c r="K49" s="31"/>
      <c r="L49" s="31"/>
      <c r="M49" s="31"/>
    </row>
    <row r="50" spans="1:13" x14ac:dyDescent="0.25">
      <c r="A50" s="261" t="s">
        <v>1196</v>
      </c>
      <c r="B50" s="31" t="s">
        <v>1168</v>
      </c>
      <c r="C50" t="s">
        <v>1169</v>
      </c>
      <c r="D50" t="s">
        <v>1173</v>
      </c>
      <c r="H50" s="261" t="s">
        <v>1196</v>
      </c>
      <c r="I50" s="31" t="s">
        <v>1168</v>
      </c>
      <c r="J50" s="31" t="s">
        <v>1169</v>
      </c>
      <c r="K50" s="31" t="s">
        <v>1173</v>
      </c>
      <c r="L50" s="31"/>
      <c r="M50" s="31"/>
    </row>
    <row r="51" spans="1:13" x14ac:dyDescent="0.25">
      <c r="A51" t="s">
        <v>1198</v>
      </c>
      <c r="B51">
        <v>60</v>
      </c>
      <c r="C51">
        <v>42</v>
      </c>
      <c r="D51" s="41">
        <f>B51*D7</f>
        <v>1142.7180000000001</v>
      </c>
      <c r="E51" t="s">
        <v>1073</v>
      </c>
      <c r="H51" s="31" t="s">
        <v>1198</v>
      </c>
      <c r="I51" s="31">
        <v>60</v>
      </c>
      <c r="J51" s="31">
        <v>42</v>
      </c>
      <c r="K51" s="41">
        <f>I51*K7</f>
        <v>1142.7180000000001</v>
      </c>
      <c r="L51" s="31" t="s">
        <v>1073</v>
      </c>
      <c r="M51" s="31"/>
    </row>
    <row r="52" spans="1:13" ht="15.75" thickBot="1" x14ac:dyDescent="0.3">
      <c r="B52" t="s">
        <v>215</v>
      </c>
      <c r="D52">
        <f>D51/kg_to_lb</f>
        <v>518.32878228447544</v>
      </c>
      <c r="H52" s="31"/>
      <c r="I52" s="31" t="s">
        <v>215</v>
      </c>
      <c r="J52" s="31"/>
      <c r="K52" s="31">
        <f>K51/kg_to_lb</f>
        <v>518.32878228447544</v>
      </c>
      <c r="L52" s="31"/>
      <c r="M52" s="31"/>
    </row>
    <row r="53" spans="1:13" ht="15.75" thickBot="1" x14ac:dyDescent="0.3">
      <c r="B53">
        <v>400</v>
      </c>
      <c r="C53" t="s">
        <v>568</v>
      </c>
      <c r="D53" s="334">
        <f>D52/B53</f>
        <v>1.2958219557111885</v>
      </c>
      <c r="E53" t="s">
        <v>122</v>
      </c>
      <c r="H53" s="31"/>
      <c r="I53" s="31">
        <v>400</v>
      </c>
      <c r="J53" s="31" t="s">
        <v>568</v>
      </c>
      <c r="K53" s="334">
        <f>K52/I53</f>
        <v>1.2958219557111885</v>
      </c>
      <c r="L53" s="31" t="s">
        <v>122</v>
      </c>
      <c r="M53" s="31"/>
    </row>
    <row r="54" spans="1:13" x14ac:dyDescent="0.25">
      <c r="H54" s="31"/>
      <c r="J54" s="31"/>
      <c r="K54" s="31"/>
      <c r="L54" s="31"/>
      <c r="M54" s="31"/>
    </row>
    <row r="55" spans="1:13" x14ac:dyDescent="0.25">
      <c r="H55" s="31"/>
      <c r="J55" s="31"/>
      <c r="K55" s="31"/>
      <c r="L55" s="31"/>
      <c r="M55" s="31"/>
    </row>
    <row r="56" spans="1:13" x14ac:dyDescent="0.25">
      <c r="A56" t="s">
        <v>1199</v>
      </c>
      <c r="B56" t="s">
        <v>212</v>
      </c>
      <c r="C56" t="s">
        <v>194</v>
      </c>
      <c r="H56" s="31" t="s">
        <v>1199</v>
      </c>
      <c r="I56" s="31" t="s">
        <v>212</v>
      </c>
      <c r="J56" s="31" t="s">
        <v>194</v>
      </c>
      <c r="K56" s="31"/>
      <c r="L56" s="31"/>
      <c r="M56" s="31"/>
    </row>
    <row r="57" spans="1:13" x14ac:dyDescent="0.25">
      <c r="A57" t="s">
        <v>1203</v>
      </c>
      <c r="B57">
        <f>D47</f>
        <v>488.24312815250005</v>
      </c>
      <c r="C57" t="s">
        <v>127</v>
      </c>
      <c r="H57" s="31" t="s">
        <v>1203</v>
      </c>
      <c r="I57" s="31">
        <f>K47</f>
        <v>488.24312815250005</v>
      </c>
      <c r="J57" s="31" t="s">
        <v>127</v>
      </c>
      <c r="K57" s="31"/>
      <c r="L57" s="31"/>
      <c r="M57" s="31"/>
    </row>
    <row r="58" spans="1:13" x14ac:dyDescent="0.25">
      <c r="A58" t="s">
        <v>1073</v>
      </c>
      <c r="B58">
        <f>D53+D43</f>
        <v>12.661971224065827</v>
      </c>
      <c r="C58" t="s">
        <v>122</v>
      </c>
      <c r="H58" s="31" t="s">
        <v>1073</v>
      </c>
      <c r="I58" s="31">
        <f>K53+K43</f>
        <v>12.661971224065827</v>
      </c>
      <c r="J58" s="31" t="s">
        <v>122</v>
      </c>
      <c r="K58" s="31"/>
      <c r="L58" s="31"/>
      <c r="M58" s="31"/>
    </row>
    <row r="59" spans="1:13" x14ac:dyDescent="0.25">
      <c r="A59" t="s">
        <v>1201</v>
      </c>
      <c r="B59">
        <f>D39+D24</f>
        <v>12365.3768</v>
      </c>
      <c r="C59" t="s">
        <v>1168</v>
      </c>
      <c r="H59" s="31" t="s">
        <v>1201</v>
      </c>
      <c r="I59" s="31">
        <f>K39+K24</f>
        <v>12365.3768</v>
      </c>
      <c r="J59" s="31" t="s">
        <v>1168</v>
      </c>
      <c r="K59" s="31"/>
      <c r="L59" s="31"/>
      <c r="M59" s="31"/>
    </row>
    <row r="60" spans="1:13" x14ac:dyDescent="0.25">
      <c r="A60" t="s">
        <v>1164</v>
      </c>
      <c r="B60">
        <f>D29</f>
        <v>51.367256617999999</v>
      </c>
      <c r="C60" t="s">
        <v>127</v>
      </c>
      <c r="H60" s="31" t="s">
        <v>1164</v>
      </c>
      <c r="I60" s="31">
        <f>K29</f>
        <v>51.367256617999999</v>
      </c>
      <c r="J60" s="31" t="s">
        <v>127</v>
      </c>
      <c r="K60" s="31"/>
      <c r="L60" s="31"/>
      <c r="M60" s="31"/>
    </row>
    <row r="61" spans="1:13" x14ac:dyDescent="0.25">
      <c r="A61" t="s">
        <v>1202</v>
      </c>
      <c r="B61">
        <f>D35</f>
        <v>17674.154849999999</v>
      </c>
      <c r="C61" t="s">
        <v>127</v>
      </c>
      <c r="H61" s="31" t="s">
        <v>1202</v>
      </c>
      <c r="I61" s="31">
        <f>K35</f>
        <v>17674.154849999999</v>
      </c>
      <c r="J61" s="31" t="s">
        <v>127</v>
      </c>
      <c r="K61" s="31"/>
      <c r="L61" s="31"/>
      <c r="M61" s="31"/>
    </row>
    <row r="62" spans="1:13" x14ac:dyDescent="0.25">
      <c r="H62" s="31"/>
      <c r="J62" s="31"/>
      <c r="K62" s="31"/>
      <c r="L62" s="31"/>
      <c r="M62" s="31"/>
    </row>
    <row r="63" spans="1:13" x14ac:dyDescent="0.25">
      <c r="H63" s="31"/>
      <c r="J63" s="31"/>
      <c r="K63" s="31"/>
      <c r="L63" s="31"/>
      <c r="M63" s="31"/>
    </row>
    <row r="64" spans="1:13" x14ac:dyDescent="0.25">
      <c r="H64" s="31"/>
      <c r="J64" s="31"/>
      <c r="K64" s="31"/>
      <c r="L64" s="31"/>
      <c r="M64" s="31"/>
    </row>
    <row r="65" spans="1:17" x14ac:dyDescent="0.25">
      <c r="A65" s="31"/>
      <c r="B65" s="31"/>
      <c r="C65" s="31"/>
      <c r="D65" s="31"/>
      <c r="E65" s="31"/>
      <c r="F65" s="31"/>
      <c r="H65" s="31" t="s">
        <v>1396</v>
      </c>
      <c r="J65" s="31" t="s">
        <v>1166</v>
      </c>
      <c r="K65" s="31" t="s">
        <v>1421</v>
      </c>
      <c r="L65" t="s">
        <v>1423</v>
      </c>
      <c r="M65" t="s">
        <v>194</v>
      </c>
      <c r="N65" s="31" t="s">
        <v>1422</v>
      </c>
      <c r="O65" t="s">
        <v>1424</v>
      </c>
      <c r="P65" t="s">
        <v>194</v>
      </c>
      <c r="Q65" t="s">
        <v>434</v>
      </c>
    </row>
    <row r="66" spans="1:17" x14ac:dyDescent="0.25">
      <c r="A66" s="31"/>
      <c r="B66" s="31"/>
      <c r="C66" s="31"/>
      <c r="D66" s="31"/>
      <c r="E66" s="31"/>
      <c r="F66" s="31"/>
      <c r="H66" s="400" t="s">
        <v>1397</v>
      </c>
      <c r="I66" s="400" t="s">
        <v>1398</v>
      </c>
      <c r="J66" s="401">
        <v>148.69</v>
      </c>
      <c r="K66" s="405">
        <v>70</v>
      </c>
      <c r="L66">
        <v>20</v>
      </c>
      <c r="M66" s="400" t="s">
        <v>126</v>
      </c>
      <c r="N66" s="32">
        <f>J66/K66</f>
        <v>2.1241428571428571</v>
      </c>
      <c r="O66">
        <f>N66*L66</f>
        <v>42.482857142857142</v>
      </c>
      <c r="P66" t="s">
        <v>126</v>
      </c>
      <c r="Q66" t="s">
        <v>1427</v>
      </c>
    </row>
    <row r="67" spans="1:17" x14ac:dyDescent="0.25">
      <c r="A67" t="s">
        <v>1259</v>
      </c>
      <c r="C67">
        <v>403.65</v>
      </c>
      <c r="H67" s="400" t="s">
        <v>1399</v>
      </c>
      <c r="I67" s="400" t="s">
        <v>1400</v>
      </c>
      <c r="J67" s="401">
        <v>962.5</v>
      </c>
      <c r="K67" s="405">
        <v>847.66</v>
      </c>
      <c r="L67">
        <v>1600</v>
      </c>
      <c r="M67" s="400" t="s">
        <v>1426</v>
      </c>
      <c r="N67" s="32">
        <f>J67/K67</f>
        <v>1.135478847651181</v>
      </c>
      <c r="O67">
        <f>L67*N67</f>
        <v>1816.7661562418896</v>
      </c>
      <c r="P67" t="s">
        <v>126</v>
      </c>
      <c r="Q67" t="s">
        <v>1428</v>
      </c>
    </row>
    <row r="68" spans="1:17" x14ac:dyDescent="0.25">
      <c r="C68">
        <v>1409.8</v>
      </c>
      <c r="H68" s="400" t="s">
        <v>1401</v>
      </c>
      <c r="I68" s="400" t="s">
        <v>1402</v>
      </c>
      <c r="J68" s="401">
        <v>377.52</v>
      </c>
      <c r="K68" s="405">
        <f>J39</f>
        <v>93</v>
      </c>
      <c r="L68">
        <f>I39</f>
        <v>4</v>
      </c>
      <c r="M68" s="400" t="s">
        <v>126</v>
      </c>
      <c r="N68" s="32">
        <f>J68/K68</f>
        <v>4.0593548387096776</v>
      </c>
      <c r="O68">
        <f>N68*L68</f>
        <v>16.23741935483871</v>
      </c>
      <c r="P68" t="s">
        <v>126</v>
      </c>
      <c r="Q68" t="s">
        <v>1430</v>
      </c>
    </row>
    <row r="69" spans="1:17" x14ac:dyDescent="0.25">
      <c r="A69" s="31"/>
      <c r="B69" s="31"/>
      <c r="C69" s="31">
        <v>984.92</v>
      </c>
      <c r="D69" s="31"/>
      <c r="E69" s="31"/>
      <c r="F69" s="31"/>
      <c r="H69" s="400" t="s">
        <v>1403</v>
      </c>
      <c r="I69" s="400" t="s">
        <v>1404</v>
      </c>
      <c r="J69" s="401">
        <v>1074.8900000000001</v>
      </c>
      <c r="K69" s="405">
        <f>AVERAGE(J20:J23)</f>
        <v>88.740000000000009</v>
      </c>
      <c r="L69">
        <f>AVERAGE(I20:I23)</f>
        <v>15</v>
      </c>
      <c r="M69" s="400" t="s">
        <v>126</v>
      </c>
      <c r="N69" s="32">
        <f>J69/K69</f>
        <v>12.112801442416046</v>
      </c>
      <c r="O69">
        <f>N69*L69</f>
        <v>181.6920216362407</v>
      </c>
      <c r="P69" t="s">
        <v>126</v>
      </c>
      <c r="Q69" t="s">
        <v>1431</v>
      </c>
    </row>
    <row r="70" spans="1:17" x14ac:dyDescent="0.25">
      <c r="C70">
        <v>994.37</v>
      </c>
      <c r="H70" s="400" t="s">
        <v>1401</v>
      </c>
      <c r="I70" s="400" t="s">
        <v>1405</v>
      </c>
      <c r="J70" s="401">
        <v>218.44</v>
      </c>
      <c r="K70" s="404">
        <f>AVERAGE(J20:J23)</f>
        <v>88.740000000000009</v>
      </c>
      <c r="L70">
        <f>L69</f>
        <v>15</v>
      </c>
      <c r="M70" s="400" t="s">
        <v>126</v>
      </c>
      <c r="N70" s="32">
        <f>J70/K70</f>
        <v>2.4615731350011267</v>
      </c>
      <c r="O70" s="1">
        <f>N70*L70</f>
        <v>36.923597025016903</v>
      </c>
      <c r="P70" t="s">
        <v>126</v>
      </c>
    </row>
    <row r="71" spans="1:17" x14ac:dyDescent="0.25">
      <c r="C71">
        <v>369.38</v>
      </c>
      <c r="H71" s="400" t="s">
        <v>1406</v>
      </c>
      <c r="I71" s="406" t="s">
        <v>1407</v>
      </c>
      <c r="J71" s="401">
        <v>795.28</v>
      </c>
      <c r="K71" s="403"/>
      <c r="M71" s="400"/>
      <c r="N71" s="32"/>
    </row>
    <row r="72" spans="1:17" x14ac:dyDescent="0.25">
      <c r="C72">
        <v>181.34</v>
      </c>
      <c r="H72" s="400" t="s">
        <v>1408</v>
      </c>
      <c r="I72" s="400" t="s">
        <v>344</v>
      </c>
      <c r="J72" s="401">
        <v>1951.26</v>
      </c>
      <c r="K72" s="407">
        <f>K67</f>
        <v>847.66</v>
      </c>
      <c r="L72">
        <f>L67</f>
        <v>1600</v>
      </c>
      <c r="M72" s="400" t="s">
        <v>126</v>
      </c>
      <c r="N72" s="32">
        <f>J72/K72</f>
        <v>2.3019370974211357</v>
      </c>
      <c r="O72">
        <f>N72*L72</f>
        <v>3683.0993558738173</v>
      </c>
      <c r="P72" t="s">
        <v>126</v>
      </c>
      <c r="Q72" t="s">
        <v>1428</v>
      </c>
    </row>
    <row r="73" spans="1:17" x14ac:dyDescent="0.25">
      <c r="C73">
        <v>931.93</v>
      </c>
      <c r="H73" s="400" t="s">
        <v>1406</v>
      </c>
      <c r="I73" s="406" t="s">
        <v>1407</v>
      </c>
      <c r="J73" s="401">
        <v>460.18</v>
      </c>
      <c r="K73" s="403"/>
      <c r="M73" s="400"/>
      <c r="N73" s="32"/>
    </row>
    <row r="74" spans="1:17" x14ac:dyDescent="0.25">
      <c r="C74">
        <v>497.11</v>
      </c>
      <c r="H74" s="400" t="s">
        <v>1401</v>
      </c>
      <c r="I74" s="400" t="s">
        <v>1409</v>
      </c>
      <c r="J74" s="401">
        <v>717.38</v>
      </c>
      <c r="K74" s="403"/>
      <c r="M74" s="400"/>
      <c r="N74" s="32"/>
    </row>
    <row r="75" spans="1:17" x14ac:dyDescent="0.25">
      <c r="C75">
        <v>2027.18</v>
      </c>
      <c r="H75" s="400" t="s">
        <v>1403</v>
      </c>
      <c r="I75" s="400" t="s">
        <v>1404</v>
      </c>
      <c r="J75" s="401">
        <v>4029.34</v>
      </c>
      <c r="K75" s="403"/>
      <c r="M75" s="400"/>
      <c r="N75" s="32"/>
    </row>
    <row r="76" spans="1:17" x14ac:dyDescent="0.25">
      <c r="C76">
        <v>3159.5</v>
      </c>
      <c r="H76" s="400" t="s">
        <v>1401</v>
      </c>
      <c r="I76" s="400" t="s">
        <v>1410</v>
      </c>
      <c r="J76" s="401">
        <v>94.38</v>
      </c>
      <c r="K76" s="403"/>
      <c r="M76" s="400"/>
      <c r="N76" s="32"/>
    </row>
    <row r="77" spans="1:17" x14ac:dyDescent="0.25">
      <c r="C77">
        <v>2038.43</v>
      </c>
      <c r="H77" s="400" t="s">
        <v>1401</v>
      </c>
      <c r="I77" s="400" t="s">
        <v>1411</v>
      </c>
      <c r="J77" s="401">
        <v>486.87</v>
      </c>
      <c r="K77" s="403"/>
      <c r="M77" s="400"/>
      <c r="N77" s="32"/>
    </row>
    <row r="78" spans="1:17" x14ac:dyDescent="0.25">
      <c r="C78">
        <v>672.55</v>
      </c>
      <c r="H78" s="400" t="s">
        <v>1401</v>
      </c>
      <c r="I78" s="400" t="s">
        <v>1412</v>
      </c>
      <c r="J78" s="401">
        <v>8.5</v>
      </c>
      <c r="K78" s="403">
        <v>28.33</v>
      </c>
      <c r="L78">
        <v>1</v>
      </c>
      <c r="M78" s="400" t="s">
        <v>1425</v>
      </c>
      <c r="N78" s="32">
        <f>J78/K78</f>
        <v>0.30003529827038478</v>
      </c>
      <c r="O78">
        <f>N78*L78</f>
        <v>0.30003529827038478</v>
      </c>
      <c r="P78" t="s">
        <v>134</v>
      </c>
    </row>
    <row r="79" spans="1:17" x14ac:dyDescent="0.25">
      <c r="B79" t="s">
        <v>182</v>
      </c>
      <c r="C79" s="360">
        <f>SUM(C67:C78)</f>
        <v>13670.16</v>
      </c>
      <c r="D79" t="s">
        <v>1260</v>
      </c>
      <c r="H79" s="400" t="s">
        <v>1401</v>
      </c>
      <c r="I79" s="400" t="s">
        <v>1413</v>
      </c>
      <c r="J79" s="401">
        <v>2418.66</v>
      </c>
      <c r="K79" s="403"/>
      <c r="M79" s="400"/>
      <c r="N79" s="32"/>
    </row>
    <row r="80" spans="1:17" x14ac:dyDescent="0.25">
      <c r="H80" s="400" t="s">
        <v>1401</v>
      </c>
      <c r="I80" s="400" t="s">
        <v>1414</v>
      </c>
      <c r="J80" s="401">
        <v>109.37</v>
      </c>
      <c r="K80" s="403"/>
      <c r="M80" s="400"/>
      <c r="N80" s="32"/>
    </row>
    <row r="81" spans="2:14" x14ac:dyDescent="0.25">
      <c r="B81" t="s">
        <v>1261</v>
      </c>
      <c r="H81" s="400" t="s">
        <v>1401</v>
      </c>
      <c r="I81" s="400" t="s">
        <v>1415</v>
      </c>
      <c r="J81" s="401">
        <v>80.849999999999994</v>
      </c>
      <c r="K81" s="403"/>
      <c r="M81" s="400"/>
      <c r="N81" s="32"/>
    </row>
    <row r="82" spans="2:14" x14ac:dyDescent="0.25">
      <c r="B82" t="s">
        <v>1263</v>
      </c>
      <c r="C82" s="1">
        <v>5.6</v>
      </c>
      <c r="D82" t="s">
        <v>1262</v>
      </c>
      <c r="H82" s="400" t="s">
        <v>1401</v>
      </c>
      <c r="I82" s="400" t="s">
        <v>1416</v>
      </c>
      <c r="J82" s="401">
        <v>123.43</v>
      </c>
      <c r="K82" s="403"/>
      <c r="M82" s="400"/>
      <c r="N82" s="32"/>
    </row>
    <row r="83" spans="2:14" x14ac:dyDescent="0.25">
      <c r="C83" s="1">
        <f>C82/1000</f>
        <v>5.5999999999999999E-3</v>
      </c>
      <c r="D83" t="s">
        <v>98</v>
      </c>
      <c r="H83" s="400" t="s">
        <v>1401</v>
      </c>
      <c r="I83" s="400" t="s">
        <v>1416</v>
      </c>
      <c r="J83" s="401">
        <v>123.43</v>
      </c>
      <c r="K83" s="403"/>
      <c r="M83" s="400"/>
      <c r="N83" s="32"/>
    </row>
    <row r="84" spans="2:14" x14ac:dyDescent="0.25">
      <c r="C84" s="1">
        <f>C83*tons_to_lbs</f>
        <v>11.2</v>
      </c>
      <c r="D84" t="s">
        <v>1264</v>
      </c>
      <c r="H84" s="400" t="s">
        <v>1401</v>
      </c>
      <c r="I84" s="400" t="s">
        <v>1416</v>
      </c>
      <c r="J84" s="401">
        <v>145.44</v>
      </c>
      <c r="K84" s="403"/>
      <c r="M84" s="400"/>
      <c r="N84" s="32"/>
    </row>
    <row r="85" spans="2:14" x14ac:dyDescent="0.25">
      <c r="C85" s="1">
        <f>C84*tonnes_to_tons</f>
        <v>12.34588314401142</v>
      </c>
      <c r="D85" t="s">
        <v>1265</v>
      </c>
      <c r="H85" s="400" t="s">
        <v>1401</v>
      </c>
      <c r="I85" s="400" t="s">
        <v>1417</v>
      </c>
      <c r="J85" s="401">
        <v>134.94999999999999</v>
      </c>
      <c r="K85" s="403"/>
      <c r="M85" s="400"/>
      <c r="N85" s="32"/>
    </row>
    <row r="86" spans="2:14" ht="15.75" thickBot="1" x14ac:dyDescent="0.3">
      <c r="H86" s="400" t="s">
        <v>1401</v>
      </c>
      <c r="I86" s="400" t="s">
        <v>1418</v>
      </c>
      <c r="J86" s="401">
        <v>3265.62</v>
      </c>
      <c r="K86" s="403"/>
      <c r="M86" s="400"/>
      <c r="N86" s="32"/>
    </row>
    <row r="87" spans="2:14" ht="15.75" thickBot="1" x14ac:dyDescent="0.3">
      <c r="B87" t="s">
        <v>1266</v>
      </c>
      <c r="C87" s="359">
        <f>C79/C85</f>
        <v>1107.26465175</v>
      </c>
      <c r="D87" t="s">
        <v>76</v>
      </c>
      <c r="H87" s="400" t="s">
        <v>1419</v>
      </c>
      <c r="I87" s="400" t="s">
        <v>1420</v>
      </c>
      <c r="J87" s="402">
        <v>468.72</v>
      </c>
      <c r="K87" s="403"/>
      <c r="M87" s="400"/>
      <c r="N87" s="32"/>
    </row>
    <row r="88" spans="2:14" x14ac:dyDescent="0.25">
      <c r="H88" s="31"/>
      <c r="J88" s="31"/>
      <c r="K88" s="31"/>
      <c r="L88" s="31"/>
      <c r="M88" s="31"/>
    </row>
    <row r="91" spans="2:14" x14ac:dyDescent="0.25">
      <c r="H91" t="s">
        <v>1432</v>
      </c>
    </row>
    <row r="92" spans="2:14" x14ac:dyDescent="0.25">
      <c r="H92" t="s">
        <v>1433</v>
      </c>
    </row>
    <row r="93" spans="2:14" x14ac:dyDescent="0.25">
      <c r="H93" t="s">
        <v>1434</v>
      </c>
    </row>
    <row r="94" spans="2:14" x14ac:dyDescent="0.25">
      <c r="H94" t="s">
        <v>1435</v>
      </c>
    </row>
    <row r="96" spans="2:14" x14ac:dyDescent="0.25">
      <c r="H96" t="s">
        <v>1429</v>
      </c>
    </row>
    <row r="97" spans="8:11" x14ac:dyDescent="0.25">
      <c r="H97">
        <v>1</v>
      </c>
      <c r="I97" s="31" t="s">
        <v>1436</v>
      </c>
      <c r="J97" t="s">
        <v>1437</v>
      </c>
    </row>
    <row r="98" spans="8:11" x14ac:dyDescent="0.25">
      <c r="J98" t="s">
        <v>1438</v>
      </c>
    </row>
    <row r="99" spans="8:11" x14ac:dyDescent="0.25">
      <c r="J99" t="s">
        <v>1439</v>
      </c>
    </row>
    <row r="101" spans="8:11" x14ac:dyDescent="0.25">
      <c r="J101" t="s">
        <v>1440</v>
      </c>
    </row>
    <row r="102" spans="8:11" x14ac:dyDescent="0.25">
      <c r="J102" t="s">
        <v>1441</v>
      </c>
      <c r="K102" t="s">
        <v>1443</v>
      </c>
    </row>
    <row r="103" spans="8:11" x14ac:dyDescent="0.25">
      <c r="J103" t="s">
        <v>1442</v>
      </c>
    </row>
    <row r="104" spans="8:11" x14ac:dyDescent="0.25">
      <c r="J104" t="s">
        <v>1444</v>
      </c>
    </row>
    <row r="106" spans="8:11" x14ac:dyDescent="0.25">
      <c r="J106" t="s">
        <v>1445</v>
      </c>
    </row>
    <row r="107" spans="8:11" x14ac:dyDescent="0.25">
      <c r="J107" t="s">
        <v>1446</v>
      </c>
    </row>
    <row r="108" spans="8:11" x14ac:dyDescent="0.25">
      <c r="J108" t="s">
        <v>1447</v>
      </c>
    </row>
    <row r="109" spans="8:11" x14ac:dyDescent="0.25">
      <c r="J109" t="s">
        <v>1448</v>
      </c>
    </row>
    <row r="110" spans="8:11" x14ac:dyDescent="0.25">
      <c r="J110" t="s">
        <v>1449</v>
      </c>
    </row>
    <row r="111" spans="8:11" x14ac:dyDescent="0.25">
      <c r="J111" t="s">
        <v>1450</v>
      </c>
    </row>
    <row r="113" spans="1:3" s="394" customFormat="1" x14ac:dyDescent="0.25"/>
    <row r="114" spans="1:3" x14ac:dyDescent="0.25">
      <c r="A114" s="261" t="s">
        <v>1476</v>
      </c>
      <c r="B114" s="261" t="s">
        <v>1477</v>
      </c>
    </row>
    <row r="115" spans="1:3" x14ac:dyDescent="0.25">
      <c r="A115">
        <v>0.9</v>
      </c>
      <c r="B115" t="s">
        <v>1464</v>
      </c>
    </row>
    <row r="118" spans="1:3" x14ac:dyDescent="0.25">
      <c r="A118" s="261" t="s">
        <v>1484</v>
      </c>
      <c r="B118" s="261" t="s">
        <v>1478</v>
      </c>
    </row>
    <row r="119" spans="1:3" x14ac:dyDescent="0.25">
      <c r="A119">
        <v>0.1</v>
      </c>
      <c r="B119">
        <v>0.14000000000000001</v>
      </c>
      <c r="C119" t="s">
        <v>1466</v>
      </c>
    </row>
    <row r="120" spans="1:3" x14ac:dyDescent="0.25">
      <c r="A120">
        <f>20</f>
        <v>20</v>
      </c>
      <c r="B120">
        <v>30</v>
      </c>
      <c r="C120" t="s">
        <v>1467</v>
      </c>
    </row>
    <row r="121" spans="1:3" x14ac:dyDescent="0.25">
      <c r="A121">
        <f>A120*0.7</f>
        <v>14</v>
      </c>
      <c r="B121">
        <f>B120*0.7</f>
        <v>21</v>
      </c>
      <c r="C121" t="s">
        <v>1467</v>
      </c>
    </row>
    <row r="122" spans="1:3" x14ac:dyDescent="0.25">
      <c r="A122">
        <f>A121/120</f>
        <v>0.11666666666666667</v>
      </c>
      <c r="B122">
        <f>B121/120</f>
        <v>0.17499999999999999</v>
      </c>
      <c r="C122" t="s">
        <v>1466</v>
      </c>
    </row>
    <row r="123" spans="1:3" x14ac:dyDescent="0.25">
      <c r="A123">
        <f>A122/foot_to_in</f>
        <v>9.7222222222222224E-3</v>
      </c>
      <c r="B123">
        <f>B122/foot_to_in</f>
        <v>1.4583333333333332E-2</v>
      </c>
      <c r="C123" t="s">
        <v>1463</v>
      </c>
    </row>
    <row r="126" spans="1:3" x14ac:dyDescent="0.25">
      <c r="B126">
        <v>0.2</v>
      </c>
      <c r="C126" t="s">
        <v>1466</v>
      </c>
    </row>
    <row r="127" spans="1:3" x14ac:dyDescent="0.25">
      <c r="B127">
        <f>B126/foot_to_in</f>
        <v>1.6666666666666666E-2</v>
      </c>
      <c r="C127" t="s">
        <v>1468</v>
      </c>
    </row>
    <row r="128" spans="1:3" x14ac:dyDescent="0.25">
      <c r="B128">
        <f>B127</f>
        <v>1.6666666666666666E-2</v>
      </c>
      <c r="C128" t="s">
        <v>1469</v>
      </c>
    </row>
    <row r="129" spans="1:3" x14ac:dyDescent="0.25">
      <c r="B129">
        <f>B128*acre_feet_to_gallon</f>
        <v>5430.85</v>
      </c>
      <c r="C129" t="s">
        <v>1473</v>
      </c>
    </row>
    <row r="130" spans="1:3" x14ac:dyDescent="0.25">
      <c r="B130">
        <f>B129/acre_to_m2</f>
        <v>1.341991074561512</v>
      </c>
      <c r="C130" t="s">
        <v>1474</v>
      </c>
    </row>
    <row r="131" spans="1:3" x14ac:dyDescent="0.25">
      <c r="B131">
        <f>B130/m2_to_ft2</f>
        <v>0.12467517113327994</v>
      </c>
      <c r="C131" t="s">
        <v>1475</v>
      </c>
    </row>
    <row r="132" spans="1:3" x14ac:dyDescent="0.25">
      <c r="B132">
        <f>B131/'Outdoor Inputs'!F12</f>
        <v>3.5037741935483875</v>
      </c>
      <c r="C132" t="s">
        <v>1465</v>
      </c>
    </row>
    <row r="134" spans="1:3" x14ac:dyDescent="0.25">
      <c r="A134" s="261" t="s">
        <v>1485</v>
      </c>
      <c r="B134" s="261" t="s">
        <v>1481</v>
      </c>
    </row>
    <row r="135" spans="1:3" x14ac:dyDescent="0.25">
      <c r="A135">
        <v>10</v>
      </c>
      <c r="B135" t="s">
        <v>1465</v>
      </c>
    </row>
  </sheetData>
  <mergeCells count="2">
    <mergeCell ref="A2:F2"/>
    <mergeCell ref="H2:M2"/>
  </mergeCells>
  <hyperlinks>
    <hyperlink ref="F41" r:id="rId1"/>
    <hyperlink ref="M41" r:id="rId2"/>
  </hyperlinks>
  <pageMargins left="0.7" right="0.7" top="0.75" bottom="0.75" header="0.3" footer="0.3"/>
  <pageSetup orientation="portrait" horizontalDpi="1200" verticalDpi="1200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2" tint="-0.249977111117893"/>
  </sheetPr>
  <dimension ref="B1:AF102"/>
  <sheetViews>
    <sheetView zoomScale="85" zoomScaleNormal="85" workbookViewId="0">
      <selection activeCell="D88" sqref="D88"/>
    </sheetView>
  </sheetViews>
  <sheetFormatPr defaultRowHeight="15" x14ac:dyDescent="0.25"/>
  <cols>
    <col min="2" max="2" width="26.85546875" bestFit="1" customWidth="1"/>
    <col min="3" max="3" width="16.28515625" customWidth="1"/>
    <col min="4" max="4" width="15.28515625" customWidth="1"/>
    <col min="5" max="5" width="14.85546875" bestFit="1" customWidth="1"/>
    <col min="6" max="6" width="15.7109375" customWidth="1"/>
    <col min="7" max="7" width="15.42578125" customWidth="1"/>
    <col min="8" max="8" width="12" bestFit="1" customWidth="1"/>
    <col min="9" max="9" width="10.7109375" bestFit="1" customWidth="1"/>
    <col min="10" max="11" width="11" bestFit="1" customWidth="1"/>
    <col min="14" max="14" width="32.7109375" customWidth="1"/>
    <col min="15" max="15" width="17.28515625" customWidth="1"/>
    <col min="16" max="16" width="12.28515625" customWidth="1"/>
    <col min="17" max="17" width="14.85546875" bestFit="1" customWidth="1"/>
    <col min="18" max="18" width="11.140625" customWidth="1"/>
    <col min="19" max="19" width="12.140625" customWidth="1"/>
    <col min="20" max="20" width="11" bestFit="1" customWidth="1"/>
    <col min="25" max="25" width="12.28515625" bestFit="1" customWidth="1"/>
    <col min="31" max="31" width="14.7109375" bestFit="1" customWidth="1"/>
  </cols>
  <sheetData>
    <row r="1" spans="2:32" s="31" customFormat="1" ht="15.75" thickBot="1" x14ac:dyDescent="0.3"/>
    <row r="2" spans="2:32" x14ac:dyDescent="0.25">
      <c r="H2" s="159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1"/>
      <c r="AE2" s="37" t="s">
        <v>911</v>
      </c>
    </row>
    <row r="3" spans="2:32" x14ac:dyDescent="0.25">
      <c r="B3" s="185" t="s">
        <v>299</v>
      </c>
      <c r="C3" s="185"/>
      <c r="D3" s="185"/>
      <c r="H3" s="168" t="s">
        <v>395</v>
      </c>
      <c r="I3" s="169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4"/>
    </row>
    <row r="4" spans="2:32" x14ac:dyDescent="0.25">
      <c r="B4" t="s">
        <v>306</v>
      </c>
      <c r="C4" s="10">
        <v>0.78</v>
      </c>
      <c r="H4" s="162">
        <v>35</v>
      </c>
      <c r="I4" s="163">
        <v>0.3</v>
      </c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4"/>
      <c r="AE4" s="261" t="s">
        <v>310</v>
      </c>
    </row>
    <row r="5" spans="2:32" x14ac:dyDescent="0.25">
      <c r="B5" t="s">
        <v>307</v>
      </c>
      <c r="C5" s="10">
        <f>AVERAGE(C4,C6)</f>
        <v>0.84000000000000008</v>
      </c>
      <c r="H5" s="162">
        <v>75</v>
      </c>
      <c r="I5" s="163">
        <v>0.26</v>
      </c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4"/>
      <c r="AD5" t="s">
        <v>912</v>
      </c>
      <c r="AE5">
        <f>'Indoor Inputs'!K95</f>
        <v>1</v>
      </c>
      <c r="AF5" t="s">
        <v>918</v>
      </c>
    </row>
    <row r="6" spans="2:32" x14ac:dyDescent="0.25">
      <c r="B6" t="s">
        <v>305</v>
      </c>
      <c r="C6" s="10">
        <v>0.9</v>
      </c>
      <c r="H6" s="162">
        <v>150</v>
      </c>
      <c r="I6" s="163">
        <v>0.25</v>
      </c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4"/>
      <c r="AD6" t="s">
        <v>913</v>
      </c>
      <c r="AE6" s="32">
        <f>'Indoor Inputs'!K18</f>
        <v>0.43899789338245743</v>
      </c>
      <c r="AF6" t="s">
        <v>917</v>
      </c>
    </row>
    <row r="7" spans="2:32" x14ac:dyDescent="0.25">
      <c r="H7" s="162">
        <v>250</v>
      </c>
      <c r="I7" s="163">
        <v>0.2</v>
      </c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4"/>
      <c r="AE7" s="32">
        <f>'Indoor Inputs'!K29</f>
        <v>6.1864406779661021</v>
      </c>
      <c r="AF7" t="s">
        <v>914</v>
      </c>
    </row>
    <row r="8" spans="2:32" x14ac:dyDescent="0.25">
      <c r="B8" s="185" t="s">
        <v>540</v>
      </c>
      <c r="C8" s="185">
        <v>0.68</v>
      </c>
      <c r="D8" s="185" t="s">
        <v>541</v>
      </c>
      <c r="E8" t="s">
        <v>1302</v>
      </c>
      <c r="H8" s="162">
        <v>400</v>
      </c>
      <c r="I8" s="163">
        <v>0.16</v>
      </c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4"/>
      <c r="AE8" s="32">
        <f>'Indoor Inputs'!K8</f>
        <v>938.18181818181813</v>
      </c>
      <c r="AF8" t="s">
        <v>417</v>
      </c>
    </row>
    <row r="9" spans="2:32" x14ac:dyDescent="0.25">
      <c r="B9" s="148" t="s">
        <v>554</v>
      </c>
      <c r="C9">
        <f>1/1000/C8</f>
        <v>1.4705882352941176E-3</v>
      </c>
      <c r="D9" t="s">
        <v>539</v>
      </c>
      <c r="E9">
        <v>7</v>
      </c>
      <c r="F9" t="s">
        <v>1245</v>
      </c>
      <c r="H9" s="162">
        <v>1000</v>
      </c>
      <c r="I9" s="163">
        <v>0.1</v>
      </c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4"/>
    </row>
    <row r="10" spans="2:32" x14ac:dyDescent="0.25">
      <c r="B10" s="148" t="s">
        <v>555</v>
      </c>
      <c r="C10">
        <f>1.25/1000/C8</f>
        <v>1.838235294117647E-3</v>
      </c>
      <c r="D10" t="s">
        <v>539</v>
      </c>
      <c r="E10">
        <v>1.75</v>
      </c>
      <c r="F10" t="s">
        <v>1299</v>
      </c>
      <c r="H10" s="162" t="s">
        <v>396</v>
      </c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4"/>
      <c r="AE10">
        <f>AE5/AE6/AE7</f>
        <v>0.36821095967222178</v>
      </c>
      <c r="AF10" t="s">
        <v>916</v>
      </c>
    </row>
    <row r="11" spans="2:32" x14ac:dyDescent="0.25">
      <c r="B11" s="148" t="s">
        <v>556</v>
      </c>
      <c r="C11">
        <f>1.5/1000/C8</f>
        <v>2.2058823529411764E-3</v>
      </c>
      <c r="D11" t="s">
        <v>539</v>
      </c>
      <c r="E11">
        <v>365</v>
      </c>
      <c r="F11" t="s">
        <v>1300</v>
      </c>
      <c r="H11" s="162" t="s">
        <v>397</v>
      </c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4"/>
      <c r="AE11">
        <f>AE10/gals_to_liters</f>
        <v>9.7271090759580014E-2</v>
      </c>
      <c r="AF11" t="s">
        <v>919</v>
      </c>
    </row>
    <row r="12" spans="2:32" x14ac:dyDescent="0.25">
      <c r="E12" s="171">
        <v>4.7945205479452057E-3</v>
      </c>
      <c r="F12" s="171" t="s">
        <v>1301</v>
      </c>
      <c r="H12" s="162" t="s">
        <v>398</v>
      </c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4"/>
      <c r="AE12">
        <f>AE11/kg_to_lb</f>
        <v>4.4121477061616073E-2</v>
      </c>
      <c r="AF12" t="s">
        <v>920</v>
      </c>
    </row>
    <row r="13" spans="2:32" ht="15.75" thickBot="1" x14ac:dyDescent="0.3">
      <c r="H13" s="165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7"/>
      <c r="AE13" s="37">
        <f>AE12/lbs_to_oz</f>
        <v>2.7575923163510045E-3</v>
      </c>
      <c r="AF13" t="s">
        <v>921</v>
      </c>
    </row>
    <row r="14" spans="2:32" x14ac:dyDescent="0.25">
      <c r="B14" s="185" t="s">
        <v>560</v>
      </c>
      <c r="C14" s="73"/>
      <c r="D14" s="185" t="s">
        <v>562</v>
      </c>
    </row>
    <row r="15" spans="2:32" s="31" customFormat="1" x14ac:dyDescent="0.25">
      <c r="B15" s="31" t="s">
        <v>563</v>
      </c>
      <c r="C15" s="31">
        <f>151/22</f>
        <v>6.8636363636363633</v>
      </c>
      <c r="D15" s="31" t="s">
        <v>561</v>
      </c>
      <c r="E15" s="37" t="s">
        <v>510</v>
      </c>
      <c r="AE15" s="261" t="s">
        <v>721</v>
      </c>
    </row>
    <row r="16" spans="2:32" x14ac:dyDescent="0.25">
      <c r="C16">
        <f>C15/gals_to_liters</f>
        <v>1.8131817593434696</v>
      </c>
      <c r="D16" t="s">
        <v>564</v>
      </c>
      <c r="F16" s="170" t="s">
        <v>403</v>
      </c>
      <c r="AE16">
        <v>2628.5116699754635</v>
      </c>
      <c r="AF16" t="s">
        <v>923</v>
      </c>
    </row>
    <row r="17" spans="2:32" x14ac:dyDescent="0.25">
      <c r="I17" t="s">
        <v>830</v>
      </c>
      <c r="J17" t="s">
        <v>390</v>
      </c>
      <c r="K17" t="s">
        <v>348</v>
      </c>
      <c r="AE17">
        <f>AE16/kg_to_lb</f>
        <v>1192.2742558697025</v>
      </c>
      <c r="AF17" t="s">
        <v>922</v>
      </c>
    </row>
    <row r="18" spans="2:32" x14ac:dyDescent="0.25">
      <c r="B18" s="185" t="s">
        <v>618</v>
      </c>
      <c r="C18" s="185"/>
      <c r="D18" s="185" t="s">
        <v>535</v>
      </c>
      <c r="F18" t="s">
        <v>423</v>
      </c>
      <c r="H18" s="32"/>
      <c r="I18" s="32">
        <f>'Indoor Inputs'!K60</f>
        <v>403.64625000000001</v>
      </c>
      <c r="J18" s="32">
        <f>'Indoor Inputs'!K61</f>
        <v>403.64625000000001</v>
      </c>
      <c r="K18" s="32">
        <f>'Indoor Inputs'!K62</f>
        <v>672.74374999999998</v>
      </c>
      <c r="AE18">
        <f>AE17/tonnes_to_kgs</f>
        <v>1.1922742558697026</v>
      </c>
      <c r="AF18" t="s">
        <v>924</v>
      </c>
    </row>
    <row r="19" spans="2:32" x14ac:dyDescent="0.25">
      <c r="B19" t="s">
        <v>618</v>
      </c>
      <c r="C19">
        <v>0.9</v>
      </c>
      <c r="D19" s="53" t="s">
        <v>534</v>
      </c>
      <c r="F19" t="s">
        <v>409</v>
      </c>
      <c r="H19" s="10"/>
      <c r="I19" s="10">
        <f>-0.0601*LN(I18)+0.52522</f>
        <v>0.16458761357817159</v>
      </c>
      <c r="J19" s="10">
        <f>-0.0601*LN(J18)+0.52522</f>
        <v>0.16458761357817159</v>
      </c>
      <c r="K19" s="10">
        <f>-0.0601*LN(K18)+0.52522</f>
        <v>0.13388699358983558</v>
      </c>
      <c r="N19" t="s">
        <v>553</v>
      </c>
      <c r="AE19">
        <f>AE18*tonnes_to_tons</f>
        <v>1.3142570213018323</v>
      </c>
      <c r="AF19" t="s">
        <v>925</v>
      </c>
    </row>
    <row r="20" spans="2:32" x14ac:dyDescent="0.25">
      <c r="F20" t="s">
        <v>404</v>
      </c>
      <c r="H20" s="32"/>
      <c r="I20" s="32">
        <f>'Indoor Inputs'!G55</f>
        <v>24</v>
      </c>
      <c r="J20" s="32">
        <f>'Indoor Inputs'!K56</f>
        <v>18</v>
      </c>
      <c r="K20" s="32">
        <f>'Indoor Inputs'!K57</f>
        <v>12</v>
      </c>
      <c r="AE20">
        <f>AE19/lbs_to_oz</f>
        <v>8.2141063831364519E-2</v>
      </c>
      <c r="AF20" t="s">
        <v>926</v>
      </c>
    </row>
    <row r="21" spans="2:32" x14ac:dyDescent="0.25">
      <c r="F21" t="s">
        <v>405</v>
      </c>
      <c r="H21" s="32"/>
      <c r="I21" s="32">
        <f>'Indoor Inputs'!K50</f>
        <v>3.1428571428571428</v>
      </c>
      <c r="J21" s="32">
        <f>'Indoor Inputs'!K51</f>
        <v>7.1428571428571432</v>
      </c>
      <c r="K21" s="32">
        <f>'Indoor Inputs'!K52</f>
        <v>8.1428571428571423</v>
      </c>
      <c r="L21" s="32"/>
      <c r="M21" s="32"/>
      <c r="AE21" s="37">
        <f>AE20*tons_to_lbs</f>
        <v>164.28212766272904</v>
      </c>
      <c r="AF21" t="s">
        <v>927</v>
      </c>
    </row>
    <row r="22" spans="2:32" x14ac:dyDescent="0.25">
      <c r="B22" s="158" t="s">
        <v>376</v>
      </c>
      <c r="C22" s="158"/>
      <c r="D22" s="158"/>
      <c r="F22" t="s">
        <v>425</v>
      </c>
      <c r="I22" s="31">
        <f>I18*(hr_to_min*min_to_sec)*I20*week_to_days*I21*(1-I19)</f>
        <v>640970815.12875783</v>
      </c>
      <c r="J22" s="31">
        <f>J18*(hr_to_min*min_to_sec)*J20*week_to_days*J21*(1-J19)</f>
        <v>1092563889.4240191</v>
      </c>
      <c r="K22" s="31">
        <f>K18*(hr_to_min*min_to_sec)*K20*week_to_days*K21*(1-K19)</f>
        <v>1434771808.2345788</v>
      </c>
    </row>
    <row r="23" spans="2:32" x14ac:dyDescent="0.25">
      <c r="B23" s="158" t="s">
        <v>377</v>
      </c>
      <c r="C23" s="158" t="s">
        <v>378</v>
      </c>
      <c r="D23" s="158" t="s">
        <v>379</v>
      </c>
      <c r="F23" t="s">
        <v>408</v>
      </c>
      <c r="H23" s="32">
        <f>'Indoor Inputs'!K29</f>
        <v>6.1864406779661021</v>
      </c>
    </row>
    <row r="24" spans="2:32" s="31" customFormat="1" x14ac:dyDescent="0.25">
      <c r="B24" s="171"/>
      <c r="C24" s="171"/>
      <c r="D24" s="171"/>
      <c r="F24" s="31" t="s">
        <v>418</v>
      </c>
      <c r="H24" s="32">
        <f>'Indoor Inputs'!K18</f>
        <v>0.43899789338245743</v>
      </c>
    </row>
    <row r="25" spans="2:32" s="31" customFormat="1" x14ac:dyDescent="0.25">
      <c r="B25" s="171"/>
      <c r="C25" s="171">
        <f>SUM(H22:K22)</f>
        <v>3168306512.7873554</v>
      </c>
      <c r="D25" s="171" t="s">
        <v>426</v>
      </c>
      <c r="F25" s="31" t="s">
        <v>419</v>
      </c>
      <c r="H25" s="32">
        <f>'Indoor Inputs'!K8</f>
        <v>938.18181818181813</v>
      </c>
    </row>
    <row r="26" spans="2:32" x14ac:dyDescent="0.25">
      <c r="C26">
        <f>C25/MJ_to_kJ/kJ_to_J</f>
        <v>3168.3065127873556</v>
      </c>
      <c r="D26" t="s">
        <v>427</v>
      </c>
      <c r="F26" s="171" t="s">
        <v>421</v>
      </c>
      <c r="H26">
        <f>H22/$H$24</f>
        <v>0</v>
      </c>
      <c r="I26" s="31">
        <f>I22/$H$24</f>
        <v>1460077200.3485229</v>
      </c>
      <c r="J26" s="31">
        <f>J22/$H$24</f>
        <v>2488767955.1395278</v>
      </c>
      <c r="K26" s="31">
        <f>K22/$H$24</f>
        <v>3268288595.1450286</v>
      </c>
    </row>
    <row r="27" spans="2:32" x14ac:dyDescent="0.25">
      <c r="C27">
        <f>C26/kWh_to_MJ</f>
        <v>880.08514244093203</v>
      </c>
      <c r="D27" t="s">
        <v>428</v>
      </c>
      <c r="F27" s="172" t="s">
        <v>422</v>
      </c>
      <c r="G27" s="33"/>
      <c r="H27" s="33">
        <f>H26/MJ_to_kJ/kJ_to_J</f>
        <v>0</v>
      </c>
      <c r="I27" s="33">
        <f>I26/MJ_to_kJ/kJ_to_J</f>
        <v>1460.0772003485231</v>
      </c>
      <c r="J27" s="33">
        <f>J26/MJ_to_kJ/kJ_to_J</f>
        <v>2488.7679551395281</v>
      </c>
      <c r="K27" s="33">
        <f>K26/MJ_to_kJ/kJ_to_J</f>
        <v>3268.2885951450285</v>
      </c>
    </row>
    <row r="28" spans="2:32" x14ac:dyDescent="0.25">
      <c r="B28" t="s">
        <v>430</v>
      </c>
      <c r="C28" s="157">
        <f>C27/m2_to_ft2</f>
        <v>81.76266431692342</v>
      </c>
      <c r="D28" s="157" t="s">
        <v>429</v>
      </c>
      <c r="F28" s="172" t="s">
        <v>614</v>
      </c>
      <c r="H28">
        <f>H21*H20*H18*(1-H19)*$H$23*$H$25*week_to_days/kW_to_W</f>
        <v>0</v>
      </c>
      <c r="I28" s="31">
        <f>I21*I20*I18*(1-I19)*$H$23*$H$25*week_to_days/kW_to_W</f>
        <v>1033388.4893113361</v>
      </c>
      <c r="J28" s="31">
        <f>J21*J20*J18*(1-J19)*$H$23*$H$25*week_to_days/kW_to_W</f>
        <v>1761457.6522352318</v>
      </c>
      <c r="K28" s="31">
        <f>K21*K20*K18*(1-K19)*$H$23*$H$25*week_to_days/kW_to_W</f>
        <v>2313173.4494341775</v>
      </c>
    </row>
    <row r="29" spans="2:32" x14ac:dyDescent="0.25">
      <c r="G29" t="s">
        <v>615</v>
      </c>
      <c r="H29">
        <f>SUM(H28:K28)</f>
        <v>5108019.5909807459</v>
      </c>
    </row>
    <row r="30" spans="2:32" x14ac:dyDescent="0.25">
      <c r="F30" s="171"/>
      <c r="G30" s="171"/>
      <c r="H30" s="250"/>
      <c r="I30" s="171"/>
      <c r="J30" s="171"/>
      <c r="K30" s="171"/>
      <c r="L30" s="171"/>
      <c r="M30" s="171"/>
      <c r="P30" s="171"/>
      <c r="Q30" s="171"/>
      <c r="R30" s="171"/>
    </row>
    <row r="32" spans="2:32" x14ac:dyDescent="0.25">
      <c r="B32" s="185" t="s">
        <v>569</v>
      </c>
      <c r="C32" s="185"/>
      <c r="D32" s="185" t="s">
        <v>570</v>
      </c>
      <c r="AE32">
        <v>1</v>
      </c>
      <c r="AF32" t="s">
        <v>928</v>
      </c>
    </row>
    <row r="33" spans="2:32" s="31" customFormat="1" x14ac:dyDescent="0.25">
      <c r="B33" s="31" t="s">
        <v>495</v>
      </c>
      <c r="D33" s="31">
        <v>5050</v>
      </c>
      <c r="AE33" s="31">
        <v>453.59199999999998</v>
      </c>
      <c r="AF33" s="31" t="s">
        <v>929</v>
      </c>
    </row>
    <row r="34" spans="2:32" s="31" customFormat="1" x14ac:dyDescent="0.25">
      <c r="B34" s="31" t="s">
        <v>573</v>
      </c>
      <c r="D34" s="31">
        <v>13.2</v>
      </c>
      <c r="AE34" s="31">
        <f>AE19/AE33</f>
        <v>2.8974431235600107E-3</v>
      </c>
      <c r="AF34" s="31" t="s">
        <v>930</v>
      </c>
    </row>
    <row r="35" spans="2:32" s="31" customFormat="1" x14ac:dyDescent="0.25">
      <c r="B35" s="31" t="s">
        <v>574</v>
      </c>
      <c r="AE35" s="31">
        <f>AE34*tons_to_lbs</f>
        <v>5.7948862471200213</v>
      </c>
      <c r="AF35" s="31" t="s">
        <v>931</v>
      </c>
    </row>
    <row r="36" spans="2:32" s="31" customFormat="1" x14ac:dyDescent="0.25">
      <c r="AE36" s="31">
        <f>AE35/3</f>
        <v>1.931628749040007</v>
      </c>
      <c r="AF36" s="31" t="s">
        <v>932</v>
      </c>
    </row>
    <row r="37" spans="2:32" s="31" customFormat="1" x14ac:dyDescent="0.25"/>
    <row r="38" spans="2:32" s="31" customFormat="1" x14ac:dyDescent="0.25"/>
    <row r="39" spans="2:32" ht="15.75" thickBot="1" x14ac:dyDescent="0.3"/>
    <row r="40" spans="2:32" x14ac:dyDescent="0.25">
      <c r="B40" s="188" t="s">
        <v>515</v>
      </c>
      <c r="C40" s="50" t="s">
        <v>474</v>
      </c>
      <c r="D40" s="50"/>
      <c r="E40" s="50"/>
      <c r="F40" s="50"/>
      <c r="G40" s="50"/>
      <c r="H40" s="50"/>
      <c r="I40" s="50"/>
      <c r="J40" s="50"/>
      <c r="K40" s="50"/>
      <c r="L40" s="51"/>
      <c r="N40" s="188" t="s">
        <v>516</v>
      </c>
      <c r="O40" s="50" t="s">
        <v>474</v>
      </c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1"/>
    </row>
    <row r="41" spans="2:32" x14ac:dyDescent="0.25">
      <c r="B41" s="52"/>
      <c r="C41" s="53"/>
      <c r="D41" s="53"/>
      <c r="E41" s="53"/>
      <c r="F41" s="53"/>
      <c r="G41" s="53"/>
      <c r="H41" s="53"/>
      <c r="I41" s="53"/>
      <c r="J41" s="53"/>
      <c r="K41" s="53"/>
      <c r="L41" s="54"/>
      <c r="N41" s="52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</row>
    <row r="42" spans="2:32" x14ac:dyDescent="0.25">
      <c r="B42" s="52"/>
      <c r="C42" s="53" t="s">
        <v>475</v>
      </c>
      <c r="D42" s="53">
        <v>3.4119999999999999</v>
      </c>
      <c r="E42" s="53"/>
      <c r="F42" s="53"/>
      <c r="G42" s="53"/>
      <c r="H42" s="53"/>
      <c r="I42" s="53"/>
      <c r="J42" s="53"/>
      <c r="K42" s="53"/>
      <c r="L42" s="54"/>
      <c r="N42" s="52"/>
      <c r="O42" s="53" t="s">
        <v>475</v>
      </c>
      <c r="P42" s="53">
        <v>3.4119999999999999</v>
      </c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</row>
    <row r="43" spans="2:32" x14ac:dyDescent="0.25">
      <c r="B43" s="52"/>
      <c r="C43" s="53" t="s">
        <v>511</v>
      </c>
      <c r="D43" s="53"/>
      <c r="E43" s="53"/>
      <c r="F43" s="53"/>
      <c r="G43" s="53"/>
      <c r="H43" s="53"/>
      <c r="I43" s="53"/>
      <c r="J43" s="53"/>
      <c r="K43" s="53"/>
      <c r="L43" s="54"/>
      <c r="N43" s="52"/>
      <c r="O43" s="53" t="s">
        <v>511</v>
      </c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</row>
    <row r="44" spans="2:32" x14ac:dyDescent="0.25">
      <c r="B44" s="52"/>
      <c r="C44" s="53"/>
      <c r="D44" s="53"/>
      <c r="E44" s="53" t="s">
        <v>278</v>
      </c>
      <c r="F44" s="53" t="s">
        <v>346</v>
      </c>
      <c r="G44" s="53" t="s">
        <v>390</v>
      </c>
      <c r="H44" s="53" t="s">
        <v>476</v>
      </c>
      <c r="I44" s="53" t="s">
        <v>477</v>
      </c>
      <c r="J44" s="53" t="s">
        <v>319</v>
      </c>
      <c r="K44" s="53"/>
      <c r="L44" s="54"/>
      <c r="N44" s="52"/>
      <c r="O44" s="53"/>
      <c r="P44" s="53"/>
      <c r="Q44" s="53" t="s">
        <v>278</v>
      </c>
      <c r="R44" s="53" t="s">
        <v>346</v>
      </c>
      <c r="S44" s="53" t="s">
        <v>390</v>
      </c>
      <c r="T44" s="53" t="s">
        <v>476</v>
      </c>
      <c r="U44" s="53" t="s">
        <v>477</v>
      </c>
      <c r="V44" s="53" t="s">
        <v>319</v>
      </c>
      <c r="W44" s="53"/>
      <c r="X44" s="53"/>
      <c r="Y44" s="53"/>
      <c r="Z44" s="53"/>
      <c r="AA44" s="54"/>
    </row>
    <row r="45" spans="2:32" x14ac:dyDescent="0.25">
      <c r="B45" s="52"/>
      <c r="C45" s="53" t="s">
        <v>478</v>
      </c>
      <c r="D45" s="53"/>
      <c r="E45" s="53" t="e">
        <f>(E32*E28*E22*'Indoor Backup Calcs'!H19+E39*E29*E23+E40*E30*E24+E41*E31*E25)*#REF!*E18</f>
        <v>#REF!</v>
      </c>
      <c r="F45" s="53">
        <f>$D$42*I20*week_to_days*I21</f>
        <v>1801.5360000000001</v>
      </c>
      <c r="G45" s="53">
        <f>$D$42*J20*week_to_days*J21</f>
        <v>3070.8</v>
      </c>
      <c r="H45" s="53">
        <f>$D$42*K20*week_to_days*K21</f>
        <v>2333.808</v>
      </c>
      <c r="I45" s="53">
        <f>$D$42*L20*week_to_days*L21</f>
        <v>0</v>
      </c>
      <c r="J45" s="53">
        <f>$D$42*M20*week_to_days*M21</f>
        <v>0</v>
      </c>
      <c r="K45" s="53"/>
      <c r="L45" s="54"/>
      <c r="N45" s="52"/>
      <c r="O45" s="53" t="s">
        <v>478</v>
      </c>
      <c r="P45" s="53"/>
      <c r="Q45" s="53">
        <v>0</v>
      </c>
      <c r="R45" s="53">
        <v>0</v>
      </c>
      <c r="S45" s="53">
        <v>0</v>
      </c>
      <c r="T45" s="53">
        <v>0</v>
      </c>
      <c r="U45" s="53">
        <v>0</v>
      </c>
      <c r="V45" s="53">
        <v>0</v>
      </c>
      <c r="W45" s="53"/>
      <c r="X45" s="53"/>
      <c r="Y45" s="53"/>
      <c r="Z45" s="53"/>
      <c r="AA45" s="54"/>
    </row>
    <row r="46" spans="2:32" x14ac:dyDescent="0.25">
      <c r="B46" s="52"/>
      <c r="C46" s="53" t="s">
        <v>479</v>
      </c>
      <c r="D46" s="53"/>
      <c r="E46" s="53" t="e">
        <f t="shared" ref="E46:J46" si="0">E45*BTU_to_J</f>
        <v>#REF!</v>
      </c>
      <c r="F46" s="53">
        <f t="shared" si="0"/>
        <v>1900728.57216</v>
      </c>
      <c r="G46" s="53">
        <f t="shared" si="0"/>
        <v>3239878.2480000001</v>
      </c>
      <c r="H46" s="53">
        <f t="shared" si="0"/>
        <v>2462307.4684799998</v>
      </c>
      <c r="I46" s="53">
        <f t="shared" si="0"/>
        <v>0</v>
      </c>
      <c r="J46" s="53">
        <f t="shared" si="0"/>
        <v>0</v>
      </c>
      <c r="K46" s="53"/>
      <c r="L46" s="54"/>
      <c r="N46" s="52"/>
      <c r="O46" s="53" t="s">
        <v>479</v>
      </c>
      <c r="P46" s="53"/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53"/>
      <c r="X46" s="53"/>
      <c r="Y46" s="53"/>
      <c r="Z46" s="53"/>
      <c r="AA46" s="54"/>
    </row>
    <row r="47" spans="2:32" x14ac:dyDescent="0.25">
      <c r="B47" s="52"/>
      <c r="C47" s="53" t="s">
        <v>480</v>
      </c>
      <c r="D47" s="53"/>
      <c r="E47" s="53" t="e">
        <f t="shared" ref="E47:J47" si="1">E46/kJ_to_J/MJ_to_kJ</f>
        <v>#REF!</v>
      </c>
      <c r="F47" s="53">
        <f t="shared" si="1"/>
        <v>1.9007285721599998</v>
      </c>
      <c r="G47" s="53">
        <f t="shared" si="1"/>
        <v>3.2398782480000001</v>
      </c>
      <c r="H47" s="53">
        <f t="shared" si="1"/>
        <v>2.4623074684799997</v>
      </c>
      <c r="I47" s="53">
        <f t="shared" si="1"/>
        <v>0</v>
      </c>
      <c r="J47" s="53">
        <f t="shared" si="1"/>
        <v>0</v>
      </c>
      <c r="K47" s="53"/>
      <c r="L47" s="54"/>
      <c r="N47" s="52"/>
      <c r="O47" s="53" t="s">
        <v>480</v>
      </c>
      <c r="P47" s="53"/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/>
      <c r="X47" s="53"/>
      <c r="Y47" s="53"/>
      <c r="Z47" s="53"/>
      <c r="AA47" s="54"/>
    </row>
    <row r="48" spans="2:32" x14ac:dyDescent="0.25">
      <c r="B48" s="52"/>
      <c r="C48" s="53" t="s">
        <v>481</v>
      </c>
      <c r="D48" s="53"/>
      <c r="E48" s="53" t="e">
        <f>E47/$H$24</f>
        <v>#REF!</v>
      </c>
      <c r="F48" s="53">
        <f>F47/$H$24</f>
        <v>4.3296986177199592</v>
      </c>
      <c r="G48" s="53">
        <f>G47/$H$24</f>
        <v>7.380168098386295</v>
      </c>
      <c r="H48" s="53">
        <f>H47/$H$24</f>
        <v>5.6089277547735827</v>
      </c>
      <c r="I48" s="53"/>
      <c r="J48" s="53"/>
      <c r="K48" s="53"/>
      <c r="L48" s="54"/>
      <c r="N48" s="52"/>
      <c r="O48" s="53" t="s">
        <v>481</v>
      </c>
      <c r="P48" s="53"/>
      <c r="Q48" s="53">
        <v>0</v>
      </c>
      <c r="R48" s="53">
        <f>R47/$H$24</f>
        <v>0</v>
      </c>
      <c r="S48" s="53">
        <v>0</v>
      </c>
      <c r="T48" s="53">
        <v>0</v>
      </c>
      <c r="U48" s="53"/>
      <c r="V48" s="53"/>
      <c r="W48" s="53"/>
      <c r="X48" s="53"/>
      <c r="Y48" s="53"/>
      <c r="Z48" s="53"/>
      <c r="AA48" s="54"/>
    </row>
    <row r="49" spans="2:27" x14ac:dyDescent="0.25">
      <c r="B49" s="52"/>
      <c r="C49" s="53" t="s">
        <v>481</v>
      </c>
      <c r="D49" s="53"/>
      <c r="E49" s="53" t="e">
        <f>SUM(E48:H48)</f>
        <v>#REF!</v>
      </c>
      <c r="F49" s="53"/>
      <c r="G49" s="53"/>
      <c r="H49" s="53"/>
      <c r="I49" s="53"/>
      <c r="J49" s="53"/>
      <c r="K49" s="53"/>
      <c r="L49" s="54"/>
      <c r="N49" s="52"/>
      <c r="O49" s="53" t="s">
        <v>481</v>
      </c>
      <c r="P49" s="53"/>
      <c r="Q49" s="53">
        <v>0</v>
      </c>
      <c r="R49" s="53"/>
      <c r="S49" s="53"/>
      <c r="T49" s="53"/>
      <c r="U49" s="53"/>
      <c r="V49" s="53"/>
      <c r="W49" s="53"/>
      <c r="X49" s="53"/>
      <c r="Y49" s="53"/>
      <c r="Z49" s="53"/>
      <c r="AA49" s="54"/>
    </row>
    <row r="50" spans="2:27" x14ac:dyDescent="0.25">
      <c r="B50" s="52"/>
      <c r="C50" s="53"/>
      <c r="D50" s="53"/>
      <c r="E50" s="53"/>
      <c r="F50" s="53"/>
      <c r="G50" s="53"/>
      <c r="H50" s="53"/>
      <c r="I50" s="53"/>
      <c r="J50" s="53"/>
      <c r="K50" s="53"/>
      <c r="L50" s="54"/>
      <c r="N50" s="52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</row>
    <row r="51" spans="2:27" x14ac:dyDescent="0.25">
      <c r="B51" s="52"/>
      <c r="C51" s="185" t="s">
        <v>492</v>
      </c>
      <c r="D51" s="73"/>
      <c r="E51" s="73"/>
      <c r="F51" s="73"/>
      <c r="G51" s="73"/>
      <c r="H51" s="73"/>
      <c r="I51" s="73"/>
      <c r="J51" s="73"/>
      <c r="K51" s="53"/>
      <c r="L51" s="54"/>
      <c r="N51" s="52"/>
      <c r="O51" s="185" t="s">
        <v>492</v>
      </c>
      <c r="P51" s="73"/>
      <c r="Q51" s="73"/>
      <c r="R51" s="73"/>
      <c r="S51" s="73"/>
      <c r="T51" s="73"/>
      <c r="U51" s="73"/>
      <c r="V51" s="73"/>
      <c r="W51" s="53"/>
      <c r="X51" s="53"/>
      <c r="Y51" s="53"/>
      <c r="Z51" s="53"/>
      <c r="AA51" s="54"/>
    </row>
    <row r="52" spans="2:27" x14ac:dyDescent="0.25">
      <c r="B52" s="52"/>
      <c r="C52" s="186" t="s">
        <v>493</v>
      </c>
      <c r="D52" s="186"/>
      <c r="E52" s="197">
        <f>'Indoor Inputs'!K6</f>
        <v>1376</v>
      </c>
      <c r="F52" s="186" t="s">
        <v>159</v>
      </c>
      <c r="G52" s="186"/>
      <c r="H52" s="186"/>
      <c r="I52" s="186"/>
      <c r="J52" s="186"/>
      <c r="K52" s="186"/>
      <c r="L52" s="187"/>
      <c r="N52" s="52"/>
      <c r="O52" s="186" t="s">
        <v>493</v>
      </c>
      <c r="P52" s="186"/>
      <c r="Q52" s="186">
        <f>'Indoor Inputs'!S6</f>
        <v>0</v>
      </c>
      <c r="R52" s="186" t="s">
        <v>159</v>
      </c>
      <c r="S52" s="186"/>
      <c r="T52" s="186"/>
      <c r="U52" s="186"/>
      <c r="V52" s="186"/>
      <c r="W52" s="186"/>
      <c r="X52" s="186"/>
      <c r="Y52" s="53"/>
      <c r="Z52" s="53"/>
      <c r="AA52" s="54"/>
    </row>
    <row r="53" spans="2:27" x14ac:dyDescent="0.25">
      <c r="B53" s="52"/>
      <c r="C53" s="186"/>
      <c r="D53" s="186"/>
      <c r="E53" s="186">
        <f>E52*8</f>
        <v>11008</v>
      </c>
      <c r="F53" s="186" t="s">
        <v>494</v>
      </c>
      <c r="G53" s="186"/>
      <c r="H53" s="186"/>
      <c r="I53" s="186"/>
      <c r="J53" s="186"/>
      <c r="K53" s="186"/>
      <c r="L53" s="187"/>
      <c r="N53" s="52"/>
      <c r="O53" s="186"/>
      <c r="P53" s="186"/>
      <c r="Q53" s="186">
        <f>Q52*8</f>
        <v>0</v>
      </c>
      <c r="R53" s="186" t="s">
        <v>494</v>
      </c>
      <c r="S53" s="186"/>
      <c r="T53" s="186"/>
      <c r="U53" s="186"/>
      <c r="V53" s="186"/>
      <c r="W53" s="186"/>
      <c r="X53" s="186"/>
      <c r="Y53" s="53"/>
      <c r="Z53" s="53"/>
      <c r="AA53" s="54"/>
    </row>
    <row r="54" spans="2:27" x14ac:dyDescent="0.25">
      <c r="B54" s="52"/>
      <c r="C54" s="186"/>
      <c r="D54" s="186"/>
      <c r="E54" s="186">
        <f>E53/2</f>
        <v>5504</v>
      </c>
      <c r="F54" s="186" t="s">
        <v>495</v>
      </c>
      <c r="G54" s="186"/>
      <c r="H54" s="186"/>
      <c r="I54" s="186"/>
      <c r="J54" s="186"/>
      <c r="K54" s="186"/>
      <c r="L54" s="187"/>
      <c r="N54" s="52"/>
      <c r="O54" s="186"/>
      <c r="P54" s="186"/>
      <c r="Q54" s="186">
        <f>Q53/2</f>
        <v>0</v>
      </c>
      <c r="R54" s="186" t="s">
        <v>495</v>
      </c>
      <c r="S54" s="186"/>
      <c r="T54" s="186"/>
      <c r="U54" s="186"/>
      <c r="V54" s="186"/>
      <c r="W54" s="186"/>
      <c r="X54" s="186"/>
      <c r="Y54" s="53"/>
      <c r="Z54" s="53"/>
      <c r="AA54" s="54"/>
    </row>
    <row r="55" spans="2:27" x14ac:dyDescent="0.25">
      <c r="B55" s="52"/>
      <c r="C55" s="186"/>
      <c r="D55" s="186"/>
      <c r="E55" s="186">
        <v>0.2</v>
      </c>
      <c r="F55" s="186" t="s">
        <v>496</v>
      </c>
      <c r="G55" s="186"/>
      <c r="H55" s="186"/>
      <c r="I55" s="186"/>
      <c r="J55" s="186"/>
      <c r="K55" s="186"/>
      <c r="L55" s="187"/>
      <c r="N55" s="52"/>
      <c r="O55" s="186"/>
      <c r="P55" s="186"/>
      <c r="Q55" s="186">
        <v>0.2</v>
      </c>
      <c r="R55" s="186" t="s">
        <v>496</v>
      </c>
      <c r="S55" s="186"/>
      <c r="T55" s="186"/>
      <c r="U55" s="186"/>
      <c r="V55" s="186"/>
      <c r="W55" s="186"/>
      <c r="X55" s="186"/>
      <c r="Y55" s="53"/>
      <c r="Z55" s="53"/>
      <c r="AA55" s="54"/>
    </row>
    <row r="56" spans="2:27" x14ac:dyDescent="0.25">
      <c r="B56" s="52"/>
      <c r="C56" s="186"/>
      <c r="D56" s="186"/>
      <c r="E56" s="186">
        <f>E54*(1+E55)</f>
        <v>6604.8</v>
      </c>
      <c r="F56" s="186" t="s">
        <v>495</v>
      </c>
      <c r="G56" s="186"/>
      <c r="H56" s="186"/>
      <c r="I56" s="186"/>
      <c r="J56" s="186"/>
      <c r="K56" s="186"/>
      <c r="L56" s="187"/>
      <c r="N56" s="52"/>
      <c r="O56" s="186"/>
      <c r="P56" s="186"/>
      <c r="Q56" s="186">
        <f>Q54*(1+Q55)</f>
        <v>0</v>
      </c>
      <c r="R56" s="186" t="s">
        <v>495</v>
      </c>
      <c r="S56" s="186"/>
      <c r="T56" s="186"/>
      <c r="U56" s="186"/>
      <c r="V56" s="186"/>
      <c r="W56" s="186"/>
      <c r="X56" s="186"/>
      <c r="Y56" s="53"/>
      <c r="Z56" s="53"/>
      <c r="AA56" s="54"/>
    </row>
    <row r="57" spans="2:27" x14ac:dyDescent="0.25">
      <c r="B57" s="52"/>
      <c r="C57" s="186" t="s">
        <v>497</v>
      </c>
      <c r="D57" s="186"/>
      <c r="E57" s="186"/>
      <c r="F57" s="186"/>
      <c r="G57" s="186"/>
      <c r="H57" s="186"/>
      <c r="I57" s="186" t="s">
        <v>500</v>
      </c>
      <c r="J57" s="186"/>
      <c r="K57" s="186"/>
      <c r="L57" s="187"/>
      <c r="N57" s="52"/>
      <c r="O57" s="186" t="s">
        <v>497</v>
      </c>
      <c r="P57" s="186"/>
      <c r="Q57" s="186"/>
      <c r="R57" s="186"/>
      <c r="S57" s="186"/>
      <c r="T57" s="186"/>
      <c r="U57" s="186" t="s">
        <v>500</v>
      </c>
      <c r="V57" s="186"/>
      <c r="W57" s="186"/>
      <c r="X57" s="186"/>
      <c r="Y57" s="53"/>
      <c r="Z57" s="53"/>
      <c r="AA57" s="54"/>
    </row>
    <row r="58" spans="2:27" x14ac:dyDescent="0.25">
      <c r="B58" s="52"/>
      <c r="C58" s="186"/>
      <c r="D58" s="186"/>
      <c r="E58" s="186">
        <v>4832</v>
      </c>
      <c r="F58" s="186" t="s">
        <v>495</v>
      </c>
      <c r="G58" s="186"/>
      <c r="H58" s="186"/>
      <c r="I58" s="186"/>
      <c r="J58" s="186"/>
      <c r="K58" s="186"/>
      <c r="L58" s="187"/>
      <c r="N58" s="52"/>
      <c r="O58" s="186"/>
      <c r="P58" s="186"/>
      <c r="Q58" s="186">
        <v>4832</v>
      </c>
      <c r="R58" s="186" t="s">
        <v>495</v>
      </c>
      <c r="S58" s="186"/>
      <c r="T58" s="186"/>
      <c r="U58" s="186"/>
      <c r="V58" s="186"/>
      <c r="W58" s="186"/>
      <c r="X58" s="186"/>
      <c r="Y58" s="53"/>
      <c r="Z58" s="53"/>
      <c r="AA58" s="54"/>
    </row>
    <row r="59" spans="2:27" x14ac:dyDescent="0.25">
      <c r="B59" s="52"/>
      <c r="C59" s="186"/>
      <c r="D59" s="186"/>
      <c r="E59" s="186">
        <v>1150</v>
      </c>
      <c r="F59" s="186" t="s">
        <v>391</v>
      </c>
      <c r="G59" s="186"/>
      <c r="H59" s="186"/>
      <c r="I59" s="186"/>
      <c r="J59" s="186"/>
      <c r="K59" s="186"/>
      <c r="L59" s="187"/>
      <c r="N59" s="52"/>
      <c r="O59" s="186"/>
      <c r="P59" s="186"/>
      <c r="Q59" s="186">
        <v>1150</v>
      </c>
      <c r="R59" s="186" t="s">
        <v>391</v>
      </c>
      <c r="S59" s="186"/>
      <c r="T59" s="186"/>
      <c r="U59" s="186"/>
      <c r="V59" s="186"/>
      <c r="W59" s="186"/>
      <c r="X59" s="186"/>
      <c r="Y59" s="53"/>
      <c r="Z59" s="53"/>
      <c r="AA59" s="54"/>
    </row>
    <row r="60" spans="2:27" x14ac:dyDescent="0.25">
      <c r="B60" s="52"/>
      <c r="C60" s="186"/>
      <c r="D60" s="186"/>
      <c r="E60" s="186">
        <f>E59/E58</f>
        <v>0.23799668874172186</v>
      </c>
      <c r="F60" s="186" t="s">
        <v>498</v>
      </c>
      <c r="G60" s="186"/>
      <c r="H60" s="186"/>
      <c r="I60" s="186"/>
      <c r="J60" s="186"/>
      <c r="K60" s="186"/>
      <c r="L60" s="187"/>
      <c r="N60" s="52"/>
      <c r="O60" s="186"/>
      <c r="P60" s="186"/>
      <c r="Q60" s="186">
        <f>Q59/Q58</f>
        <v>0.23799668874172186</v>
      </c>
      <c r="R60" s="186" t="s">
        <v>498</v>
      </c>
      <c r="S60" s="186"/>
      <c r="T60" s="186"/>
      <c r="U60" s="186"/>
      <c r="V60" s="186"/>
      <c r="W60" s="186"/>
      <c r="X60" s="186"/>
      <c r="Y60" s="53"/>
      <c r="Z60" s="53"/>
      <c r="AA60" s="54"/>
    </row>
    <row r="61" spans="2:27" x14ac:dyDescent="0.25">
      <c r="B61" s="52"/>
      <c r="C61" s="186"/>
      <c r="D61" s="186"/>
      <c r="E61" s="186">
        <f>E60*E56</f>
        <v>1571.9205298013246</v>
      </c>
      <c r="F61" s="186" t="s">
        <v>499</v>
      </c>
      <c r="G61" s="186"/>
      <c r="H61" s="186"/>
      <c r="I61" s="186"/>
      <c r="J61" s="186"/>
      <c r="K61" s="186"/>
      <c r="L61" s="187"/>
      <c r="N61" s="52"/>
      <c r="O61" s="186"/>
      <c r="P61" s="186"/>
      <c r="Q61" s="186">
        <f>Q60*Q56</f>
        <v>0</v>
      </c>
      <c r="R61" s="186" t="s">
        <v>499</v>
      </c>
      <c r="S61" s="186"/>
      <c r="T61" s="186"/>
      <c r="U61" s="186"/>
      <c r="V61" s="186"/>
      <c r="W61" s="186"/>
      <c r="X61" s="186"/>
      <c r="Y61" s="53"/>
      <c r="Z61" s="53"/>
      <c r="AA61" s="54"/>
    </row>
    <row r="62" spans="2:27" x14ac:dyDescent="0.25">
      <c r="B62" s="52"/>
      <c r="C62" s="53"/>
      <c r="D62" s="53"/>
      <c r="E62" s="53"/>
      <c r="F62" s="53"/>
      <c r="G62" s="53"/>
      <c r="H62" s="53"/>
      <c r="I62" s="53"/>
      <c r="J62" s="53"/>
      <c r="K62" s="53"/>
      <c r="L62" s="54"/>
      <c r="N62" s="52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</row>
    <row r="63" spans="2:27" x14ac:dyDescent="0.25">
      <c r="B63" s="52"/>
      <c r="C63" s="185" t="s">
        <v>500</v>
      </c>
      <c r="D63" s="73"/>
      <c r="E63" s="73"/>
      <c r="F63" s="73"/>
      <c r="G63" s="73"/>
      <c r="H63" s="73"/>
      <c r="I63" s="73"/>
      <c r="J63" s="73"/>
      <c r="K63" s="53"/>
      <c r="L63" s="54"/>
      <c r="N63" s="52"/>
      <c r="O63" s="185" t="s">
        <v>500</v>
      </c>
      <c r="P63" s="73"/>
      <c r="Q63" s="73"/>
      <c r="R63" s="73"/>
      <c r="S63" s="73"/>
      <c r="T63" s="73"/>
      <c r="U63" s="73"/>
      <c r="V63" s="73"/>
      <c r="W63" s="53"/>
      <c r="X63" s="53" t="s">
        <v>524</v>
      </c>
      <c r="Y63" s="53"/>
      <c r="Z63" s="53"/>
      <c r="AA63" s="54"/>
    </row>
    <row r="64" spans="2:27" x14ac:dyDescent="0.25">
      <c r="B64" s="52"/>
      <c r="C64" s="53" t="s">
        <v>509</v>
      </c>
      <c r="D64" s="53"/>
      <c r="E64" s="194">
        <v>89512933.023927003</v>
      </c>
      <c r="F64" s="194" t="s">
        <v>501</v>
      </c>
      <c r="G64" s="194" t="s">
        <v>502</v>
      </c>
      <c r="H64" s="53"/>
      <c r="I64" s="53"/>
      <c r="J64" s="53"/>
      <c r="K64" s="53"/>
      <c r="L64" s="54"/>
      <c r="N64" s="52"/>
      <c r="O64" s="53" t="s">
        <v>508</v>
      </c>
      <c r="P64" s="53"/>
      <c r="Q64" s="194">
        <v>274758023.24198002</v>
      </c>
      <c r="R64" s="194" t="s">
        <v>501</v>
      </c>
      <c r="S64" s="194" t="s">
        <v>502</v>
      </c>
      <c r="T64" s="53"/>
      <c r="U64" s="53"/>
      <c r="V64" s="53"/>
      <c r="W64" s="53"/>
      <c r="X64" s="53" t="s">
        <v>121</v>
      </c>
      <c r="Y64" s="53">
        <f>4*4*8</f>
        <v>128</v>
      </c>
      <c r="Z64" s="53" t="s">
        <v>525</v>
      </c>
      <c r="AA64" s="54"/>
    </row>
    <row r="65" spans="2:27" x14ac:dyDescent="0.25">
      <c r="B65" s="52"/>
      <c r="C65" s="53"/>
      <c r="D65" s="53"/>
      <c r="E65" s="53">
        <v>325</v>
      </c>
      <c r="F65" s="148" t="s">
        <v>503</v>
      </c>
      <c r="G65" s="53" t="s">
        <v>504</v>
      </c>
      <c r="H65" s="53"/>
      <c r="I65" s="53"/>
      <c r="J65" s="53"/>
      <c r="K65" s="53"/>
      <c r="L65" s="54"/>
      <c r="N65" s="52"/>
      <c r="O65" s="53"/>
      <c r="P65" s="53"/>
      <c r="Q65" s="53">
        <v>1591</v>
      </c>
      <c r="R65" s="148" t="s">
        <v>503</v>
      </c>
      <c r="S65" s="53" t="s">
        <v>504</v>
      </c>
      <c r="T65" s="53"/>
      <c r="U65" s="53"/>
      <c r="V65" s="53"/>
      <c r="W65" s="53"/>
      <c r="X65" s="53"/>
      <c r="Y65" s="53">
        <f>Y64*ft3_to_m3</f>
        <v>3.6245504</v>
      </c>
      <c r="Z65" s="53" t="s">
        <v>122</v>
      </c>
      <c r="AA65" s="54"/>
    </row>
    <row r="66" spans="2:27" x14ac:dyDescent="0.25">
      <c r="B66" s="52"/>
      <c r="C66" s="53"/>
      <c r="D66" s="53"/>
      <c r="E66" s="53">
        <f>E64*(hr_to_min*min_to_sec)*E65</f>
        <v>104730131637994.59</v>
      </c>
      <c r="F66" s="148" t="s">
        <v>505</v>
      </c>
      <c r="G66" s="53"/>
      <c r="H66" s="53"/>
      <c r="I66" s="53"/>
      <c r="J66" s="53"/>
      <c r="K66" s="53"/>
      <c r="L66" s="54"/>
      <c r="N66" s="52"/>
      <c r="O66" s="53"/>
      <c r="P66" s="53"/>
      <c r="Q66" s="53">
        <f>Q64*(hr_to_min*min_to_sec)*Q65</f>
        <v>1573704053920764.8</v>
      </c>
      <c r="R66" s="148" t="s">
        <v>505</v>
      </c>
      <c r="S66" s="53"/>
      <c r="T66" s="53"/>
      <c r="U66" s="53"/>
      <c r="V66" s="53"/>
      <c r="W66" s="53"/>
      <c r="X66" s="53"/>
      <c r="Y66" s="53">
        <v>10</v>
      </c>
      <c r="Z66" s="53"/>
      <c r="AA66" s="54"/>
    </row>
    <row r="67" spans="2:27" x14ac:dyDescent="0.25">
      <c r="B67" s="52"/>
      <c r="C67" s="53"/>
      <c r="D67" s="53"/>
      <c r="E67" s="53">
        <f>E66/kJ_to_J/MJ_to_kJ</f>
        <v>104730131.6379946</v>
      </c>
      <c r="F67" s="148" t="s">
        <v>506</v>
      </c>
      <c r="G67" s="53"/>
      <c r="H67" s="53"/>
      <c r="I67" s="53"/>
      <c r="J67" s="53"/>
      <c r="K67" s="53"/>
      <c r="L67" s="54"/>
      <c r="N67" s="52"/>
      <c r="O67" s="53"/>
      <c r="P67" s="53"/>
      <c r="Q67" s="53">
        <f>Q66/kJ_to_J/MJ_to_kJ</f>
        <v>1573704053.9207647</v>
      </c>
      <c r="R67" s="148" t="s">
        <v>506</v>
      </c>
      <c r="S67" s="53"/>
      <c r="T67" s="53"/>
      <c r="U67" s="53"/>
      <c r="V67" s="53"/>
      <c r="W67" s="53"/>
      <c r="X67" s="53"/>
      <c r="Y67" s="53">
        <f>Y66*Y65</f>
        <v>36.245503999999997</v>
      </c>
      <c r="Z67" s="53" t="s">
        <v>122</v>
      </c>
      <c r="AA67" s="54"/>
    </row>
    <row r="68" spans="2:27" s="31" customFormat="1" x14ac:dyDescent="0.25">
      <c r="B68" s="52"/>
      <c r="C68" s="53"/>
      <c r="D68" s="53"/>
      <c r="E68" s="79">
        <f>E67/C5</f>
        <v>124678728.14046976</v>
      </c>
      <c r="F68" s="148" t="s">
        <v>523</v>
      </c>
      <c r="G68" s="53"/>
      <c r="H68" s="53"/>
      <c r="I68" s="53"/>
      <c r="J68" s="53"/>
      <c r="K68" s="53"/>
      <c r="L68" s="54"/>
      <c r="N68" s="52"/>
      <c r="O68" s="53"/>
      <c r="P68" s="53"/>
      <c r="Q68" s="53">
        <f>Q67/C5</f>
        <v>1873457207.0485291</v>
      </c>
      <c r="R68" s="148" t="s">
        <v>523</v>
      </c>
      <c r="S68" s="53"/>
      <c r="T68" s="53"/>
      <c r="U68" s="53"/>
      <c r="V68" s="53"/>
      <c r="W68" s="53"/>
      <c r="X68" s="53"/>
      <c r="Y68" s="53">
        <f>2726*10</f>
        <v>27260</v>
      </c>
      <c r="Z68" s="148" t="s">
        <v>526</v>
      </c>
      <c r="AA68" s="54"/>
    </row>
    <row r="69" spans="2:27" x14ac:dyDescent="0.25">
      <c r="B69" s="52"/>
      <c r="C69" s="53"/>
      <c r="D69" s="53" t="s">
        <v>507</v>
      </c>
      <c r="E69" s="192">
        <f>E68/H23/H24/H25</f>
        <v>48933.024760897148</v>
      </c>
      <c r="F69" s="192" t="s">
        <v>424</v>
      </c>
      <c r="G69" s="192"/>
      <c r="H69" s="53"/>
      <c r="I69" s="53"/>
      <c r="J69" s="53"/>
      <c r="K69" s="53"/>
      <c r="L69" s="54"/>
      <c r="N69" s="52"/>
      <c r="O69" s="53"/>
      <c r="P69" s="53" t="s">
        <v>507</v>
      </c>
      <c r="Q69" s="192">
        <f>Q68/H23/H24/H25</f>
        <v>735281.22453817551</v>
      </c>
      <c r="R69" s="192" t="s">
        <v>424</v>
      </c>
      <c r="S69" s="192"/>
      <c r="T69" s="53"/>
      <c r="U69" s="53"/>
      <c r="V69" s="53"/>
      <c r="W69" s="53"/>
      <c r="X69" s="53" t="s">
        <v>527</v>
      </c>
      <c r="Y69" s="53">
        <v>1517671.8073899101</v>
      </c>
      <c r="Z69" s="148" t="s">
        <v>501</v>
      </c>
      <c r="AA69" s="54"/>
    </row>
    <row r="70" spans="2:27" x14ac:dyDescent="0.25">
      <c r="B70" s="52"/>
      <c r="C70" s="53"/>
      <c r="D70" s="53"/>
      <c r="E70" s="53"/>
      <c r="F70" s="53"/>
      <c r="G70" s="53"/>
      <c r="H70" s="53"/>
      <c r="I70" s="53"/>
      <c r="J70" s="53"/>
      <c r="K70" s="53"/>
      <c r="L70" s="54"/>
      <c r="N70" s="52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>
        <v>6429</v>
      </c>
      <c r="Z70" s="148" t="s">
        <v>503</v>
      </c>
      <c r="AA70" s="54"/>
    </row>
    <row r="71" spans="2:27" x14ac:dyDescent="0.25">
      <c r="B71" s="52"/>
      <c r="C71" s="77" t="s">
        <v>500</v>
      </c>
      <c r="D71" s="53"/>
      <c r="E71" s="53"/>
      <c r="F71" s="53"/>
      <c r="G71" s="53"/>
      <c r="H71" s="53"/>
      <c r="I71" s="53"/>
      <c r="J71" s="53"/>
      <c r="K71" s="53"/>
      <c r="L71" s="54"/>
      <c r="N71" s="52"/>
      <c r="O71" s="77" t="s">
        <v>500</v>
      </c>
      <c r="P71" s="53"/>
      <c r="Q71" s="53"/>
      <c r="R71" s="53"/>
      <c r="S71" s="53"/>
      <c r="T71" s="53"/>
      <c r="U71" s="53"/>
      <c r="V71" s="53"/>
      <c r="W71" s="53"/>
      <c r="X71" s="53"/>
      <c r="Y71" s="53">
        <f>Y70*(hr_to_min*min_to_sec)*Y69</f>
        <v>35125603378955.035</v>
      </c>
      <c r="Z71" s="148" t="s">
        <v>505</v>
      </c>
      <c r="AA71" s="54"/>
    </row>
    <row r="72" spans="2:27" x14ac:dyDescent="0.25">
      <c r="B72" s="52"/>
      <c r="C72" s="53" t="s">
        <v>512</v>
      </c>
      <c r="D72" s="53"/>
      <c r="E72" s="194">
        <v>6557017767.5448599</v>
      </c>
      <c r="F72" s="194"/>
      <c r="G72" s="194"/>
      <c r="H72" s="53"/>
      <c r="I72" s="53"/>
      <c r="J72" s="53"/>
      <c r="K72" s="53"/>
      <c r="L72" s="54"/>
      <c r="N72" s="52"/>
      <c r="O72" s="53" t="s">
        <v>513</v>
      </c>
      <c r="P72" s="53"/>
      <c r="Q72" s="194">
        <v>1168671101.0307701</v>
      </c>
      <c r="R72" s="194" t="s">
        <v>501</v>
      </c>
      <c r="S72" s="194" t="s">
        <v>502</v>
      </c>
      <c r="T72" s="53"/>
      <c r="U72" s="53"/>
      <c r="V72" s="53"/>
      <c r="W72" s="53"/>
      <c r="X72" s="53"/>
      <c r="Y72" s="53">
        <f>Y71/kJ_to_J/MJ_to_kJ</f>
        <v>35125603.378955029</v>
      </c>
      <c r="Z72" s="148" t="s">
        <v>410</v>
      </c>
      <c r="AA72" s="54"/>
    </row>
    <row r="73" spans="2:27" x14ac:dyDescent="0.25">
      <c r="B73" s="52"/>
      <c r="C73" s="53"/>
      <c r="D73" s="53"/>
      <c r="E73" s="53">
        <v>7291</v>
      </c>
      <c r="F73" s="53" t="s">
        <v>503</v>
      </c>
      <c r="G73" s="53"/>
      <c r="H73" s="53"/>
      <c r="I73" s="53"/>
      <c r="J73" s="53"/>
      <c r="K73" s="53"/>
      <c r="L73" s="54"/>
      <c r="N73" s="52"/>
      <c r="O73" s="53"/>
      <c r="P73" s="53"/>
      <c r="Q73" s="53">
        <v>6112</v>
      </c>
      <c r="R73" s="148" t="s">
        <v>503</v>
      </c>
      <c r="S73" s="53" t="s">
        <v>514</v>
      </c>
      <c r="T73" s="53"/>
      <c r="U73" s="53"/>
      <c r="V73" s="53"/>
      <c r="W73" s="53"/>
      <c r="X73" s="53"/>
      <c r="Y73" s="53">
        <f>Y72/kWh_to_MJ</f>
        <v>9757112.0497097299</v>
      </c>
      <c r="Z73" s="148" t="s">
        <v>526</v>
      </c>
      <c r="AA73" s="54"/>
    </row>
    <row r="74" spans="2:27" x14ac:dyDescent="0.25">
      <c r="B74" s="52"/>
      <c r="C74" s="53"/>
      <c r="D74" s="53"/>
      <c r="E74" s="53">
        <f>E72*(hr_to_min*min_to_sec)*E73</f>
        <v>1.7210597955541046E+17</v>
      </c>
      <c r="F74" s="53" t="s">
        <v>505</v>
      </c>
      <c r="G74" s="53"/>
      <c r="H74" s="53"/>
      <c r="I74" s="53"/>
      <c r="J74" s="53"/>
      <c r="K74" s="53"/>
      <c r="L74" s="54"/>
      <c r="N74" s="52"/>
      <c r="O74" s="53"/>
      <c r="P74" s="53"/>
      <c r="Q74" s="53">
        <f>Q72*(hr_to_min*min_to_sec)*Q73</f>
        <v>2.571450397020024E+16</v>
      </c>
      <c r="R74" s="148" t="s">
        <v>505</v>
      </c>
      <c r="S74" s="53"/>
      <c r="T74" s="53"/>
      <c r="U74" s="53"/>
      <c r="V74" s="53"/>
      <c r="W74" s="53"/>
      <c r="X74" s="53" t="s">
        <v>528</v>
      </c>
      <c r="Y74" s="53">
        <f>Y73/Y68</f>
        <v>357.92780813315221</v>
      </c>
      <c r="Z74" s="53"/>
      <c r="AA74" s="54"/>
    </row>
    <row r="75" spans="2:27" x14ac:dyDescent="0.25">
      <c r="B75" s="52"/>
      <c r="C75" s="53"/>
      <c r="D75" s="53"/>
      <c r="E75" s="53">
        <f>E74/kJ_to_J/MJ_to_kJ</f>
        <v>172105979555.41046</v>
      </c>
      <c r="F75" s="53" t="s">
        <v>410</v>
      </c>
      <c r="G75" s="53"/>
      <c r="H75" s="53"/>
      <c r="I75" s="53"/>
      <c r="J75" s="53"/>
      <c r="K75" s="53"/>
      <c r="L75" s="54"/>
      <c r="N75" s="52"/>
      <c r="O75" s="53"/>
      <c r="P75" s="53"/>
      <c r="Q75" s="53">
        <f>Q74/kJ_to_J/MJ_to_kJ</f>
        <v>25714503970.200237</v>
      </c>
      <c r="R75" s="148" t="s">
        <v>410</v>
      </c>
      <c r="S75" s="53"/>
      <c r="T75" s="53"/>
      <c r="U75" s="53"/>
      <c r="V75" s="53"/>
      <c r="W75" s="53"/>
      <c r="X75" s="53"/>
      <c r="Y75" s="53"/>
      <c r="Z75" s="53"/>
      <c r="AA75" s="54"/>
    </row>
    <row r="76" spans="2:27" s="31" customFormat="1" x14ac:dyDescent="0.25">
      <c r="B76" s="52"/>
      <c r="C76" s="53"/>
      <c r="D76" s="53"/>
      <c r="E76" s="53">
        <f>E75/C5</f>
        <v>204888070899.29816</v>
      </c>
      <c r="F76" s="148" t="s">
        <v>523</v>
      </c>
      <c r="G76" s="53"/>
      <c r="H76" s="53"/>
      <c r="I76" s="53"/>
      <c r="J76" s="53"/>
      <c r="K76" s="53"/>
      <c r="L76" s="54"/>
      <c r="N76" s="52"/>
      <c r="O76" s="53"/>
      <c r="P76" s="53"/>
      <c r="Q76" s="53">
        <f>Q75/C5</f>
        <v>30612504726.428852</v>
      </c>
      <c r="R76" s="148" t="s">
        <v>523</v>
      </c>
      <c r="S76" s="53"/>
      <c r="T76" s="53"/>
      <c r="U76" s="53"/>
      <c r="V76" s="53"/>
      <c r="W76" s="53"/>
      <c r="X76" s="53"/>
      <c r="Y76" s="53"/>
      <c r="Z76" s="53"/>
      <c r="AA76" s="54"/>
    </row>
    <row r="77" spans="2:27" x14ac:dyDescent="0.25">
      <c r="B77" s="52"/>
      <c r="C77" s="53"/>
      <c r="D77" s="53"/>
      <c r="E77" s="193">
        <f>E76/H23/H24/H25</f>
        <v>80413019.895681083</v>
      </c>
      <c r="F77" s="193" t="s">
        <v>424</v>
      </c>
      <c r="G77" s="193"/>
      <c r="H77" s="53"/>
      <c r="I77" s="53"/>
      <c r="J77" s="53"/>
      <c r="K77" s="53"/>
      <c r="L77" s="54"/>
      <c r="N77" s="52"/>
      <c r="O77" s="53"/>
      <c r="P77" s="53"/>
      <c r="Q77" s="193">
        <f>Q76/H23/H24/H25</f>
        <v>12014579.183738055</v>
      </c>
      <c r="R77" s="193" t="s">
        <v>424</v>
      </c>
      <c r="S77" s="193"/>
      <c r="T77" s="53"/>
      <c r="U77" s="53"/>
      <c r="V77" s="53"/>
      <c r="W77" s="53"/>
      <c r="X77" s="53"/>
      <c r="Y77" s="53"/>
      <c r="Z77" s="53"/>
      <c r="AA77" s="54"/>
    </row>
    <row r="78" spans="2:27" ht="15.75" thickBot="1" x14ac:dyDescent="0.3">
      <c r="B78" s="55"/>
      <c r="C78" s="47"/>
      <c r="D78" s="47"/>
      <c r="E78" s="47"/>
      <c r="F78" s="47"/>
      <c r="G78" s="47"/>
      <c r="H78" s="47"/>
      <c r="I78" s="47"/>
      <c r="J78" s="47"/>
      <c r="K78" s="47"/>
      <c r="L78" s="57"/>
      <c r="N78" s="55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57"/>
    </row>
    <row r="79" spans="2:27" x14ac:dyDescent="0.25">
      <c r="C79" s="53"/>
      <c r="D79" s="53"/>
      <c r="E79" s="53"/>
      <c r="F79" s="53"/>
      <c r="G79" s="53"/>
      <c r="H79" s="53"/>
    </row>
    <row r="80" spans="2:27" x14ac:dyDescent="0.25">
      <c r="C80" s="53"/>
      <c r="D80" s="53"/>
      <c r="E80" s="53"/>
      <c r="F80" s="53"/>
      <c r="G80" s="53"/>
      <c r="H80" s="53"/>
    </row>
    <row r="81" spans="2:19" x14ac:dyDescent="0.25">
      <c r="B81" t="s">
        <v>724</v>
      </c>
    </row>
    <row r="82" spans="2:19" x14ac:dyDescent="0.25">
      <c r="P82" t="s">
        <v>936</v>
      </c>
    </row>
    <row r="83" spans="2:19" x14ac:dyDescent="0.25">
      <c r="B83" t="s">
        <v>725</v>
      </c>
      <c r="C83" t="s">
        <v>728</v>
      </c>
      <c r="O83" t="s">
        <v>937</v>
      </c>
      <c r="P83" t="s">
        <v>938</v>
      </c>
      <c r="Q83" t="s">
        <v>939</v>
      </c>
      <c r="R83" t="s">
        <v>941</v>
      </c>
      <c r="S83" t="s">
        <v>940</v>
      </c>
    </row>
    <row r="84" spans="2:19" x14ac:dyDescent="0.25">
      <c r="C84" t="s">
        <v>735</v>
      </c>
      <c r="D84">
        <v>1.5</v>
      </c>
      <c r="E84">
        <v>2</v>
      </c>
      <c r="F84">
        <v>4</v>
      </c>
      <c r="G84">
        <v>8</v>
      </c>
      <c r="N84" t="s">
        <v>943</v>
      </c>
      <c r="O84">
        <v>1</v>
      </c>
      <c r="P84">
        <f>'Indoor Inputs'!G50</f>
        <v>3.1428571428571428</v>
      </c>
      <c r="Q84">
        <f>P84</f>
        <v>3.1428571428571428</v>
      </c>
      <c r="R84">
        <v>0</v>
      </c>
      <c r="S84">
        <f t="shared" ref="S84:S95" si="2">Q84*24*7</f>
        <v>528</v>
      </c>
    </row>
    <row r="85" spans="2:19" x14ac:dyDescent="0.25">
      <c r="C85" t="s">
        <v>729</v>
      </c>
      <c r="D85">
        <v>18000</v>
      </c>
      <c r="E85">
        <v>27000</v>
      </c>
      <c r="F85">
        <v>48000</v>
      </c>
      <c r="G85">
        <v>96000</v>
      </c>
      <c r="N85" t="s">
        <v>944</v>
      </c>
      <c r="P85" s="31">
        <f>'Indoor Inputs'!G51</f>
        <v>7.1428571428571432</v>
      </c>
      <c r="Q85">
        <f>Q84+P85</f>
        <v>10.285714285714286</v>
      </c>
      <c r="R85">
        <v>337</v>
      </c>
      <c r="S85" s="31">
        <f t="shared" si="2"/>
        <v>1728.0000000000002</v>
      </c>
    </row>
    <row r="86" spans="2:19" x14ac:dyDescent="0.25">
      <c r="C86" t="s">
        <v>736</v>
      </c>
      <c r="D86">
        <v>5</v>
      </c>
      <c r="E86">
        <v>5.5</v>
      </c>
      <c r="F86">
        <v>9</v>
      </c>
      <c r="G86">
        <v>18</v>
      </c>
      <c r="H86" t="s">
        <v>737</v>
      </c>
      <c r="N86" t="s">
        <v>945</v>
      </c>
      <c r="P86" s="31">
        <f>'Indoor Inputs'!G52</f>
        <v>8.1428571428571423</v>
      </c>
      <c r="Q86" s="31">
        <f t="shared" ref="Q86:Q95" si="3">Q85+P86</f>
        <v>18.428571428571431</v>
      </c>
      <c r="R86">
        <v>1345</v>
      </c>
      <c r="S86" s="31">
        <f t="shared" si="2"/>
        <v>3096.0000000000005</v>
      </c>
    </row>
    <row r="87" spans="2:19" x14ac:dyDescent="0.25">
      <c r="C87" t="s">
        <v>730</v>
      </c>
      <c r="D87">
        <v>10.5</v>
      </c>
      <c r="E87">
        <v>9.9</v>
      </c>
      <c r="F87">
        <v>10.199999999999999</v>
      </c>
      <c r="G87">
        <v>10.1</v>
      </c>
      <c r="N87" t="s">
        <v>942</v>
      </c>
      <c r="P87" s="31">
        <f>'Indoor Inputs'!G53</f>
        <v>2</v>
      </c>
      <c r="Q87" s="31">
        <f t="shared" si="3"/>
        <v>20.428571428571431</v>
      </c>
      <c r="R87">
        <v>2857</v>
      </c>
      <c r="S87" s="31">
        <f t="shared" si="2"/>
        <v>3432.0000000000005</v>
      </c>
    </row>
    <row r="88" spans="2:19" x14ac:dyDescent="0.25">
      <c r="C88" t="s">
        <v>731</v>
      </c>
      <c r="D88">
        <f>D87*BTU_to_J/(kWh_to_MJ*MJ_to_kJ)</f>
        <v>3.077258333333333</v>
      </c>
      <c r="E88" s="31">
        <f>E87*BTU_to_J/(kWh_to_MJ*MJ_to_kJ)</f>
        <v>2.9014149999999996</v>
      </c>
      <c r="F88" s="31">
        <f>F87*BTU_to_J/(kWh_to_MJ*MJ_to_kJ)</f>
        <v>2.9893366666666665</v>
      </c>
      <c r="G88" s="31">
        <f>G87*BTU_to_J/(kWh_to_MJ*MJ_to_kJ)</f>
        <v>2.9600294444444444</v>
      </c>
      <c r="N88" s="31" t="s">
        <v>943</v>
      </c>
      <c r="O88">
        <v>2</v>
      </c>
      <c r="P88">
        <f>P84</f>
        <v>3.1428571428571428</v>
      </c>
      <c r="Q88" s="31">
        <f t="shared" si="3"/>
        <v>23.571428571428573</v>
      </c>
      <c r="R88">
        <v>3697</v>
      </c>
      <c r="S88" s="31">
        <f t="shared" si="2"/>
        <v>3960.0000000000005</v>
      </c>
    </row>
    <row r="89" spans="2:19" x14ac:dyDescent="0.25">
      <c r="C89" t="s">
        <v>733</v>
      </c>
      <c r="D89">
        <f>D85/D87</f>
        <v>1714.2857142857142</v>
      </c>
      <c r="E89" s="31">
        <f>E85/E87</f>
        <v>2727.272727272727</v>
      </c>
      <c r="F89" s="31">
        <f>F85/F87</f>
        <v>4705.8823529411766</v>
      </c>
      <c r="G89" s="31">
        <f>G85/G87</f>
        <v>9504.9504950495048</v>
      </c>
      <c r="N89" s="31" t="s">
        <v>944</v>
      </c>
      <c r="P89" s="31">
        <f t="shared" ref="P89:P95" si="4">P85</f>
        <v>7.1428571428571432</v>
      </c>
      <c r="Q89" s="31">
        <f t="shared" si="3"/>
        <v>30.714285714285715</v>
      </c>
      <c r="R89">
        <v>5033</v>
      </c>
      <c r="S89" s="31">
        <f t="shared" si="2"/>
        <v>5160</v>
      </c>
    </row>
    <row r="90" spans="2:19" x14ac:dyDescent="0.25">
      <c r="N90" s="31" t="s">
        <v>945</v>
      </c>
      <c r="P90" s="31">
        <f t="shared" si="4"/>
        <v>8.1428571428571423</v>
      </c>
      <c r="Q90" s="31">
        <f t="shared" si="3"/>
        <v>38.857142857142861</v>
      </c>
      <c r="R90">
        <v>5051</v>
      </c>
      <c r="S90" s="31">
        <f t="shared" si="2"/>
        <v>6528.0000000000009</v>
      </c>
    </row>
    <row r="91" spans="2:19" x14ac:dyDescent="0.25">
      <c r="C91" t="s">
        <v>738</v>
      </c>
      <c r="N91" s="31" t="s">
        <v>942</v>
      </c>
      <c r="P91" s="31">
        <f t="shared" si="4"/>
        <v>2</v>
      </c>
      <c r="Q91" s="31">
        <f t="shared" si="3"/>
        <v>40.857142857142861</v>
      </c>
      <c r="R91">
        <v>6553</v>
      </c>
      <c r="S91" s="31">
        <f t="shared" si="2"/>
        <v>6864.0000000000009</v>
      </c>
    </row>
    <row r="92" spans="2:19" x14ac:dyDescent="0.25">
      <c r="C92" t="s">
        <v>735</v>
      </c>
      <c r="D92">
        <v>140</v>
      </c>
      <c r="E92">
        <v>155</v>
      </c>
      <c r="F92">
        <v>170</v>
      </c>
      <c r="G92">
        <v>185</v>
      </c>
      <c r="H92">
        <v>200</v>
      </c>
      <c r="I92">
        <v>225</v>
      </c>
      <c r="J92">
        <v>250</v>
      </c>
      <c r="K92">
        <v>275</v>
      </c>
      <c r="L92">
        <v>300</v>
      </c>
      <c r="N92" s="31" t="s">
        <v>943</v>
      </c>
      <c r="O92">
        <v>3</v>
      </c>
      <c r="P92" s="31">
        <f>P88</f>
        <v>3.1428571428571428</v>
      </c>
      <c r="Q92" s="31">
        <f t="shared" si="3"/>
        <v>44.000000000000007</v>
      </c>
      <c r="R92">
        <v>7393</v>
      </c>
      <c r="S92" s="31">
        <f t="shared" si="2"/>
        <v>7392.0000000000018</v>
      </c>
    </row>
    <row r="93" spans="2:19" x14ac:dyDescent="0.25">
      <c r="C93" t="s">
        <v>739</v>
      </c>
      <c r="D93" s="241">
        <v>13.2</v>
      </c>
      <c r="E93" s="241">
        <v>13.5</v>
      </c>
      <c r="F93" s="241">
        <v>13.2</v>
      </c>
      <c r="G93" s="241">
        <v>13.1</v>
      </c>
      <c r="H93" s="241">
        <v>12.9</v>
      </c>
      <c r="I93" s="241">
        <v>13.2</v>
      </c>
      <c r="J93" s="241">
        <v>12.8</v>
      </c>
      <c r="K93" s="241">
        <v>13.3</v>
      </c>
      <c r="L93" s="241">
        <v>13.7</v>
      </c>
      <c r="M93" s="241"/>
      <c r="N93" s="31" t="s">
        <v>944</v>
      </c>
      <c r="P93" s="31">
        <f t="shared" si="4"/>
        <v>7.1428571428571432</v>
      </c>
      <c r="Q93" s="31">
        <f t="shared" si="3"/>
        <v>51.142857142857153</v>
      </c>
      <c r="R93">
        <v>7729</v>
      </c>
      <c r="S93" s="31">
        <f t="shared" si="2"/>
        <v>8592</v>
      </c>
    </row>
    <row r="94" spans="2:19" x14ac:dyDescent="0.25">
      <c r="C94" t="s">
        <v>731</v>
      </c>
      <c r="D94">
        <f t="shared" ref="D94:L94" si="5">D93*BTU_to_J/(kWh_to_MJ*MJ_to_kJ)</f>
        <v>3.8685533333333328</v>
      </c>
      <c r="E94" s="31">
        <f t="shared" si="5"/>
        <v>3.9564749999999997</v>
      </c>
      <c r="F94" s="31">
        <f t="shared" si="5"/>
        <v>3.8685533333333328</v>
      </c>
      <c r="G94" s="31">
        <f t="shared" si="5"/>
        <v>3.8392461111111107</v>
      </c>
      <c r="H94" s="31">
        <f t="shared" si="5"/>
        <v>3.7806316666666664</v>
      </c>
      <c r="I94" s="31">
        <f t="shared" si="5"/>
        <v>3.8685533333333328</v>
      </c>
      <c r="J94" s="31">
        <f t="shared" si="5"/>
        <v>3.7513244444444442</v>
      </c>
      <c r="K94" s="31">
        <f t="shared" si="5"/>
        <v>3.8978605555555559</v>
      </c>
      <c r="L94" s="31">
        <f t="shared" si="5"/>
        <v>4.0150894444444436</v>
      </c>
      <c r="N94" s="31" t="s">
        <v>945</v>
      </c>
      <c r="P94" s="31">
        <f t="shared" si="4"/>
        <v>8.1428571428571423</v>
      </c>
      <c r="Q94" s="31">
        <f t="shared" si="3"/>
        <v>59.285714285714292</v>
      </c>
      <c r="R94">
        <v>8737</v>
      </c>
      <c r="S94" s="31">
        <f t="shared" si="2"/>
        <v>9960.0000000000018</v>
      </c>
    </row>
    <row r="95" spans="2:19" x14ac:dyDescent="0.25">
      <c r="N95" s="31" t="s">
        <v>942</v>
      </c>
      <c r="P95" s="31">
        <f t="shared" si="4"/>
        <v>2</v>
      </c>
      <c r="Q95" s="31">
        <f t="shared" si="3"/>
        <v>61.285714285714292</v>
      </c>
      <c r="R95">
        <v>10249</v>
      </c>
      <c r="S95" s="31">
        <f t="shared" si="2"/>
        <v>10296.000000000002</v>
      </c>
    </row>
    <row r="97" spans="2:28" ht="15.75" thickBot="1" x14ac:dyDescent="0.3"/>
    <row r="98" spans="2:28" x14ac:dyDescent="0.25">
      <c r="B98" s="261" t="s">
        <v>1247</v>
      </c>
      <c r="Y98" s="49" t="s">
        <v>993</v>
      </c>
      <c r="Z98" s="265" t="s">
        <v>159</v>
      </c>
      <c r="AA98" s="265" t="s">
        <v>157</v>
      </c>
      <c r="AB98" s="266" t="s">
        <v>990</v>
      </c>
    </row>
    <row r="99" spans="2:28" x14ac:dyDescent="0.25">
      <c r="B99" t="s">
        <v>1248</v>
      </c>
      <c r="C99" s="32">
        <f>'Indoor Inputs'!K45</f>
        <v>1119458.4103951035</v>
      </c>
      <c r="D99" t="s">
        <v>1249</v>
      </c>
      <c r="Y99" s="52" t="s">
        <v>830</v>
      </c>
      <c r="Z99" s="53">
        <f>16*16</f>
        <v>256</v>
      </c>
      <c r="AA99" s="53">
        <f>Z99/m2_to_ft2</f>
        <v>23.783201256050319</v>
      </c>
      <c r="AB99" s="263">
        <f>AA99/SUM($AA$99:$AA$102)</f>
        <v>3.5179332142366362E-2</v>
      </c>
    </row>
    <row r="100" spans="2:28" x14ac:dyDescent="0.25">
      <c r="B100" t="s">
        <v>1250</v>
      </c>
      <c r="C100">
        <f>(42-32)*5/9</f>
        <v>5.5555555555555554</v>
      </c>
      <c r="D100" t="s">
        <v>1253</v>
      </c>
      <c r="Y100" s="52" t="s">
        <v>987</v>
      </c>
      <c r="Z100" s="53">
        <f>26*24+24*35+8*22</f>
        <v>1640</v>
      </c>
      <c r="AA100" s="53">
        <f>Z100/m2_to_ft2</f>
        <v>152.36113304657235</v>
      </c>
      <c r="AB100" s="263">
        <f t="shared" ref="AB100:AB102" si="6">AA100/SUM($AA$99:$AA$102)</f>
        <v>0.2253675965370345</v>
      </c>
    </row>
    <row r="101" spans="2:28" x14ac:dyDescent="0.25">
      <c r="B101" t="s">
        <v>1251</v>
      </c>
      <c r="C101" s="32">
        <f>'Indoor Inputs'!K110</f>
        <v>19.7222222222222</v>
      </c>
      <c r="D101" t="s">
        <v>1253</v>
      </c>
      <c r="Y101" s="52" t="s">
        <v>988</v>
      </c>
      <c r="Z101" s="53">
        <f>49*33+35*40+26*23+23*26+23*26</f>
        <v>4811</v>
      </c>
      <c r="AA101" s="53">
        <f>Z101/m2_to_ft2</f>
        <v>446.95695797991436</v>
      </c>
      <c r="AB101" s="263">
        <f t="shared" si="6"/>
        <v>0.66112408959736157</v>
      </c>
    </row>
    <row r="102" spans="2:28" ht="15.75" thickBot="1" x14ac:dyDescent="0.3">
      <c r="B102" t="s">
        <v>138</v>
      </c>
      <c r="C102">
        <f>'Indoor Inputs'!K45/year_to_day</f>
        <v>3067.0093435482286</v>
      </c>
      <c r="Y102" s="55" t="s">
        <v>989</v>
      </c>
      <c r="Z102" s="47">
        <f>21*14+23*12</f>
        <v>570</v>
      </c>
      <c r="AA102" s="47">
        <f>Z102/m2_to_ft2</f>
        <v>52.954784046674533</v>
      </c>
      <c r="AB102" s="264">
        <f t="shared" si="6"/>
        <v>7.8328981723237587E-2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2" tint="-0.249977111117893"/>
  </sheetPr>
  <dimension ref="A1:W447"/>
  <sheetViews>
    <sheetView zoomScale="55" zoomScaleNormal="55" workbookViewId="0">
      <selection activeCell="F300" sqref="F300"/>
    </sheetView>
  </sheetViews>
  <sheetFormatPr defaultRowHeight="15" x14ac:dyDescent="0.25"/>
  <cols>
    <col min="1" max="1" width="59.42578125" bestFit="1" customWidth="1"/>
    <col min="2" max="2" width="30.42578125" customWidth="1"/>
    <col min="3" max="3" width="15.42578125" customWidth="1"/>
    <col min="4" max="4" width="16.7109375" customWidth="1"/>
    <col min="5" max="5" width="22" customWidth="1"/>
    <col min="6" max="6" width="13.85546875" customWidth="1"/>
    <col min="7" max="7" width="15.7109375" customWidth="1"/>
    <col min="8" max="8" width="14.7109375" customWidth="1"/>
    <col min="9" max="9" width="12.28515625" customWidth="1"/>
    <col min="12" max="12" width="9.42578125" customWidth="1"/>
    <col min="13" max="13" width="12" customWidth="1"/>
    <col min="14" max="14" width="25.5703125" bestFit="1" customWidth="1"/>
    <col min="15" max="15" width="31.140625" bestFit="1" customWidth="1"/>
    <col min="16" max="16" width="33.5703125" bestFit="1" customWidth="1"/>
    <col min="17" max="17" width="22.5703125" customWidth="1"/>
    <col min="18" max="19" width="20.5703125" customWidth="1"/>
    <col min="20" max="20" width="13.28515625" customWidth="1"/>
    <col min="21" max="21" width="16.7109375" customWidth="1"/>
    <col min="22" max="22" width="16.28515625" customWidth="1"/>
  </cols>
  <sheetData>
    <row r="1" spans="1:18" ht="18.75" x14ac:dyDescent="0.3">
      <c r="A1" s="75"/>
      <c r="B1" s="76" t="s">
        <v>187</v>
      </c>
      <c r="C1" s="75"/>
      <c r="D1" s="75"/>
      <c r="E1" s="75"/>
      <c r="F1" s="75"/>
      <c r="G1" s="75"/>
      <c r="H1" s="75"/>
      <c r="I1" s="75"/>
      <c r="J1" s="75"/>
      <c r="K1" s="75"/>
      <c r="L1" s="75"/>
      <c r="P1" t="s">
        <v>252</v>
      </c>
    </row>
    <row r="2" spans="1:18" x14ac:dyDescent="0.25">
      <c r="B2" s="3" t="s">
        <v>88</v>
      </c>
      <c r="C2" t="s">
        <v>89</v>
      </c>
      <c r="L2" s="75"/>
      <c r="P2" t="s">
        <v>250</v>
      </c>
    </row>
    <row r="3" spans="1:18" x14ac:dyDescent="0.25">
      <c r="B3" s="3"/>
      <c r="C3" s="1"/>
      <c r="D3" s="1"/>
      <c r="E3" s="1"/>
      <c r="F3" s="1"/>
      <c r="G3" s="1"/>
      <c r="L3" s="75"/>
      <c r="P3">
        <v>301.7</v>
      </c>
      <c r="Q3" t="s">
        <v>251</v>
      </c>
    </row>
    <row r="4" spans="1:18" x14ac:dyDescent="0.25">
      <c r="B4" s="3"/>
      <c r="L4" s="75"/>
    </row>
    <row r="5" spans="1:18" x14ac:dyDescent="0.25">
      <c r="B5" s="3"/>
      <c r="L5" s="75"/>
    </row>
    <row r="6" spans="1:18" x14ac:dyDescent="0.25">
      <c r="B6" s="3"/>
      <c r="L6" s="75"/>
    </row>
    <row r="7" spans="1:18" x14ac:dyDescent="0.25">
      <c r="B7" s="3"/>
      <c r="L7" s="75"/>
    </row>
    <row r="8" spans="1:18" x14ac:dyDescent="0.25">
      <c r="B8" s="3"/>
      <c r="L8" s="75"/>
    </row>
    <row r="9" spans="1:18" x14ac:dyDescent="0.25">
      <c r="B9" s="3"/>
      <c r="C9" s="1"/>
      <c r="D9" s="1"/>
      <c r="E9" s="1"/>
      <c r="F9" s="1"/>
      <c r="G9" s="1"/>
      <c r="L9" s="75"/>
    </row>
    <row r="10" spans="1:18" x14ac:dyDescent="0.25">
      <c r="B10" s="3"/>
      <c r="L10" s="75"/>
    </row>
    <row r="11" spans="1:18" x14ac:dyDescent="0.25">
      <c r="B11" s="3"/>
      <c r="L11" s="75"/>
      <c r="M11" s="31" t="s">
        <v>791</v>
      </c>
      <c r="N11" t="s">
        <v>789</v>
      </c>
      <c r="O11" s="31">
        <v>1275606753.2488899</v>
      </c>
      <c r="P11">
        <f>SUM(O11:O12)</f>
        <v>2502609312.0543199</v>
      </c>
      <c r="Q11" s="10">
        <f>(P11-P14)/P11</f>
        <v>0.43651577022564497</v>
      </c>
    </row>
    <row r="12" spans="1:18" x14ac:dyDescent="0.25">
      <c r="B12" s="3"/>
      <c r="L12" s="75"/>
      <c r="M12" t="s">
        <v>791</v>
      </c>
      <c r="N12" t="s">
        <v>790</v>
      </c>
      <c r="O12" s="31">
        <v>1227002558.8054299</v>
      </c>
    </row>
    <row r="13" spans="1:18" x14ac:dyDescent="0.25">
      <c r="B13" s="3"/>
      <c r="L13" s="75"/>
      <c r="P13" s="31"/>
      <c r="Q13" s="31"/>
    </row>
    <row r="14" spans="1:18" x14ac:dyDescent="0.25">
      <c r="B14" s="3"/>
      <c r="L14" s="75"/>
      <c r="M14" t="s">
        <v>792</v>
      </c>
      <c r="N14" s="31"/>
      <c r="O14" s="31">
        <v>1049820281.4789799</v>
      </c>
      <c r="P14" s="31">
        <f>SUM(O14:O15)</f>
        <v>1410180880.6290569</v>
      </c>
      <c r="Q14" s="31"/>
      <c r="R14" s="31"/>
    </row>
    <row r="15" spans="1:18" x14ac:dyDescent="0.25">
      <c r="B15" s="3"/>
      <c r="C15" s="1"/>
      <c r="D15" s="1"/>
      <c r="E15" s="1"/>
      <c r="F15" s="1"/>
      <c r="G15" s="1"/>
      <c r="L15" s="75"/>
      <c r="M15" t="s">
        <v>793</v>
      </c>
      <c r="N15" s="31"/>
      <c r="O15" s="31">
        <v>360360599.15007699</v>
      </c>
      <c r="P15" s="31"/>
      <c r="Q15" s="31"/>
      <c r="R15" s="31"/>
    </row>
    <row r="16" spans="1:18" x14ac:dyDescent="0.25">
      <c r="B16" s="3"/>
      <c r="L16" s="75"/>
      <c r="N16" s="31"/>
      <c r="P16" s="31"/>
      <c r="Q16" s="31"/>
      <c r="R16" s="31"/>
    </row>
    <row r="17" spans="2:18" x14ac:dyDescent="0.25">
      <c r="B17" s="3"/>
      <c r="L17" s="75"/>
      <c r="N17" s="31"/>
      <c r="P17" s="31"/>
      <c r="Q17" s="31"/>
      <c r="R17" s="31"/>
    </row>
    <row r="18" spans="2:18" x14ac:dyDescent="0.25">
      <c r="B18" s="3"/>
      <c r="C18" s="37" t="s">
        <v>75</v>
      </c>
      <c r="D18" s="33"/>
      <c r="E18" s="35">
        <v>301.7</v>
      </c>
      <c r="F18" s="33" t="s">
        <v>76</v>
      </c>
      <c r="L18" s="75"/>
      <c r="N18" s="31"/>
      <c r="P18" s="31"/>
      <c r="Q18" s="31"/>
      <c r="R18" s="31"/>
    </row>
    <row r="19" spans="2:18" x14ac:dyDescent="0.25">
      <c r="B19" s="3"/>
      <c r="C19" s="33" t="s">
        <v>77</v>
      </c>
      <c r="D19" s="36">
        <v>0.61799999999999999</v>
      </c>
      <c r="E19" s="34">
        <f>$E$18*D19</f>
        <v>186.45059999999998</v>
      </c>
      <c r="F19" s="33" t="e">
        <f>+'Indoor Raw Data'!A186fdfd</f>
        <v>#NAME?</v>
      </c>
      <c r="L19" s="75"/>
      <c r="N19" s="31"/>
      <c r="P19" s="31"/>
      <c r="Q19" s="31"/>
      <c r="R19" s="31"/>
    </row>
    <row r="20" spans="2:18" x14ac:dyDescent="0.25">
      <c r="B20" s="3"/>
      <c r="C20" s="33" t="s">
        <v>78</v>
      </c>
      <c r="D20" s="36">
        <v>0.27300000000000002</v>
      </c>
      <c r="E20" s="34">
        <f>$E$18*D20</f>
        <v>82.364100000000008</v>
      </c>
      <c r="F20" s="33" t="s">
        <v>76</v>
      </c>
      <c r="L20" s="75"/>
      <c r="N20" s="31"/>
      <c r="P20" s="31"/>
      <c r="Q20" s="31"/>
      <c r="R20" s="31"/>
    </row>
    <row r="21" spans="2:18" x14ac:dyDescent="0.25">
      <c r="B21" s="3"/>
      <c r="C21" s="33" t="s">
        <v>79</v>
      </c>
      <c r="D21" s="36">
        <v>5.7000000000000002E-2</v>
      </c>
      <c r="E21" s="34">
        <f>$E$18*D21</f>
        <v>17.196899999999999</v>
      </c>
      <c r="F21" s="33" t="s">
        <v>76</v>
      </c>
      <c r="L21" s="75"/>
      <c r="N21" s="31"/>
      <c r="P21" s="31"/>
      <c r="Q21" s="31"/>
      <c r="R21" s="31"/>
    </row>
    <row r="22" spans="2:18" x14ac:dyDescent="0.25">
      <c r="B22" s="3"/>
      <c r="C22" s="33" t="s">
        <v>80</v>
      </c>
      <c r="D22" s="36">
        <v>4.9000000000000002E-2</v>
      </c>
      <c r="E22" s="34">
        <f>$E$18*D22</f>
        <v>14.783300000000001</v>
      </c>
      <c r="F22" s="33" t="s">
        <v>76</v>
      </c>
      <c r="L22" s="75"/>
      <c r="N22" s="31"/>
      <c r="P22" s="31"/>
      <c r="Q22" s="31"/>
      <c r="R22" s="31"/>
    </row>
    <row r="23" spans="2:18" x14ac:dyDescent="0.25">
      <c r="B23" s="3"/>
      <c r="C23" s="43" t="s">
        <v>81</v>
      </c>
      <c r="D23" s="45">
        <v>3.0000000000000001E-3</v>
      </c>
      <c r="E23" s="46">
        <f>$E$18*D23</f>
        <v>0.90510000000000002</v>
      </c>
      <c r="F23" s="33" t="s">
        <v>76</v>
      </c>
      <c r="G23" s="11"/>
      <c r="H23" s="11"/>
      <c r="I23" s="11"/>
      <c r="J23" s="11"/>
      <c r="K23" s="11"/>
      <c r="L23" s="75"/>
    </row>
    <row r="24" spans="2:18" x14ac:dyDescent="0.25">
      <c r="B24" s="3"/>
      <c r="C24" s="11"/>
      <c r="D24" s="11"/>
      <c r="E24" s="32">
        <f>SUM(E19:E23)</f>
        <v>301.70000000000005</v>
      </c>
      <c r="F24" s="33" t="s">
        <v>76</v>
      </c>
      <c r="I24" s="11"/>
      <c r="J24" s="11"/>
      <c r="K24" s="11"/>
      <c r="L24" s="75"/>
    </row>
    <row r="25" spans="2:18" x14ac:dyDescent="0.25">
      <c r="B25" s="3"/>
      <c r="C25" s="33"/>
      <c r="D25" s="33"/>
      <c r="E25" s="33"/>
      <c r="F25" s="33"/>
      <c r="G25" s="33"/>
      <c r="H25" s="11"/>
      <c r="I25" s="11"/>
      <c r="J25" s="11"/>
      <c r="K25" s="11"/>
      <c r="L25" s="75"/>
    </row>
    <row r="26" spans="2:18" x14ac:dyDescent="0.25">
      <c r="B26" s="1"/>
      <c r="C26" s="33" t="s">
        <v>82</v>
      </c>
      <c r="D26" s="33"/>
      <c r="E26" s="39">
        <v>340.7</v>
      </c>
      <c r="F26" s="33" t="s">
        <v>83</v>
      </c>
      <c r="G26" s="33"/>
      <c r="H26" s="11"/>
      <c r="I26" s="11"/>
      <c r="J26" s="11"/>
      <c r="K26" s="11"/>
      <c r="L26" s="75"/>
    </row>
    <row r="27" spans="2:18" x14ac:dyDescent="0.25">
      <c r="B27" s="1"/>
      <c r="C27" s="37" t="s">
        <v>84</v>
      </c>
      <c r="D27" s="33"/>
      <c r="E27" s="38"/>
      <c r="F27" s="33"/>
      <c r="G27" s="33"/>
      <c r="H27" s="11"/>
      <c r="I27" s="11"/>
      <c r="J27" s="11"/>
      <c r="K27" s="11"/>
      <c r="L27" s="75"/>
    </row>
    <row r="28" spans="2:18" x14ac:dyDescent="0.25">
      <c r="B28" s="1"/>
      <c r="C28" s="41" t="s">
        <v>75</v>
      </c>
      <c r="D28" s="41"/>
      <c r="E28" s="42">
        <v>301.7</v>
      </c>
      <c r="F28" s="33"/>
      <c r="G28" s="33"/>
      <c r="H28" s="11"/>
      <c r="I28" s="11"/>
      <c r="J28" s="11"/>
      <c r="K28" s="11"/>
      <c r="L28" s="75"/>
    </row>
    <row r="29" spans="2:18" x14ac:dyDescent="0.25">
      <c r="B29" s="1"/>
      <c r="C29" s="41" t="s">
        <v>85</v>
      </c>
      <c r="D29" s="41"/>
      <c r="E29" s="42">
        <v>32.6</v>
      </c>
      <c r="F29" s="33"/>
      <c r="G29" s="33"/>
      <c r="H29" s="11"/>
      <c r="I29" s="11"/>
      <c r="J29" s="11"/>
      <c r="K29" s="11"/>
      <c r="L29" s="75"/>
    </row>
    <row r="30" spans="2:18" x14ac:dyDescent="0.25">
      <c r="B30" s="1"/>
      <c r="C30" s="43" t="s">
        <v>86</v>
      </c>
      <c r="D30" s="43"/>
      <c r="E30" s="44">
        <f>0.019*E26</f>
        <v>6.4733000000000001</v>
      </c>
      <c r="F30" s="33"/>
      <c r="G30" s="33"/>
      <c r="H30" s="11"/>
      <c r="I30" s="11"/>
      <c r="J30" s="11"/>
      <c r="K30" s="11"/>
      <c r="L30" s="75"/>
    </row>
    <row r="31" spans="2:18" x14ac:dyDescent="0.25">
      <c r="B31" s="1"/>
      <c r="C31" s="33"/>
      <c r="D31" s="33"/>
      <c r="E31" s="40">
        <f>SUM(E28:E30)</f>
        <v>340.77330000000001</v>
      </c>
      <c r="F31" s="33"/>
      <c r="G31" s="33"/>
      <c r="L31" s="75"/>
    </row>
    <row r="32" spans="2:18" x14ac:dyDescent="0.25">
      <c r="B32" s="1"/>
      <c r="C32" s="821" t="s">
        <v>87</v>
      </c>
      <c r="D32" s="821"/>
      <c r="E32" s="821"/>
      <c r="F32" s="821"/>
      <c r="G32" s="821"/>
      <c r="H32" s="821"/>
      <c r="I32" s="821"/>
      <c r="J32" s="821"/>
      <c r="K32" s="821"/>
      <c r="L32" s="75"/>
    </row>
    <row r="33" spans="1:12" x14ac:dyDescent="0.25">
      <c r="B33" s="1"/>
      <c r="C33" s="821"/>
      <c r="D33" s="821"/>
      <c r="E33" s="821"/>
      <c r="F33" s="821"/>
      <c r="G33" s="821"/>
      <c r="H33" s="821"/>
      <c r="I33" s="821"/>
      <c r="J33" s="821"/>
      <c r="K33" s="821"/>
      <c r="L33" s="75"/>
    </row>
    <row r="34" spans="1:12" x14ac:dyDescent="0.25">
      <c r="B34" s="10"/>
      <c r="L34" s="75"/>
    </row>
    <row r="35" spans="1:12" ht="15.75" thickBot="1" x14ac:dyDescent="0.3">
      <c r="H35" s="11"/>
      <c r="L35" s="75"/>
    </row>
    <row r="36" spans="1:12" x14ac:dyDescent="0.25">
      <c r="C36" s="49"/>
      <c r="D36" s="50">
        <v>2014</v>
      </c>
      <c r="E36" s="50">
        <v>2017</v>
      </c>
      <c r="F36" s="50"/>
      <c r="G36" s="51"/>
      <c r="H36" s="11"/>
      <c r="L36" s="75"/>
    </row>
    <row r="37" spans="1:12" x14ac:dyDescent="0.25">
      <c r="C37" s="52" t="s">
        <v>107</v>
      </c>
      <c r="D37" s="53">
        <v>14.05</v>
      </c>
      <c r="E37" s="53">
        <v>5.34</v>
      </c>
      <c r="F37" s="53" t="s">
        <v>108</v>
      </c>
      <c r="G37" s="54"/>
      <c r="H37" s="11"/>
      <c r="L37" s="75"/>
    </row>
    <row r="38" spans="1:12" x14ac:dyDescent="0.25">
      <c r="C38" s="52" t="s">
        <v>109</v>
      </c>
      <c r="D38" s="53">
        <v>41.43</v>
      </c>
      <c r="E38" s="53">
        <v>21.57</v>
      </c>
      <c r="F38" s="53" t="s">
        <v>108</v>
      </c>
      <c r="G38" s="54"/>
      <c r="H38" s="11"/>
      <c r="L38" s="75"/>
    </row>
    <row r="39" spans="1:12" ht="15.75" thickBot="1" x14ac:dyDescent="0.3">
      <c r="C39" s="55" t="s">
        <v>110</v>
      </c>
      <c r="D39" s="56">
        <v>18</v>
      </c>
      <c r="E39" s="47"/>
      <c r="F39" s="47" t="s">
        <v>111</v>
      </c>
      <c r="G39" s="57"/>
      <c r="L39" s="75"/>
    </row>
    <row r="40" spans="1:12" x14ac:dyDescent="0.25">
      <c r="L40" s="75"/>
    </row>
    <row r="41" spans="1:12" x14ac:dyDescent="0.25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</row>
    <row r="43" spans="1:12" ht="18.75" x14ac:dyDescent="0.3">
      <c r="A43" s="75"/>
      <c r="B43" s="76" t="s">
        <v>188</v>
      </c>
      <c r="C43" s="75"/>
      <c r="D43" s="75"/>
      <c r="E43" s="75"/>
      <c r="F43" s="75"/>
      <c r="G43" s="75"/>
      <c r="H43" s="75"/>
      <c r="I43" s="75"/>
      <c r="J43" s="75"/>
      <c r="K43" s="75"/>
      <c r="L43" s="75"/>
    </row>
    <row r="44" spans="1:12" x14ac:dyDescent="0.25">
      <c r="L44" s="75"/>
    </row>
    <row r="45" spans="1:12" x14ac:dyDescent="0.25">
      <c r="B45" s="31" t="s">
        <v>94</v>
      </c>
      <c r="C45" s="31"/>
      <c r="D45" s="11"/>
      <c r="E45" s="11"/>
      <c r="L45" s="75"/>
    </row>
    <row r="46" spans="1:12" x14ac:dyDescent="0.25">
      <c r="B46" s="31" t="s">
        <v>95</v>
      </c>
      <c r="C46" s="31"/>
      <c r="D46" s="31"/>
      <c r="E46" s="31"/>
      <c r="F46" s="11"/>
      <c r="G46" s="11"/>
      <c r="L46" s="75"/>
    </row>
    <row r="47" spans="1:12" x14ac:dyDescent="0.25">
      <c r="B47" s="31" t="s">
        <v>96</v>
      </c>
      <c r="C47" s="31"/>
      <c r="D47" s="31"/>
      <c r="E47" s="31"/>
      <c r="F47" s="11"/>
      <c r="G47" s="11"/>
      <c r="L47" s="75"/>
    </row>
    <row r="48" spans="1:12" x14ac:dyDescent="0.25">
      <c r="B48" s="31" t="s">
        <v>97</v>
      </c>
      <c r="C48" s="31">
        <v>846</v>
      </c>
      <c r="D48" s="31" t="s">
        <v>98</v>
      </c>
      <c r="E48" s="31"/>
      <c r="F48" s="31"/>
      <c r="G48" s="11"/>
      <c r="L48" s="75"/>
    </row>
    <row r="49" spans="1:12" x14ac:dyDescent="0.25">
      <c r="B49" s="31" t="s">
        <v>99</v>
      </c>
      <c r="C49" s="31">
        <v>404</v>
      </c>
      <c r="D49" s="31" t="s">
        <v>98</v>
      </c>
      <c r="E49" s="31"/>
      <c r="F49" s="31"/>
      <c r="G49" s="11"/>
      <c r="L49" s="75"/>
    </row>
    <row r="50" spans="1:12" x14ac:dyDescent="0.25">
      <c r="B50" s="31" t="s">
        <v>100</v>
      </c>
      <c r="C50" s="31">
        <v>1</v>
      </c>
      <c r="D50" s="31" t="s">
        <v>101</v>
      </c>
      <c r="E50" s="31"/>
      <c r="F50" s="31"/>
      <c r="L50" s="75"/>
    </row>
    <row r="51" spans="1:12" x14ac:dyDescent="0.25">
      <c r="B51" s="31" t="s">
        <v>102</v>
      </c>
      <c r="C51" s="31">
        <v>150</v>
      </c>
      <c r="D51" s="31" t="s">
        <v>98</v>
      </c>
      <c r="E51" s="31"/>
      <c r="F51" s="31"/>
      <c r="L51" s="75"/>
    </row>
    <row r="52" spans="1:12" x14ac:dyDescent="0.25">
      <c r="B52" s="31" t="s">
        <v>103</v>
      </c>
      <c r="C52" s="31">
        <v>5</v>
      </c>
      <c r="D52" s="31" t="s">
        <v>104</v>
      </c>
      <c r="E52" s="31"/>
      <c r="F52" s="31"/>
      <c r="L52" s="75"/>
    </row>
    <row r="53" spans="1:12" x14ac:dyDescent="0.25">
      <c r="B53" s="31" t="s">
        <v>105</v>
      </c>
      <c r="C53" s="31">
        <v>300</v>
      </c>
      <c r="D53" s="31" t="s">
        <v>98</v>
      </c>
      <c r="E53" s="31"/>
      <c r="F53" s="31"/>
      <c r="L53" s="75"/>
    </row>
    <row r="54" spans="1:12" x14ac:dyDescent="0.25">
      <c r="B54" s="31" t="s">
        <v>106</v>
      </c>
      <c r="C54" s="31">
        <v>230</v>
      </c>
      <c r="D54" s="31" t="s">
        <v>98</v>
      </c>
      <c r="E54" s="31"/>
      <c r="F54" s="31"/>
      <c r="L54" s="75"/>
    </row>
    <row r="55" spans="1:12" x14ac:dyDescent="0.25">
      <c r="F55" s="31"/>
      <c r="L55" s="75"/>
    </row>
    <row r="56" spans="1:12" s="31" customFormat="1" x14ac:dyDescent="0.25">
      <c r="B56" s="31" t="s">
        <v>202</v>
      </c>
      <c r="L56" s="75"/>
    </row>
    <row r="57" spans="1:12" s="31" customFormat="1" x14ac:dyDescent="0.25">
      <c r="B57" s="31" t="s">
        <v>216</v>
      </c>
      <c r="C57" s="31">
        <v>4400</v>
      </c>
      <c r="D57" s="31" t="s">
        <v>217</v>
      </c>
      <c r="L57" s="75"/>
    </row>
    <row r="58" spans="1:12" s="31" customFormat="1" x14ac:dyDescent="0.25">
      <c r="B58" s="31" t="s">
        <v>218</v>
      </c>
      <c r="C58" s="31">
        <v>6600</v>
      </c>
      <c r="D58" s="31" t="s">
        <v>217</v>
      </c>
      <c r="L58" s="75"/>
    </row>
    <row r="59" spans="1:12" s="31" customFormat="1" x14ac:dyDescent="0.25">
      <c r="L59" s="75"/>
    </row>
    <row r="60" spans="1:12" s="31" customFormat="1" x14ac:dyDescent="0.25">
      <c r="L60" s="75"/>
    </row>
    <row r="61" spans="1:12" x14ac:dyDescent="0.2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</row>
    <row r="63" spans="1:12" ht="18.75" x14ac:dyDescent="0.3">
      <c r="A63" s="75"/>
      <c r="B63" s="76" t="s">
        <v>200</v>
      </c>
      <c r="C63" s="75"/>
      <c r="D63" s="75"/>
      <c r="E63" s="75"/>
      <c r="F63" s="75"/>
      <c r="G63" s="75"/>
      <c r="H63" s="75"/>
      <c r="I63" s="75"/>
      <c r="J63" s="75"/>
      <c r="K63" s="75"/>
      <c r="L63" s="75"/>
    </row>
    <row r="64" spans="1:12" x14ac:dyDescent="0.25">
      <c r="A64" s="31"/>
      <c r="B64" s="3" t="s">
        <v>204</v>
      </c>
      <c r="C64" s="31" t="s">
        <v>212</v>
      </c>
      <c r="D64" s="31" t="s">
        <v>194</v>
      </c>
      <c r="E64" s="31" t="s">
        <v>118</v>
      </c>
      <c r="F64" s="31" t="s">
        <v>196</v>
      </c>
      <c r="G64" s="31"/>
      <c r="H64" s="31"/>
      <c r="I64" s="31"/>
      <c r="J64" s="31"/>
      <c r="K64" s="31"/>
      <c r="L64" s="75"/>
    </row>
    <row r="65" spans="1:18" x14ac:dyDescent="0.25">
      <c r="A65" s="31" t="s">
        <v>202</v>
      </c>
      <c r="B65" s="3" t="s">
        <v>215</v>
      </c>
      <c r="C65" s="86">
        <v>900000</v>
      </c>
      <c r="D65" s="1" t="s">
        <v>209</v>
      </c>
      <c r="E65" s="1" t="s">
        <v>202</v>
      </c>
      <c r="F65" s="1"/>
      <c r="G65" s="1"/>
      <c r="H65" s="31"/>
      <c r="I65" s="31"/>
      <c r="J65" s="31"/>
      <c r="K65" s="31"/>
      <c r="L65" s="75"/>
    </row>
    <row r="66" spans="1:18" x14ac:dyDescent="0.25">
      <c r="A66" s="31"/>
      <c r="B66" s="3"/>
      <c r="C66" s="31"/>
      <c r="D66" s="31"/>
      <c r="E66" s="31"/>
      <c r="F66" s="31"/>
      <c r="G66" s="31"/>
      <c r="H66" s="31"/>
      <c r="I66" s="31"/>
      <c r="J66" s="31"/>
      <c r="K66" s="31"/>
      <c r="L66" s="75"/>
    </row>
    <row r="67" spans="1:18" x14ac:dyDescent="0.25">
      <c r="A67" s="31"/>
      <c r="B67" s="3" t="s">
        <v>179</v>
      </c>
      <c r="C67" s="31" t="s">
        <v>212</v>
      </c>
      <c r="D67" s="31" t="s">
        <v>194</v>
      </c>
      <c r="E67" s="31" t="s">
        <v>118</v>
      </c>
      <c r="F67" s="31" t="s">
        <v>196</v>
      </c>
      <c r="G67" s="31"/>
      <c r="H67" s="31"/>
      <c r="I67" s="31"/>
      <c r="J67" s="31"/>
      <c r="K67" s="31"/>
      <c r="L67" s="75"/>
    </row>
    <row r="68" spans="1:18" x14ac:dyDescent="0.25">
      <c r="A68" s="31"/>
      <c r="B68" s="3" t="s">
        <v>205</v>
      </c>
      <c r="C68" s="86">
        <v>22</v>
      </c>
      <c r="D68" s="1" t="s">
        <v>206</v>
      </c>
      <c r="E68" s="1" t="s">
        <v>202</v>
      </c>
      <c r="F68" s="1" t="s">
        <v>213</v>
      </c>
      <c r="G68" s="1"/>
      <c r="H68" s="31"/>
      <c r="I68" s="31"/>
      <c r="J68" s="31"/>
      <c r="K68" s="31"/>
      <c r="L68" s="75"/>
    </row>
    <row r="69" spans="1:18" x14ac:dyDescent="0.25">
      <c r="A69" s="31"/>
      <c r="B69" s="3" t="s">
        <v>215</v>
      </c>
      <c r="C69" s="31">
        <v>130000</v>
      </c>
      <c r="D69" s="31" t="s">
        <v>209</v>
      </c>
      <c r="E69" s="31" t="s">
        <v>202</v>
      </c>
      <c r="F69" s="31"/>
      <c r="G69" s="31"/>
      <c r="H69" s="31"/>
      <c r="I69" s="31"/>
      <c r="J69" s="31"/>
      <c r="K69" s="31"/>
      <c r="L69" s="75"/>
    </row>
    <row r="70" spans="1:18" x14ac:dyDescent="0.25">
      <c r="A70" s="31"/>
      <c r="B70" s="3"/>
      <c r="C70" s="31"/>
      <c r="D70" s="31"/>
      <c r="E70" s="31"/>
      <c r="F70" s="31"/>
      <c r="G70" s="31"/>
      <c r="H70" s="31"/>
      <c r="I70" s="31"/>
      <c r="J70" s="31"/>
      <c r="K70" s="31"/>
      <c r="L70" s="75"/>
    </row>
    <row r="71" spans="1:18" x14ac:dyDescent="0.25">
      <c r="A71" s="75"/>
      <c r="B71" s="82"/>
      <c r="C71" s="82"/>
      <c r="D71" s="83"/>
      <c r="E71" s="82"/>
      <c r="F71" s="82"/>
      <c r="G71" s="82"/>
      <c r="H71" s="82"/>
      <c r="I71" s="82"/>
      <c r="J71" s="82"/>
      <c r="K71" s="82"/>
      <c r="L71" s="75"/>
    </row>
    <row r="73" spans="1:18" ht="15.75" thickBot="1" x14ac:dyDescent="0.3"/>
    <row r="74" spans="1:18" s="31" customFormat="1" ht="19.5" thickBot="1" x14ac:dyDescent="0.35">
      <c r="A74" s="75"/>
      <c r="B74" s="76" t="s">
        <v>232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N74" s="589" t="s">
        <v>2372</v>
      </c>
      <c r="O74" s="590">
        <v>47866878.331852898</v>
      </c>
      <c r="P74" s="590">
        <v>473973959.055888</v>
      </c>
      <c r="Q74" s="591">
        <v>1771585160.9608099</v>
      </c>
      <c r="R74" s="31">
        <v>14484253.5010671</v>
      </c>
    </row>
    <row r="75" spans="1:18" s="31" customFormat="1" x14ac:dyDescent="0.25">
      <c r="B75" s="3" t="s">
        <v>219</v>
      </c>
      <c r="C75" s="86"/>
      <c r="D75" s="1"/>
      <c r="E75" s="1"/>
      <c r="F75" s="1"/>
      <c r="G75" s="1"/>
      <c r="L75" s="75"/>
      <c r="N75" s="31" t="s">
        <v>720</v>
      </c>
      <c r="O75" s="31">
        <f>O74/403.646</f>
        <v>118586.2818703837</v>
      </c>
      <c r="P75" s="31">
        <f>P74/403.65</f>
        <v>1174220.1388725084</v>
      </c>
      <c r="Q75" s="31">
        <f>Q74/672.74</f>
        <v>2633387.5805821121</v>
      </c>
      <c r="R75" s="31">
        <f>R74/30</f>
        <v>482808.45003557001</v>
      </c>
    </row>
    <row r="76" spans="1:18" s="31" customFormat="1" x14ac:dyDescent="0.25">
      <c r="B76" s="3"/>
      <c r="L76" s="75"/>
      <c r="O76" s="31">
        <f>O75/24000</f>
        <v>4.9410950779326539</v>
      </c>
    </row>
    <row r="77" spans="1:18" s="31" customFormat="1" x14ac:dyDescent="0.25">
      <c r="B77" s="90">
        <v>1000</v>
      </c>
      <c r="C77" s="31" t="s">
        <v>222</v>
      </c>
      <c r="E77" s="31" t="s">
        <v>223</v>
      </c>
      <c r="G77" s="31" t="s">
        <v>2373</v>
      </c>
      <c r="L77" s="75"/>
      <c r="N77" s="282" t="s">
        <v>2424</v>
      </c>
    </row>
    <row r="78" spans="1:18" s="31" customFormat="1" x14ac:dyDescent="0.25">
      <c r="A78" s="31" t="s">
        <v>225</v>
      </c>
      <c r="B78" s="3">
        <v>4000</v>
      </c>
      <c r="C78" s="31" t="s">
        <v>224</v>
      </c>
      <c r="G78" s="31" t="s">
        <v>2374</v>
      </c>
      <c r="H78" s="31" t="s">
        <v>2375</v>
      </c>
      <c r="L78" s="75"/>
      <c r="O78" s="31" t="s">
        <v>2410</v>
      </c>
      <c r="P78" s="465" t="s">
        <v>2425</v>
      </c>
    </row>
    <row r="79" spans="1:18" s="31" customFormat="1" x14ac:dyDescent="0.25">
      <c r="A79" s="31" t="s">
        <v>226</v>
      </c>
      <c r="B79" s="90">
        <v>500</v>
      </c>
      <c r="F79" s="32">
        <v>1</v>
      </c>
      <c r="G79" s="31">
        <f>1000/30</f>
        <v>33.333333333333336</v>
      </c>
      <c r="H79" s="31">
        <f>1000/110</f>
        <v>9.0909090909090917</v>
      </c>
      <c r="L79" s="75"/>
      <c r="O79" s="31" t="s">
        <v>2411</v>
      </c>
    </row>
    <row r="80" spans="1:18" s="31" customFormat="1" x14ac:dyDescent="0.25">
      <c r="B80" s="3">
        <f>B78/B79</f>
        <v>8</v>
      </c>
      <c r="C80" s="31" t="s">
        <v>227</v>
      </c>
      <c r="F80" s="32">
        <v>2</v>
      </c>
      <c r="G80" s="31">
        <f>1000/21</f>
        <v>47.61904761904762</v>
      </c>
      <c r="H80" s="31">
        <f>1000/16</f>
        <v>62.5</v>
      </c>
      <c r="L80" s="75"/>
      <c r="O80" s="31" t="s">
        <v>2412</v>
      </c>
      <c r="P80" s="31" t="s">
        <v>2413</v>
      </c>
    </row>
    <row r="81" spans="2:16" s="31" customFormat="1" x14ac:dyDescent="0.25">
      <c r="B81" s="3"/>
      <c r="C81" s="86"/>
      <c r="D81" s="1"/>
      <c r="E81" s="1"/>
      <c r="F81" s="32">
        <v>3</v>
      </c>
      <c r="G81" s="1">
        <f>400/16</f>
        <v>25</v>
      </c>
      <c r="H81" s="31">
        <f>1000/30</f>
        <v>33.333333333333336</v>
      </c>
      <c r="L81" s="75"/>
      <c r="N81" s="31" t="s">
        <v>943</v>
      </c>
      <c r="O81" s="31">
        <f>'Indoor Inputs'!G8*'Indoor Inputs'!G97</f>
        <v>33.004609791747349</v>
      </c>
      <c r="P81" s="31">
        <f>O81*'Indoor Inputs'!G60/1000</f>
        <v>13.3221869751521</v>
      </c>
    </row>
    <row r="82" spans="2:16" s="31" customFormat="1" x14ac:dyDescent="0.25">
      <c r="B82" s="31" t="s">
        <v>229</v>
      </c>
      <c r="F82" s="32">
        <v>4</v>
      </c>
      <c r="G82" s="31">
        <f>1200/16</f>
        <v>75</v>
      </c>
      <c r="H82" s="31">
        <f>1000/21</f>
        <v>47.61904761904762</v>
      </c>
      <c r="L82" s="75"/>
      <c r="N82" s="31" t="s">
        <v>944</v>
      </c>
      <c r="O82" s="31">
        <f>'Indoor Inputs'!G8*'Indoor Inputs'!G98</f>
        <v>211.43578147838144</v>
      </c>
      <c r="P82" s="31">
        <f>O82*'Indoor Inputs'!G61/1000</f>
        <v>85.345260309568133</v>
      </c>
    </row>
    <row r="83" spans="2:16" s="31" customFormat="1" x14ac:dyDescent="0.25">
      <c r="B83" s="90">
        <v>5000</v>
      </c>
      <c r="C83" s="86" t="s">
        <v>159</v>
      </c>
      <c r="F83" s="32">
        <v>5</v>
      </c>
      <c r="G83" s="31">
        <f>1000/50</f>
        <v>20</v>
      </c>
      <c r="H83" s="31">
        <f>1000/27</f>
        <v>37.037037037037038</v>
      </c>
      <c r="L83" s="75"/>
      <c r="N83" s="31" t="s">
        <v>945</v>
      </c>
      <c r="O83" s="31">
        <f>'Indoor Inputs'!G99*'Indoor Inputs'!G8</f>
        <v>620.25460042225188</v>
      </c>
      <c r="P83" s="31">
        <f>O83*'Indoor Inputs'!G62/1000</f>
        <v>417.27240584281731</v>
      </c>
    </row>
    <row r="84" spans="2:16" s="31" customFormat="1" x14ac:dyDescent="0.25">
      <c r="B84" s="90">
        <v>29000</v>
      </c>
      <c r="C84" s="86" t="s">
        <v>228</v>
      </c>
      <c r="F84" s="32">
        <v>6</v>
      </c>
      <c r="G84" s="31">
        <f>600/32</f>
        <v>18.75</v>
      </c>
      <c r="H84" s="31">
        <f>1000/50</f>
        <v>20</v>
      </c>
      <c r="L84" s="75"/>
    </row>
    <row r="85" spans="2:16" s="31" customFormat="1" x14ac:dyDescent="0.25">
      <c r="B85" s="90">
        <f>B84/B83</f>
        <v>5.8</v>
      </c>
      <c r="C85" s="86" t="s">
        <v>240</v>
      </c>
      <c r="F85" s="32">
        <v>7</v>
      </c>
      <c r="G85" s="31">
        <f>20/3</f>
        <v>6.666666666666667</v>
      </c>
      <c r="H85" s="31">
        <f>600/5</f>
        <v>120</v>
      </c>
      <c r="L85" s="75"/>
      <c r="N85" s="31" t="s">
        <v>2414</v>
      </c>
      <c r="O85" s="31">
        <v>175</v>
      </c>
      <c r="P85" s="31" t="s">
        <v>2415</v>
      </c>
    </row>
    <row r="86" spans="2:16" s="31" customFormat="1" x14ac:dyDescent="0.25">
      <c r="B86" s="90">
        <v>0.12</v>
      </c>
      <c r="C86" s="86" t="s">
        <v>249</v>
      </c>
      <c r="F86" s="32">
        <v>8</v>
      </c>
      <c r="G86" s="31">
        <f>54/8</f>
        <v>6.75</v>
      </c>
      <c r="H86" s="31">
        <f>800/25</f>
        <v>32</v>
      </c>
      <c r="L86" s="75"/>
      <c r="N86" s="31" t="s">
        <v>2416</v>
      </c>
      <c r="O86" s="31">
        <f>0.008547008547</f>
        <v>8.5470085469999992E-3</v>
      </c>
      <c r="P86" s="31" t="s">
        <v>2417</v>
      </c>
    </row>
    <row r="87" spans="2:16" s="31" customFormat="1" ht="15.75" thickBot="1" x14ac:dyDescent="0.3">
      <c r="B87" s="3">
        <f>B86*B85</f>
        <v>0.69599999999999995</v>
      </c>
      <c r="C87" s="86" t="s">
        <v>239</v>
      </c>
      <c r="F87" s="32" t="s">
        <v>307</v>
      </c>
      <c r="G87" s="31">
        <f>AVERAGE(G79:G86)</f>
        <v>29.139880952380953</v>
      </c>
      <c r="H87" s="31">
        <f>AVERAGE(H79:H86)</f>
        <v>45.197540885040887</v>
      </c>
      <c r="L87" s="75"/>
      <c r="N87" s="31" t="s">
        <v>2419</v>
      </c>
      <c r="O87" s="31">
        <f>O85/O86</f>
        <v>20475.000000020478</v>
      </c>
      <c r="P87" s="31" t="s">
        <v>2418</v>
      </c>
    </row>
    <row r="88" spans="2:16" s="31" customFormat="1" ht="15.75" thickBot="1" x14ac:dyDescent="0.3">
      <c r="B88" s="3"/>
      <c r="C88" s="86"/>
      <c r="F88" s="580" t="s">
        <v>261</v>
      </c>
      <c r="G88" s="581">
        <f>G87*m2_to_ft2</f>
        <v>313.65876458333332</v>
      </c>
      <c r="H88" s="582">
        <f>H87*m2_to_ft2</f>
        <v>486.50181033249157</v>
      </c>
      <c r="L88" s="75"/>
      <c r="N88" s="31" t="s">
        <v>2420</v>
      </c>
      <c r="O88" s="31">
        <f>SUM(O74:R74)/1000000000</f>
        <v>2.3079102518496182</v>
      </c>
      <c r="P88" s="31" t="s">
        <v>2422</v>
      </c>
    </row>
    <row r="89" spans="2:16" s="31" customFormat="1" x14ac:dyDescent="0.25">
      <c r="B89" s="91" t="s">
        <v>233</v>
      </c>
      <c r="C89" s="1"/>
      <c r="D89" s="1" t="s">
        <v>234</v>
      </c>
      <c r="E89" s="1"/>
      <c r="F89" s="1"/>
      <c r="G89" s="1"/>
      <c r="L89" s="75"/>
      <c r="N89" s="31" t="s">
        <v>2423</v>
      </c>
      <c r="O89" s="31">
        <f>O88*O87</f>
        <v>47254.462406668194</v>
      </c>
      <c r="P89" s="31" t="s">
        <v>2421</v>
      </c>
    </row>
    <row r="90" spans="2:16" s="31" customFormat="1" x14ac:dyDescent="0.25">
      <c r="B90" s="3" t="s">
        <v>235</v>
      </c>
      <c r="C90" s="53"/>
      <c r="D90" s="53"/>
      <c r="E90" s="53"/>
      <c r="F90" s="53"/>
      <c r="G90" s="53" t="s">
        <v>1239</v>
      </c>
      <c r="H90" s="53"/>
      <c r="I90" s="53"/>
      <c r="J90" s="53"/>
      <c r="K90" s="53"/>
      <c r="L90" s="75"/>
      <c r="O90" s="465">
        <f>O89/indoor_annual_bud_yield</f>
        <v>28.052369042823795</v>
      </c>
      <c r="P90" s="465" t="s">
        <v>923</v>
      </c>
    </row>
    <row r="91" spans="2:16" s="31" customFormat="1" x14ac:dyDescent="0.25">
      <c r="B91" s="3" t="s">
        <v>236</v>
      </c>
      <c r="C91" s="53"/>
      <c r="D91" s="53"/>
      <c r="E91" s="53"/>
      <c r="F91" s="53"/>
      <c r="G91" s="53" t="s">
        <v>2374</v>
      </c>
      <c r="H91" s="53" t="s">
        <v>2376</v>
      </c>
      <c r="I91" s="53"/>
      <c r="J91" s="53"/>
      <c r="K91" s="53"/>
      <c r="L91" s="75"/>
      <c r="O91" s="477">
        <f>O90/Figures!$Q$45</f>
        <v>7.1420069610249994E-3</v>
      </c>
    </row>
    <row r="92" spans="2:16" s="31" customFormat="1" ht="15.75" thickBot="1" x14ac:dyDescent="0.3">
      <c r="B92" s="3" t="s">
        <v>237</v>
      </c>
      <c r="C92" s="77"/>
      <c r="D92" s="41"/>
      <c r="E92" s="35"/>
      <c r="F92" s="41">
        <v>1</v>
      </c>
      <c r="G92" s="53">
        <f>600/16</f>
        <v>37.5</v>
      </c>
      <c r="H92" s="53">
        <f>1000/16</f>
        <v>62.5</v>
      </c>
      <c r="I92" s="53"/>
      <c r="J92" s="53"/>
      <c r="K92" s="53"/>
      <c r="L92" s="75"/>
    </row>
    <row r="93" spans="2:16" s="31" customFormat="1" ht="15.75" thickBot="1" x14ac:dyDescent="0.3">
      <c r="B93" s="3"/>
      <c r="C93" s="41"/>
      <c r="D93" s="36"/>
      <c r="E93" s="78"/>
      <c r="F93" s="580" t="s">
        <v>261</v>
      </c>
      <c r="G93" s="581">
        <f>G92*m2_to_ft2</f>
        <v>403.64625000000001</v>
      </c>
      <c r="H93" s="582">
        <f>H92*m2_to_ft2</f>
        <v>672.74374999999998</v>
      </c>
      <c r="I93" s="53"/>
      <c r="J93" s="53"/>
      <c r="K93" s="53"/>
      <c r="L93" s="75"/>
    </row>
    <row r="94" spans="2:16" s="31" customFormat="1" x14ac:dyDescent="0.25">
      <c r="B94" s="3"/>
      <c r="C94" s="53"/>
      <c r="D94" s="53"/>
      <c r="E94" s="79"/>
      <c r="F94" s="41"/>
      <c r="G94" s="53"/>
      <c r="H94" s="53"/>
      <c r="I94" s="53"/>
      <c r="J94" s="53"/>
      <c r="K94" s="53"/>
      <c r="L94" s="75"/>
    </row>
    <row r="95" spans="2:16" s="31" customFormat="1" x14ac:dyDescent="0.25">
      <c r="B95" s="3" t="s">
        <v>238</v>
      </c>
      <c r="C95" s="41"/>
      <c r="D95" s="41"/>
      <c r="E95" s="41"/>
      <c r="F95" s="41"/>
      <c r="G95" s="41"/>
      <c r="H95" s="53"/>
      <c r="I95" s="53"/>
      <c r="J95" s="53"/>
      <c r="K95" s="53"/>
      <c r="L95" s="75"/>
      <c r="O95" s="213" t="s">
        <v>2438</v>
      </c>
    </row>
    <row r="96" spans="2:16" s="31" customFormat="1" ht="15.75" thickBot="1" x14ac:dyDescent="0.3">
      <c r="B96" s="80" t="s">
        <v>244</v>
      </c>
      <c r="C96" s="41"/>
      <c r="D96" s="41"/>
      <c r="E96" s="31" t="s">
        <v>248</v>
      </c>
      <c r="F96" s="31" t="s">
        <v>247</v>
      </c>
      <c r="G96" s="41"/>
      <c r="H96" s="53"/>
      <c r="I96" s="53"/>
      <c r="J96" s="53"/>
      <c r="K96" s="53"/>
      <c r="L96" s="75"/>
    </row>
    <row r="97" spans="1:22" s="31" customFormat="1" ht="15.75" thickBot="1" x14ac:dyDescent="0.3">
      <c r="B97" s="80" t="s">
        <v>245</v>
      </c>
      <c r="C97" s="77"/>
      <c r="D97" s="41"/>
      <c r="E97" s="39" t="s">
        <v>246</v>
      </c>
      <c r="F97" s="41" t="s">
        <v>247</v>
      </c>
      <c r="G97" s="41"/>
      <c r="H97" s="53"/>
      <c r="I97" s="53"/>
      <c r="J97" s="53"/>
      <c r="K97" s="53"/>
      <c r="L97" s="75"/>
      <c r="O97" s="580" t="s">
        <v>2426</v>
      </c>
      <c r="P97" s="581" t="s">
        <v>2427</v>
      </c>
      <c r="Q97" s="581" t="s">
        <v>2428</v>
      </c>
      <c r="R97" s="581" t="s">
        <v>2429</v>
      </c>
      <c r="S97" s="581"/>
      <c r="T97" s="581" t="s">
        <v>2435</v>
      </c>
      <c r="U97" s="581" t="s">
        <v>196</v>
      </c>
      <c r="V97" s="591"/>
    </row>
    <row r="98" spans="1:22" s="31" customFormat="1" x14ac:dyDescent="0.25">
      <c r="B98" s="80"/>
      <c r="C98" s="41" t="s">
        <v>259</v>
      </c>
      <c r="D98" s="41"/>
      <c r="E98" s="42"/>
      <c r="F98" s="41"/>
      <c r="G98" s="41"/>
      <c r="H98" s="53"/>
      <c r="I98" s="53"/>
      <c r="J98" s="53"/>
      <c r="K98" s="53"/>
      <c r="L98" s="75"/>
      <c r="N98" s="69" t="s">
        <v>2430</v>
      </c>
      <c r="O98" s="572">
        <v>10.62</v>
      </c>
      <c r="P98" s="572">
        <f>O98/4.49*121/32/gals_to_liters/m3_to_liters*prop_water_density*0.05</f>
        <v>0.11809740073317132</v>
      </c>
      <c r="Q98" s="572" t="s">
        <v>1044</v>
      </c>
      <c r="R98" s="572">
        <v>2.9930099999999999</v>
      </c>
      <c r="S98" s="572" t="s">
        <v>2442</v>
      </c>
      <c r="T98" s="572">
        <f>R98*P98/indoor_annual_bud_yield</f>
        <v>2.0983369286487597E-4</v>
      </c>
      <c r="U98" s="594">
        <f>T98/Figures!$Q$45</f>
        <v>5.3422714238885224E-8</v>
      </c>
      <c r="V98" s="572" t="s">
        <v>2445</v>
      </c>
    </row>
    <row r="99" spans="1:22" s="31" customFormat="1" x14ac:dyDescent="0.25">
      <c r="B99" s="80"/>
      <c r="C99" s="41"/>
      <c r="D99" s="41"/>
      <c r="E99" s="42"/>
      <c r="F99" s="41"/>
      <c r="G99" s="41"/>
      <c r="H99" s="53"/>
      <c r="I99" s="53"/>
      <c r="J99" s="53"/>
      <c r="K99" s="53"/>
      <c r="L99" s="75"/>
      <c r="N99" s="69" t="s">
        <v>2431</v>
      </c>
      <c r="O99" s="69">
        <f>4498.83+67.15</f>
        <v>4565.9799999999996</v>
      </c>
      <c r="P99" s="69">
        <f>65*O99/244.73/kg_to_lb</f>
        <v>550.08070085654083</v>
      </c>
      <c r="Q99" s="69" t="s">
        <v>127</v>
      </c>
      <c r="R99" s="69">
        <v>1.94184</v>
      </c>
      <c r="S99" s="69" t="s">
        <v>2436</v>
      </c>
      <c r="T99" s="69">
        <f>R99*P99/indoor_annual_bud_yield</f>
        <v>0.63411287050907705</v>
      </c>
      <c r="U99" s="593">
        <f>T99/Figures!$Q$45</f>
        <v>1.6144228419132092E-4</v>
      </c>
      <c r="V99" s="69"/>
    </row>
    <row r="100" spans="1:22" s="31" customFormat="1" x14ac:dyDescent="0.25">
      <c r="B100" s="80"/>
      <c r="C100" s="41"/>
      <c r="D100" s="41"/>
      <c r="E100" s="42"/>
      <c r="F100" s="41"/>
      <c r="G100" s="41"/>
      <c r="H100" s="53"/>
      <c r="I100" s="53"/>
      <c r="J100" s="53"/>
      <c r="K100" s="53"/>
      <c r="L100" s="75"/>
      <c r="N100" s="69" t="s">
        <v>2432</v>
      </c>
      <c r="O100" s="69"/>
      <c r="P100" s="69">
        <v>7.2926540012326537</v>
      </c>
      <c r="Q100" s="69" t="s">
        <v>127</v>
      </c>
      <c r="R100" s="69">
        <f>1.16359/0.2+6.92</f>
        <v>12.737949999999998</v>
      </c>
      <c r="S100" s="69" t="s">
        <v>2437</v>
      </c>
      <c r="T100" s="69">
        <f>R100*P100/indoor_annual_bud_yield</f>
        <v>5.5145726899724079E-2</v>
      </c>
      <c r="U100" s="593">
        <f>T100/Figures!$Q$45</f>
        <v>1.4039853988352038E-5</v>
      </c>
      <c r="V100" s="69"/>
    </row>
    <row r="101" spans="1:22" s="31" customFormat="1" x14ac:dyDescent="0.25">
      <c r="B101" s="80" t="s">
        <v>258</v>
      </c>
      <c r="C101" s="41"/>
      <c r="D101" s="41"/>
      <c r="E101" s="81"/>
      <c r="F101" s="41"/>
      <c r="G101" s="41"/>
      <c r="H101" s="53"/>
      <c r="I101" s="53"/>
      <c r="J101" s="53"/>
      <c r="K101" s="53"/>
      <c r="L101" s="75"/>
      <c r="N101" s="69" t="s">
        <v>2433</v>
      </c>
      <c r="O101" s="69">
        <v>131.22</v>
      </c>
      <c r="P101" s="69">
        <f>O101/85*25/kg_to_lb</f>
        <v>17.506018110630777</v>
      </c>
      <c r="Q101" s="69" t="s">
        <v>1044</v>
      </c>
      <c r="R101" s="69">
        <v>21.774999999999999</v>
      </c>
      <c r="S101" s="69" t="s">
        <v>2440</v>
      </c>
      <c r="T101" s="69">
        <f>R101*P101/indoor_annual_bud_yield</f>
        <v>0.22629359087981718</v>
      </c>
      <c r="U101" s="593">
        <f>T101/Figures!$Q$45</f>
        <v>5.7613330226469507E-5</v>
      </c>
      <c r="V101" s="69" t="s">
        <v>2439</v>
      </c>
    </row>
    <row r="102" spans="1:22" s="31" customFormat="1" x14ac:dyDescent="0.25">
      <c r="B102" s="80">
        <v>40000</v>
      </c>
      <c r="C102" s="92" t="s">
        <v>224</v>
      </c>
      <c r="D102" s="92"/>
      <c r="E102" s="92"/>
      <c r="F102" s="92"/>
      <c r="G102" s="92"/>
      <c r="H102" s="92"/>
      <c r="I102" s="92"/>
      <c r="J102" s="92"/>
      <c r="K102" s="92"/>
      <c r="L102" s="75"/>
      <c r="N102" s="69" t="s">
        <v>2434</v>
      </c>
      <c r="O102" s="69">
        <v>72.569999999999993</v>
      </c>
      <c r="P102" s="69">
        <f>2/kg_to_lb</f>
        <v>0.90718581887127947</v>
      </c>
      <c r="Q102" s="69" t="s">
        <v>1044</v>
      </c>
      <c r="R102" s="69">
        <v>2.0224600000000001</v>
      </c>
      <c r="S102" s="69" t="s">
        <v>2441</v>
      </c>
      <c r="T102" s="69">
        <f>R102*P102/indoor_annual_bud_yield</f>
        <v>1.0891881570353036E-3</v>
      </c>
      <c r="U102" s="593">
        <f>T102/Figures!$Q$45</f>
        <v>2.7730240492476724E-7</v>
      </c>
      <c r="V102" s="69"/>
    </row>
    <row r="103" spans="1:22" s="31" customFormat="1" x14ac:dyDescent="0.25">
      <c r="B103" s="79">
        <v>60000</v>
      </c>
      <c r="C103" s="92" t="s">
        <v>159</v>
      </c>
      <c r="D103" s="92"/>
      <c r="E103" s="92"/>
      <c r="F103" s="92"/>
      <c r="G103" s="92"/>
      <c r="H103" s="92"/>
      <c r="I103" s="92"/>
      <c r="J103" s="92"/>
      <c r="K103" s="92"/>
      <c r="L103" s="75"/>
      <c r="N103" s="89" t="s">
        <v>2458</v>
      </c>
      <c r="O103" s="69"/>
      <c r="P103" s="69"/>
      <c r="Q103" s="69"/>
      <c r="R103" s="69"/>
      <c r="S103" s="69"/>
      <c r="T103" s="69"/>
      <c r="U103" s="597">
        <f>AVERAGE(O91,O129)</f>
        <v>5.5694439828925342E-3</v>
      </c>
      <c r="V103" s="69" t="s">
        <v>2459</v>
      </c>
    </row>
    <row r="104" spans="1:22" s="31" customFormat="1" x14ac:dyDescent="0.25">
      <c r="B104" s="93">
        <f>B102/B103</f>
        <v>0.66666666666666663</v>
      </c>
      <c r="C104" s="53" t="s">
        <v>239</v>
      </c>
      <c r="D104" s="53"/>
      <c r="E104" s="53"/>
      <c r="F104" s="53"/>
      <c r="G104" s="53"/>
      <c r="H104" s="53"/>
      <c r="I104" s="53"/>
      <c r="J104" s="53"/>
      <c r="K104" s="53"/>
      <c r="L104" s="75"/>
    </row>
    <row r="105" spans="1:22" s="31" customFormat="1" x14ac:dyDescent="0.25"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75"/>
    </row>
    <row r="106" spans="1:22" s="31" customFormat="1" x14ac:dyDescent="0.25"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75"/>
    </row>
    <row r="107" spans="1:22" s="31" customFormat="1" x14ac:dyDescent="0.2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N107" s="31" t="s">
        <v>2443</v>
      </c>
    </row>
    <row r="108" spans="1:22" s="31" customFormat="1" x14ac:dyDescent="0.25">
      <c r="N108" s="31" t="s">
        <v>675</v>
      </c>
      <c r="O108" s="32">
        <f>Figures!Q45</f>
        <v>3927.7991740850675</v>
      </c>
      <c r="P108" s="31" t="s">
        <v>2444</v>
      </c>
    </row>
    <row r="109" spans="1:22" x14ac:dyDescent="0.2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N109" s="346">
        <v>0.01</v>
      </c>
      <c r="O109">
        <f>0.01*O108</f>
        <v>39.277991740850673</v>
      </c>
      <c r="P109" t="s">
        <v>2444</v>
      </c>
    </row>
    <row r="110" spans="1:22" x14ac:dyDescent="0.25">
      <c r="B110" s="206" t="s">
        <v>320</v>
      </c>
      <c r="E110" s="206" t="s">
        <v>867</v>
      </c>
      <c r="L110" s="75"/>
    </row>
    <row r="111" spans="1:22" ht="15.75" thickBot="1" x14ac:dyDescent="0.3">
      <c r="I111" t="s">
        <v>313</v>
      </c>
      <c r="L111" s="75"/>
      <c r="O111" s="48" t="s">
        <v>2446</v>
      </c>
    </row>
    <row r="112" spans="1:22" x14ac:dyDescent="0.25">
      <c r="B112" t="s">
        <v>321</v>
      </c>
      <c r="C112">
        <v>0.5</v>
      </c>
      <c r="D112" t="s">
        <v>327</v>
      </c>
      <c r="E112" t="s">
        <v>386</v>
      </c>
      <c r="F112">
        <v>2</v>
      </c>
      <c r="G112" t="s">
        <v>868</v>
      </c>
      <c r="I112" t="s">
        <v>348</v>
      </c>
      <c r="J112" t="s">
        <v>390</v>
      </c>
      <c r="L112" s="75"/>
      <c r="N112" s="33" t="s">
        <v>2430</v>
      </c>
      <c r="O112">
        <f>$O$109*indoor_annual_bud_yield/R98</f>
        <v>22106.215009047744</v>
      </c>
    </row>
    <row r="113" spans="1:16" x14ac:dyDescent="0.25">
      <c r="B113" t="s">
        <v>328</v>
      </c>
      <c r="C113">
        <v>10</v>
      </c>
      <c r="D113" t="s">
        <v>330</v>
      </c>
      <c r="F113">
        <f>1/F112</f>
        <v>0.5</v>
      </c>
      <c r="G113" t="s">
        <v>869</v>
      </c>
      <c r="H113" t="s">
        <v>362</v>
      </c>
      <c r="I113">
        <v>1000</v>
      </c>
      <c r="J113">
        <v>600</v>
      </c>
      <c r="L113" s="75"/>
      <c r="N113" s="31" t="s">
        <v>2431</v>
      </c>
      <c r="O113" s="31">
        <f>$O$109*indoor_annual_bud_yield/R99</f>
        <v>34072.901260778432</v>
      </c>
      <c r="P113" s="31"/>
    </row>
    <row r="114" spans="1:16" s="31" customFormat="1" x14ac:dyDescent="0.25">
      <c r="B114" s="31" t="s">
        <v>384</v>
      </c>
      <c r="C114" s="31">
        <v>4</v>
      </c>
      <c r="D114" s="31" t="s">
        <v>385</v>
      </c>
      <c r="F114" s="31">
        <f>F113*m2_to_ft2</f>
        <v>5.3819499999999998</v>
      </c>
      <c r="G114" s="31" t="s">
        <v>870</v>
      </c>
      <c r="H114" s="31" t="s">
        <v>261</v>
      </c>
      <c r="I114" s="31">
        <f>I113/C115</f>
        <v>666.66666666666663</v>
      </c>
      <c r="J114" s="31">
        <f>J113/C115</f>
        <v>400</v>
      </c>
      <c r="L114" s="75"/>
      <c r="N114" s="31" t="s">
        <v>2432</v>
      </c>
      <c r="O114" s="31">
        <f>$O$109*indoor_annual_bud_yield/R100</f>
        <v>5194.2520251869419</v>
      </c>
    </row>
    <row r="115" spans="1:16" x14ac:dyDescent="0.25">
      <c r="B115" t="s">
        <v>329</v>
      </c>
      <c r="C115">
        <v>1.5</v>
      </c>
      <c r="D115" t="s">
        <v>334</v>
      </c>
      <c r="H115" t="s">
        <v>392</v>
      </c>
      <c r="I115">
        <f>I114/m2_to_ft2</f>
        <v>61.935419937631032</v>
      </c>
      <c r="J115">
        <f>J114/m2_to_ft2</f>
        <v>37.161251962578618</v>
      </c>
      <c r="L115" s="75"/>
      <c r="N115" s="31" t="s">
        <v>2433</v>
      </c>
      <c r="O115" s="31">
        <f>$O$109*indoor_annual_bud_yield/R101</f>
        <v>3038.5360543848446</v>
      </c>
      <c r="P115" s="31"/>
    </row>
    <row r="116" spans="1:16" s="31" customFormat="1" x14ac:dyDescent="0.25">
      <c r="B116" s="31" t="s">
        <v>386</v>
      </c>
      <c r="C116" s="31">
        <f>C114/C115</f>
        <v>2.6666666666666665</v>
      </c>
      <c r="D116" s="31" t="s">
        <v>387</v>
      </c>
      <c r="I116" s="31" t="s">
        <v>393</v>
      </c>
      <c r="L116" s="75"/>
      <c r="N116" s="31" t="s">
        <v>2434</v>
      </c>
      <c r="O116" s="31">
        <f>$O$109*indoor_annual_bud_yield/R102</f>
        <v>32714.675486402692</v>
      </c>
    </row>
    <row r="117" spans="1:16" x14ac:dyDescent="0.25">
      <c r="B117" t="s">
        <v>322</v>
      </c>
      <c r="C117">
        <v>78</v>
      </c>
      <c r="D117" t="s">
        <v>323</v>
      </c>
      <c r="L117" s="75"/>
    </row>
    <row r="118" spans="1:16" x14ac:dyDescent="0.25">
      <c r="B118" t="s">
        <v>324</v>
      </c>
      <c r="C118">
        <f>365/C117</f>
        <v>4.6794871794871797</v>
      </c>
      <c r="D118" t="s">
        <v>325</v>
      </c>
      <c r="L118" s="75"/>
    </row>
    <row r="119" spans="1:16" x14ac:dyDescent="0.25">
      <c r="B119" t="s">
        <v>326</v>
      </c>
      <c r="C119">
        <f>C112*C118*C113</f>
        <v>23.397435897435898</v>
      </c>
      <c r="D119" t="s">
        <v>331</v>
      </c>
      <c r="L119" s="75"/>
      <c r="N119" t="s">
        <v>2447</v>
      </c>
    </row>
    <row r="120" spans="1:16" s="31" customFormat="1" x14ac:dyDescent="0.25">
      <c r="C120" s="31">
        <f>C112/C115</f>
        <v>0.33333333333333331</v>
      </c>
      <c r="D120" s="31" t="s">
        <v>411</v>
      </c>
      <c r="L120" s="75"/>
      <c r="N120" s="31" t="s">
        <v>2448</v>
      </c>
      <c r="O120" s="31">
        <f>480-141</f>
        <v>339</v>
      </c>
      <c r="P120" s="31" t="s">
        <v>2449</v>
      </c>
    </row>
    <row r="121" spans="1:16" x14ac:dyDescent="0.25">
      <c r="B121" t="s">
        <v>333</v>
      </c>
      <c r="C121">
        <f>C119/C115/C113</f>
        <v>1.5598290598290598</v>
      </c>
      <c r="D121" t="s">
        <v>332</v>
      </c>
      <c r="L121" s="75"/>
      <c r="N121" t="s">
        <v>2450</v>
      </c>
      <c r="O121" s="595">
        <v>250</v>
      </c>
    </row>
    <row r="122" spans="1:16" x14ac:dyDescent="0.25">
      <c r="L122" s="75"/>
      <c r="O122">
        <f>O120/1000000</f>
        <v>3.39E-4</v>
      </c>
      <c r="P122" t="s">
        <v>2451</v>
      </c>
    </row>
    <row r="123" spans="1:16" x14ac:dyDescent="0.25">
      <c r="B123" t="s">
        <v>335</v>
      </c>
      <c r="C123">
        <v>22</v>
      </c>
      <c r="D123" t="s">
        <v>157</v>
      </c>
      <c r="L123" s="75"/>
      <c r="N123" t="s">
        <v>2453</v>
      </c>
      <c r="O123" s="32">
        <f>O122*O121*tons_to_lbs/kg_to_lb</f>
        <v>76.88399814934094</v>
      </c>
      <c r="P123" s="1" t="s">
        <v>2452</v>
      </c>
    </row>
    <row r="124" spans="1:16" x14ac:dyDescent="0.25">
      <c r="B124" t="s">
        <v>336</v>
      </c>
      <c r="C124">
        <f>C115*C113/C123</f>
        <v>0.68181818181818177</v>
      </c>
      <c r="D124" t="s">
        <v>337</v>
      </c>
      <c r="L124" s="75"/>
      <c r="N124" t="s">
        <v>2413</v>
      </c>
      <c r="O124">
        <f>SUM(P81:P83)</f>
        <v>515.9398531275375</v>
      </c>
      <c r="P124" t="s">
        <v>2454</v>
      </c>
    </row>
    <row r="125" spans="1:16" x14ac:dyDescent="0.25">
      <c r="L125" s="75"/>
      <c r="N125" t="s">
        <v>2455</v>
      </c>
      <c r="O125">
        <v>1.5</v>
      </c>
      <c r="P125" t="s">
        <v>1032</v>
      </c>
    </row>
    <row r="126" spans="1:16" x14ac:dyDescent="0.25">
      <c r="L126" s="75"/>
      <c r="O126">
        <f>O124/O125</f>
        <v>343.95990208502502</v>
      </c>
      <c r="P126" t="s">
        <v>2456</v>
      </c>
    </row>
    <row r="127" spans="1:16" x14ac:dyDescent="0.2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O127">
        <f>O126*O123</f>
        <v>26445.012475352556</v>
      </c>
      <c r="P127" t="s">
        <v>2457</v>
      </c>
    </row>
    <row r="128" spans="1:16" x14ac:dyDescent="0.25">
      <c r="O128">
        <f>O127/indoor_annual_bud_yield</f>
        <v>15.698945909412895</v>
      </c>
      <c r="P128" t="s">
        <v>923</v>
      </c>
    </row>
    <row r="129" spans="1:17" x14ac:dyDescent="0.25">
      <c r="B129" s="206" t="s">
        <v>345</v>
      </c>
      <c r="O129" s="596">
        <f>O128/Figures!$Q$45</f>
        <v>3.9968810047600689E-3</v>
      </c>
    </row>
    <row r="130" spans="1:17" x14ac:dyDescent="0.25">
      <c r="D130" s="154" t="s">
        <v>357</v>
      </c>
      <c r="E130" s="154" t="s">
        <v>349</v>
      </c>
      <c r="F130" t="s">
        <v>362</v>
      </c>
      <c r="G130" t="s">
        <v>363</v>
      </c>
      <c r="H130" t="s">
        <v>364</v>
      </c>
      <c r="I130" t="s">
        <v>365</v>
      </c>
    </row>
    <row r="131" spans="1:17" x14ac:dyDescent="0.25">
      <c r="A131" t="s">
        <v>367</v>
      </c>
      <c r="B131" t="s">
        <v>278</v>
      </c>
      <c r="D131">
        <v>1</v>
      </c>
      <c r="E131">
        <v>0</v>
      </c>
      <c r="F131">
        <v>200</v>
      </c>
      <c r="G131">
        <v>73.400000000000006</v>
      </c>
      <c r="H131">
        <v>64.400000000000006</v>
      </c>
      <c r="I131" t="s">
        <v>366</v>
      </c>
    </row>
    <row r="132" spans="1:17" x14ac:dyDescent="0.25">
      <c r="A132" t="s">
        <v>368</v>
      </c>
      <c r="D132">
        <v>2</v>
      </c>
      <c r="E132">
        <v>18</v>
      </c>
      <c r="F132">
        <v>400</v>
      </c>
      <c r="G132">
        <v>77</v>
      </c>
      <c r="H132">
        <v>64.400000000000006</v>
      </c>
    </row>
    <row r="133" spans="1:17" x14ac:dyDescent="0.25">
      <c r="B133" t="s">
        <v>346</v>
      </c>
      <c r="N133" t="s">
        <v>801</v>
      </c>
      <c r="O133" s="240">
        <v>2720659831.90696</v>
      </c>
      <c r="P133" s="31">
        <v>18594699809.793098</v>
      </c>
    </row>
    <row r="134" spans="1:17" x14ac:dyDescent="0.25">
      <c r="B134" t="s">
        <v>347</v>
      </c>
      <c r="D134" s="153" t="s">
        <v>351</v>
      </c>
      <c r="E134" t="s">
        <v>350</v>
      </c>
      <c r="F134">
        <v>600</v>
      </c>
      <c r="G134">
        <v>77</v>
      </c>
      <c r="H134">
        <v>64.400000000000006</v>
      </c>
      <c r="N134" t="s">
        <v>802</v>
      </c>
      <c r="O134" s="246">
        <v>6374844.31757065</v>
      </c>
      <c r="P134" s="31">
        <v>43569694.023934901</v>
      </c>
    </row>
    <row r="135" spans="1:17" s="31" customFormat="1" x14ac:dyDescent="0.25">
      <c r="B135" t="s">
        <v>348</v>
      </c>
      <c r="C135"/>
      <c r="D135" s="152" t="s">
        <v>352</v>
      </c>
      <c r="E135">
        <v>12</v>
      </c>
      <c r="F135">
        <v>600</v>
      </c>
      <c r="G135">
        <v>80</v>
      </c>
      <c r="H135">
        <v>64.400000000000006</v>
      </c>
      <c r="I135"/>
      <c r="J135"/>
      <c r="N135" s="31" t="s">
        <v>794</v>
      </c>
      <c r="O135" s="31">
        <f>SUM(O133:O134)</f>
        <v>2727034676.2245307</v>
      </c>
    </row>
    <row r="136" spans="1:17" s="31" customFormat="1" x14ac:dyDescent="0.25">
      <c r="C136" s="152" t="s">
        <v>353</v>
      </c>
      <c r="D136" s="31" t="s">
        <v>354</v>
      </c>
      <c r="N136" s="31" t="s">
        <v>795</v>
      </c>
      <c r="O136" s="31">
        <v>3167.2</v>
      </c>
    </row>
    <row r="137" spans="1:17" s="31" customFormat="1" x14ac:dyDescent="0.25">
      <c r="C137" s="152" t="s">
        <v>355</v>
      </c>
      <c r="D137" s="31" t="s">
        <v>356</v>
      </c>
      <c r="N137" s="31" t="s">
        <v>796</v>
      </c>
      <c r="O137" s="31">
        <f>O136*m2_to_ft2</f>
        <v>34091.424079999997</v>
      </c>
    </row>
    <row r="138" spans="1:17" x14ac:dyDescent="0.25">
      <c r="B138" s="31"/>
      <c r="C138" s="152"/>
      <c r="D138" s="31"/>
      <c r="E138" s="31"/>
      <c r="F138" s="31"/>
      <c r="G138" s="31"/>
      <c r="H138" s="31"/>
      <c r="I138" s="31"/>
      <c r="J138" s="31"/>
      <c r="O138">
        <f>O135/O137</f>
        <v>79991.808785258909</v>
      </c>
      <c r="P138" t="s">
        <v>797</v>
      </c>
    </row>
    <row r="139" spans="1:17" x14ac:dyDescent="0.25">
      <c r="B139" t="s">
        <v>279</v>
      </c>
      <c r="O139">
        <f>O138/1000</f>
        <v>79.991808785258911</v>
      </c>
      <c r="P139" t="s">
        <v>798</v>
      </c>
    </row>
    <row r="140" spans="1:17" x14ac:dyDescent="0.25">
      <c r="C140" t="s">
        <v>180</v>
      </c>
      <c r="D140" t="s">
        <v>179</v>
      </c>
    </row>
    <row r="141" spans="1:17" x14ac:dyDescent="0.25">
      <c r="B141" t="s">
        <v>388</v>
      </c>
      <c r="C141">
        <f>18/10</f>
        <v>1.8</v>
      </c>
      <c r="D141">
        <f>18/10</f>
        <v>1.8</v>
      </c>
    </row>
    <row r="142" spans="1:17" x14ac:dyDescent="0.25">
      <c r="B142" t="s">
        <v>389</v>
      </c>
      <c r="C142">
        <f>C141/lbs_to_oz/kg_to_lb*m2_to_ft2</f>
        <v>0.54927323076085677</v>
      </c>
      <c r="D142" s="31">
        <f>D141/lbs_to_oz/kg_to_lb*m2_to_ft2</f>
        <v>0.54927323076085677</v>
      </c>
    </row>
    <row r="144" spans="1:17" x14ac:dyDescent="0.25">
      <c r="B144" t="s">
        <v>344</v>
      </c>
      <c r="P144">
        <f>67</f>
        <v>67</v>
      </c>
      <c r="Q144" t="s">
        <v>799</v>
      </c>
    </row>
    <row r="145" spans="1:17" x14ac:dyDescent="0.25">
      <c r="B145" t="s">
        <v>372</v>
      </c>
      <c r="C145" t="s">
        <v>373</v>
      </c>
      <c r="P145">
        <f>P144*1000</f>
        <v>67000</v>
      </c>
      <c r="Q145" t="s">
        <v>800</v>
      </c>
    </row>
    <row r="146" spans="1:17" x14ac:dyDescent="0.25">
      <c r="P146">
        <f>P145*0.000293071</f>
        <v>19.635757000000002</v>
      </c>
    </row>
    <row r="147" spans="1:17" x14ac:dyDescent="0.25">
      <c r="B147" t="s">
        <v>383</v>
      </c>
    </row>
    <row r="149" spans="1:17" x14ac:dyDescent="0.2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</row>
    <row r="150" spans="1:17" x14ac:dyDescent="0.25">
      <c r="B150" s="206" t="s">
        <v>412</v>
      </c>
      <c r="L150" s="75"/>
    </row>
    <row r="151" spans="1:17" x14ac:dyDescent="0.25">
      <c r="B151" t="s">
        <v>317</v>
      </c>
      <c r="C151">
        <f>C120</f>
        <v>0.33333333333333331</v>
      </c>
      <c r="D151" t="s">
        <v>411</v>
      </c>
      <c r="F151">
        <f>'Indoor Inputs'!K18/'Indoor Inputs'!K16</f>
        <v>0.16313711327026725</v>
      </c>
      <c r="G151" t="s">
        <v>1866</v>
      </c>
      <c r="L151" s="75"/>
    </row>
    <row r="152" spans="1:17" x14ac:dyDescent="0.25">
      <c r="B152" t="s">
        <v>413</v>
      </c>
      <c r="C152">
        <f>C142</f>
        <v>0.54927323076085677</v>
      </c>
      <c r="D152" s="31" t="s">
        <v>411</v>
      </c>
      <c r="F152">
        <f>F151*kg_to_lb</f>
        <v>0.35965534265789656</v>
      </c>
      <c r="G152" t="s">
        <v>1929</v>
      </c>
      <c r="L152" s="75"/>
    </row>
    <row r="153" spans="1:17" x14ac:dyDescent="0.25">
      <c r="B153" t="s">
        <v>358</v>
      </c>
      <c r="C153">
        <f>1/kg_to_lb</f>
        <v>0.45359290943563974</v>
      </c>
      <c r="D153" s="31" t="s">
        <v>411</v>
      </c>
      <c r="L153" s="75"/>
    </row>
    <row r="154" spans="1:17" x14ac:dyDescent="0.25">
      <c r="B154" t="s">
        <v>764</v>
      </c>
      <c r="C154">
        <f>39/kgs_to_grams*m2_to_ft2</f>
        <v>0.4197921</v>
      </c>
      <c r="D154" t="s">
        <v>411</v>
      </c>
      <c r="L154" s="75"/>
    </row>
    <row r="155" spans="1:17" x14ac:dyDescent="0.25">
      <c r="B155" t="s">
        <v>599</v>
      </c>
      <c r="C155">
        <f>1/C116</f>
        <v>0.375</v>
      </c>
      <c r="D155" t="s">
        <v>595</v>
      </c>
      <c r="L155" s="75"/>
    </row>
    <row r="156" spans="1:17" x14ac:dyDescent="0.25">
      <c r="B156" s="31" t="s">
        <v>599</v>
      </c>
      <c r="C156">
        <f>C155*m2_to_ft2</f>
        <v>4.0364624999999998</v>
      </c>
      <c r="D156" t="s">
        <v>596</v>
      </c>
      <c r="L156" s="75"/>
    </row>
    <row r="157" spans="1:17" x14ac:dyDescent="0.25">
      <c r="F157" t="s">
        <v>317</v>
      </c>
      <c r="I157" t="s">
        <v>864</v>
      </c>
      <c r="L157" s="75"/>
    </row>
    <row r="158" spans="1:17" x14ac:dyDescent="0.25">
      <c r="B158" s="213" t="s">
        <v>310</v>
      </c>
      <c r="C158">
        <v>22.7</v>
      </c>
      <c r="D158" t="s">
        <v>600</v>
      </c>
      <c r="F158">
        <f>151</f>
        <v>151</v>
      </c>
      <c r="G158" t="s">
        <v>787</v>
      </c>
      <c r="I158" t="s">
        <v>871</v>
      </c>
      <c r="L158" s="75"/>
    </row>
    <row r="159" spans="1:17" x14ac:dyDescent="0.25">
      <c r="C159">
        <f>C158*C116</f>
        <v>60.533333333333331</v>
      </c>
      <c r="D159" t="s">
        <v>561</v>
      </c>
      <c r="F159">
        <v>22</v>
      </c>
      <c r="G159" t="s">
        <v>1021</v>
      </c>
      <c r="I159" t="s">
        <v>305</v>
      </c>
      <c r="J159">
        <v>0.5</v>
      </c>
      <c r="K159" t="s">
        <v>872</v>
      </c>
      <c r="L159" s="75"/>
    </row>
    <row r="160" spans="1:17" x14ac:dyDescent="0.25">
      <c r="C160">
        <f>C159*year_to_day</f>
        <v>22094.666666666664</v>
      </c>
      <c r="D160" t="s">
        <v>915</v>
      </c>
      <c r="F160">
        <f>F158/F159</f>
        <v>6.8636363636363633</v>
      </c>
      <c r="G160" t="s">
        <v>1022</v>
      </c>
      <c r="I160" t="s">
        <v>304</v>
      </c>
      <c r="J160">
        <v>0.25</v>
      </c>
      <c r="K160" t="s">
        <v>872</v>
      </c>
      <c r="L160" s="75"/>
    </row>
    <row r="161" spans="1:18" x14ac:dyDescent="0.25">
      <c r="F161">
        <f>F160/gals_to_liters</f>
        <v>1.8131817593434696</v>
      </c>
      <c r="G161" t="s">
        <v>1023</v>
      </c>
      <c r="L161" s="75"/>
    </row>
    <row r="162" spans="1:18" x14ac:dyDescent="0.25">
      <c r="C162">
        <v>0.15</v>
      </c>
      <c r="D162" t="s">
        <v>784</v>
      </c>
      <c r="F162" s="32">
        <f>'Indoor Inputs'!G16</f>
        <v>2.6909749999999999</v>
      </c>
      <c r="G162" t="s">
        <v>387</v>
      </c>
      <c r="L162" s="75"/>
    </row>
    <row r="163" spans="1:18" x14ac:dyDescent="0.25">
      <c r="C163">
        <f>C162*gals_to_liters</f>
        <v>0.56781150000000002</v>
      </c>
      <c r="D163" t="s">
        <v>785</v>
      </c>
      <c r="F163">
        <f>F161/F162</f>
        <v>0.6738010421291426</v>
      </c>
      <c r="G163" t="s">
        <v>1024</v>
      </c>
      <c r="L163" s="75"/>
    </row>
    <row r="164" spans="1:18" x14ac:dyDescent="0.25">
      <c r="C164">
        <f>C163*m2_to_ft2*year_to_day</f>
        <v>2230.8311647702499</v>
      </c>
      <c r="D164" t="s">
        <v>786</v>
      </c>
      <c r="L164" s="75"/>
    </row>
    <row r="165" spans="1:18" x14ac:dyDescent="0.25">
      <c r="L165" s="75"/>
    </row>
    <row r="166" spans="1:18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</row>
    <row r="168" spans="1:18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</row>
    <row r="169" spans="1:18" x14ac:dyDescent="0.25">
      <c r="B169" s="206" t="s">
        <v>602</v>
      </c>
      <c r="L169" s="75"/>
      <c r="N169" t="s">
        <v>749</v>
      </c>
    </row>
    <row r="170" spans="1:18" ht="30" x14ac:dyDescent="0.25">
      <c r="E170" s="154" t="s">
        <v>717</v>
      </c>
      <c r="F170" s="154" t="s">
        <v>718</v>
      </c>
      <c r="G170" s="154" t="s">
        <v>746</v>
      </c>
      <c r="H170" s="154" t="s">
        <v>745</v>
      </c>
      <c r="L170" s="75"/>
      <c r="Q170" s="154" t="s">
        <v>750</v>
      </c>
      <c r="R170" t="s">
        <v>751</v>
      </c>
    </row>
    <row r="171" spans="1:18" x14ac:dyDescent="0.25">
      <c r="E171" s="32"/>
      <c r="F171" s="32"/>
      <c r="L171" s="75"/>
      <c r="N171" s="31"/>
    </row>
    <row r="172" spans="1:18" x14ac:dyDescent="0.25">
      <c r="B172" t="s">
        <v>835</v>
      </c>
      <c r="C172">
        <f>C176</f>
        <v>400</v>
      </c>
      <c r="D172" t="s">
        <v>606</v>
      </c>
      <c r="E172" s="32">
        <f>'Indoor Inputs'!$G$6*'Indoor Inputs'!$G$7*'Indoor Inputs'!$G$9*'Indoor Inputs'!G97/feet_to_meters*$C$178*(C172-$C$176)</f>
        <v>0</v>
      </c>
      <c r="F172" s="32">
        <f>'Indoor Inputs'!K50</f>
        <v>3.1428571428571428</v>
      </c>
      <c r="G172" s="31">
        <f>E172*F172*'Indoor Inputs'!$K$29*week_to_days*day_to_hour</f>
        <v>0</v>
      </c>
      <c r="H172" s="31">
        <f>G172/$C$180</f>
        <v>0</v>
      </c>
      <c r="L172" s="75"/>
      <c r="N172" s="31" t="s">
        <v>835</v>
      </c>
      <c r="O172">
        <f>C176</f>
        <v>400</v>
      </c>
      <c r="P172" t="s">
        <v>606</v>
      </c>
      <c r="Q172" s="31">
        <f>O172-$C$176</f>
        <v>0</v>
      </c>
      <c r="R172" s="31">
        <f>Q172*$C$178*(prop_CO2_liquid_density/kgs_to_grams*m3_to_liters)</f>
        <v>0</v>
      </c>
    </row>
    <row r="173" spans="1:18" x14ac:dyDescent="0.25">
      <c r="B173" t="s">
        <v>390</v>
      </c>
      <c r="C173">
        <f>'Indoor Inputs'!K102</f>
        <v>700</v>
      </c>
      <c r="D173" t="s">
        <v>606</v>
      </c>
      <c r="E173" s="32">
        <f>'Indoor Inputs'!$G$6*'Indoor Inputs'!$G$7*'Indoor Inputs'!$G$9*'Indoor Inputs'!G98/feet_to_meters*$C$178*(C173-$C$176)</f>
        <v>10.241431237148175</v>
      </c>
      <c r="F173" s="32">
        <f>'Indoor Inputs'!K51</f>
        <v>7.1428571428571432</v>
      </c>
      <c r="G173" s="31">
        <f>E173*F173*'Indoor Inputs'!$K$29*week_to_days*day_to_hour</f>
        <v>76029.608167303406</v>
      </c>
      <c r="H173" s="31">
        <f>G173/$C$180</f>
        <v>8724.995199369223</v>
      </c>
      <c r="L173" s="75"/>
      <c r="N173" s="31" t="s">
        <v>390</v>
      </c>
      <c r="O173">
        <v>800</v>
      </c>
      <c r="P173" t="s">
        <v>606</v>
      </c>
      <c r="Q173" s="31">
        <f>O173-$C$176</f>
        <v>400</v>
      </c>
      <c r="R173" s="31">
        <f>Q173*$C$178*(prop_CO2_liquid_density/kgs_to_grams*m3_to_liters)</f>
        <v>0.30839999999999995</v>
      </c>
    </row>
    <row r="174" spans="1:18" x14ac:dyDescent="0.25">
      <c r="B174" s="73" t="s">
        <v>348</v>
      </c>
      <c r="C174" s="73">
        <f>'Indoor Inputs'!K103</f>
        <v>1400</v>
      </c>
      <c r="D174" s="73" t="s">
        <v>606</v>
      </c>
      <c r="E174" s="237">
        <f>'Indoor Inputs'!$G$6*'Indoor Inputs'!$G$7*'Indoor Inputs'!$G$9*'Indoor Inputs'!G99/feet_to_meters*$C$178*(C174-$C$176)</f>
        <v>100.14537740227615</v>
      </c>
      <c r="F174" s="237">
        <f>'Indoor Inputs'!K52</f>
        <v>8.1428571428571423</v>
      </c>
      <c r="G174" s="73">
        <f>E174*F174*'Indoor Inputs'!$K$29*week_to_days*day_to_hour</f>
        <v>847535.42109329719</v>
      </c>
      <c r="H174" s="73">
        <f>G174/$C$180</f>
        <v>97261.351973066005</v>
      </c>
      <c r="L174" s="75"/>
      <c r="N174" s="73" t="s">
        <v>348</v>
      </c>
      <c r="O174">
        <v>1400</v>
      </c>
      <c r="P174" t="s">
        <v>606</v>
      </c>
      <c r="Q174" s="31">
        <f>O174-$C$176</f>
        <v>1000</v>
      </c>
      <c r="R174" s="31">
        <f>Q174*$C$178*(prop_CO2_liquid_density/kgs_to_grams*m3_to_liters)</f>
        <v>0.77100000000000002</v>
      </c>
    </row>
    <row r="175" spans="1:18" x14ac:dyDescent="0.25">
      <c r="G175" s="33"/>
      <c r="H175" s="37">
        <f>SUM(H171:H174)</f>
        <v>105986.34717243523</v>
      </c>
      <c r="L175" s="75"/>
    </row>
    <row r="176" spans="1:18" x14ac:dyDescent="0.25">
      <c r="B176" t="s">
        <v>714</v>
      </c>
      <c r="C176">
        <v>400</v>
      </c>
      <c r="D176" t="s">
        <v>606</v>
      </c>
      <c r="E176">
        <f>feet_to_meters</f>
        <v>0.30480000000000002</v>
      </c>
      <c r="L176" s="75"/>
      <c r="N176" t="s">
        <v>752</v>
      </c>
    </row>
    <row r="177" spans="1:22" x14ac:dyDescent="0.25">
      <c r="G177">
        <f>week_to_days</f>
        <v>7</v>
      </c>
      <c r="L177" s="75"/>
    </row>
    <row r="178" spans="1:22" ht="45" x14ac:dyDescent="0.25">
      <c r="B178" t="s">
        <v>1052</v>
      </c>
      <c r="C178">
        <v>9.9999999999999995E-7</v>
      </c>
      <c r="D178" t="s">
        <v>606</v>
      </c>
      <c r="G178">
        <f>day_to_hour</f>
        <v>24</v>
      </c>
      <c r="L178" s="75"/>
      <c r="Q178" s="243" t="s">
        <v>755</v>
      </c>
      <c r="R178" s="243" t="s">
        <v>757</v>
      </c>
      <c r="S178" s="73" t="s">
        <v>758</v>
      </c>
      <c r="T178" s="243" t="s">
        <v>756</v>
      </c>
      <c r="U178" s="244" t="s">
        <v>760</v>
      </c>
      <c r="V178" s="243" t="s">
        <v>759</v>
      </c>
    </row>
    <row r="179" spans="1:22" x14ac:dyDescent="0.25">
      <c r="B179" t="s">
        <v>753</v>
      </c>
      <c r="C179">
        <v>3.0000000000000001E-3</v>
      </c>
      <c r="D179" t="s">
        <v>754</v>
      </c>
      <c r="G179">
        <f>ft3_to_m3</f>
        <v>2.83168E-2</v>
      </c>
      <c r="L179" s="75"/>
      <c r="N179" s="31"/>
      <c r="O179" s="31"/>
      <c r="P179" s="31"/>
      <c r="Q179" s="32">
        <f>'Indoor Inputs'!K8*m2_to_ft2*C179</f>
        <v>30.295485818181817</v>
      </c>
    </row>
    <row r="180" spans="1:22" x14ac:dyDescent="0.25">
      <c r="B180" t="s">
        <v>747</v>
      </c>
      <c r="C180" s="86">
        <v>8.7140000000000004</v>
      </c>
      <c r="D180" t="s">
        <v>748</v>
      </c>
      <c r="L180" s="75"/>
      <c r="N180" s="31" t="s">
        <v>346</v>
      </c>
      <c r="O180" s="31">
        <f>C176</f>
        <v>400</v>
      </c>
      <c r="P180" s="31" t="s">
        <v>606</v>
      </c>
      <c r="R180" s="31" t="str">
        <f>IF((O180-$C$176)&lt;&gt;0,$Q$179*'Indoor Inputs'!K50*'Indoor Inputs'!$K$29*week_to_days*day_to_hour,"0")</f>
        <v>0</v>
      </c>
      <c r="S180" s="31">
        <f>R180/$C$180</f>
        <v>0</v>
      </c>
      <c r="T180" s="31">
        <f>('Indoor Inputs'!$K$8*'Indoor Inputs'!$K$9)/ft3_to_m3*$C$178*(O180-$C$176)*'Indoor Inputs'!$K$15</f>
        <v>0</v>
      </c>
      <c r="U180" s="31">
        <f>T180*'Indoor Inputs'!K50*'Indoor Inputs'!$K$29*week_to_days*day_to_hour</f>
        <v>0</v>
      </c>
      <c r="V180" s="31">
        <f>U180/$C$180</f>
        <v>0</v>
      </c>
    </row>
    <row r="181" spans="1:22" x14ac:dyDescent="0.25">
      <c r="L181" s="75"/>
      <c r="N181" s="31" t="s">
        <v>390</v>
      </c>
      <c r="O181" s="31">
        <v>800</v>
      </c>
      <c r="P181" s="31" t="s">
        <v>606</v>
      </c>
      <c r="R181" s="31">
        <f>IF((O181-$C$176)&lt;&gt;0,$Q$179*'Indoor Inputs'!K51*'Indoor Inputs'!$K$29*week_to_days*day_to_hour,"0")</f>
        <v>224905.4709892142</v>
      </c>
      <c r="S181" s="31">
        <f>R181/$C$180</f>
        <v>25809.670758459284</v>
      </c>
      <c r="T181" s="31">
        <f>('Indoor Inputs'!$K$8*'Indoor Inputs'!$K$9)/ft3_to_m3*$C$178*(O181-$C$176)*'Indoor Inputs'!$K$15</f>
        <v>1817.7338990538219</v>
      </c>
      <c r="U181" s="31">
        <f>T181*'Indoor Inputs'!K51*'Indoor Inputs'!$K$29*week_to_days*day_to_hour</f>
        <v>13494363.521789392</v>
      </c>
      <c r="V181" s="31">
        <f>U181/$C$180</f>
        <v>1548584.2921493449</v>
      </c>
    </row>
    <row r="182" spans="1:22" x14ac:dyDescent="0.25">
      <c r="B182" t="s">
        <v>715</v>
      </c>
      <c r="L182" s="75"/>
      <c r="N182" s="73" t="s">
        <v>348</v>
      </c>
      <c r="O182" s="73">
        <v>1400</v>
      </c>
      <c r="P182" s="73" t="s">
        <v>606</v>
      </c>
      <c r="Q182" s="73"/>
      <c r="R182" s="73">
        <f>IF((O182-$C$176)&lt;&gt;0,$Q$179*'Indoor Inputs'!K52*'Indoor Inputs'!$K$29*week_to_days*day_to_hour,"0")</f>
        <v>256392.23692770413</v>
      </c>
      <c r="S182" s="73">
        <f>R182/$C$180</f>
        <v>29423.024664643577</v>
      </c>
      <c r="T182" s="73">
        <f>('Indoor Inputs'!$K$8*'Indoor Inputs'!$K$9)/ft3_to_m3*$C$178*(O182-$C$176)*'Indoor Inputs'!$K$15</f>
        <v>4544.3347476345552</v>
      </c>
      <c r="U182" s="73">
        <f>T182*'Indoor Inputs'!K52*'Indoor Inputs'!$K$29*week_to_days*day_to_hour</f>
        <v>38458936.037099764</v>
      </c>
      <c r="V182" s="73">
        <f>U182/$C$180</f>
        <v>4413465.2326256325</v>
      </c>
    </row>
    <row r="183" spans="1:22" x14ac:dyDescent="0.25">
      <c r="B183" t="s">
        <v>716</v>
      </c>
      <c r="L183" s="75"/>
      <c r="R183" s="33">
        <f>SUM(R181:R182)</f>
        <v>481297.70791691833</v>
      </c>
      <c r="S183" s="37">
        <f>SUM(S179:S182)</f>
        <v>55232.695423102865</v>
      </c>
      <c r="T183" s="31">
        <f>SUM(T179:T182)</f>
        <v>6362.0686466883772</v>
      </c>
      <c r="U183" s="33">
        <f>SUM(U179:U182)</f>
        <v>51953299.558889158</v>
      </c>
      <c r="V183" s="37">
        <f>SUM(V179:V182)</f>
        <v>5962049.5247749779</v>
      </c>
    </row>
    <row r="184" spans="1:22" x14ac:dyDescent="0.2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</row>
    <row r="186" spans="1:22" x14ac:dyDescent="0.2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</row>
    <row r="187" spans="1:22" x14ac:dyDescent="0.25">
      <c r="B187" s="213" t="s">
        <v>804</v>
      </c>
    </row>
    <row r="189" spans="1:22" ht="30" x14ac:dyDescent="0.25">
      <c r="B189" s="247" t="s">
        <v>805</v>
      </c>
      <c r="C189" s="154" t="s">
        <v>808</v>
      </c>
      <c r="D189" s="154" t="s">
        <v>806</v>
      </c>
      <c r="E189" s="154" t="s">
        <v>807</v>
      </c>
      <c r="F189" s="154" t="s">
        <v>196</v>
      </c>
    </row>
    <row r="190" spans="1:22" x14ac:dyDescent="0.25">
      <c r="B190" t="s">
        <v>346</v>
      </c>
      <c r="C190" s="33" t="s">
        <v>809</v>
      </c>
      <c r="D190" s="33" t="s">
        <v>810</v>
      </c>
      <c r="E190" s="33" t="s">
        <v>811</v>
      </c>
      <c r="F190" s="33" t="s">
        <v>812</v>
      </c>
      <c r="G190" s="31"/>
    </row>
    <row r="191" spans="1:22" ht="45" x14ac:dyDescent="0.25">
      <c r="B191" t="s">
        <v>390</v>
      </c>
      <c r="C191" s="154" t="s">
        <v>813</v>
      </c>
      <c r="D191" s="31" t="s">
        <v>814</v>
      </c>
      <c r="E191" s="31" t="s">
        <v>815</v>
      </c>
      <c r="F191" s="31" t="s">
        <v>816</v>
      </c>
      <c r="G191" s="31"/>
    </row>
    <row r="192" spans="1:22" x14ac:dyDescent="0.25">
      <c r="B192" t="s">
        <v>348</v>
      </c>
      <c r="C192" s="33" t="s">
        <v>817</v>
      </c>
      <c r="D192" t="s">
        <v>818</v>
      </c>
      <c r="E192" t="s">
        <v>818</v>
      </c>
      <c r="F192" t="s">
        <v>819</v>
      </c>
    </row>
    <row r="193" spans="2:14" x14ac:dyDescent="0.25">
      <c r="B193" t="s">
        <v>821</v>
      </c>
      <c r="C193" s="154" t="s">
        <v>820</v>
      </c>
      <c r="D193" t="s">
        <v>822</v>
      </c>
      <c r="E193" t="s">
        <v>823</v>
      </c>
      <c r="F193" t="s">
        <v>824</v>
      </c>
    </row>
    <row r="197" spans="2:14" ht="15.75" thickBot="1" x14ac:dyDescent="0.3">
      <c r="B197" t="s">
        <v>1080</v>
      </c>
    </row>
    <row r="198" spans="2:14" x14ac:dyDescent="0.25">
      <c r="B198" t="s">
        <v>1082</v>
      </c>
      <c r="D198" t="s">
        <v>1083</v>
      </c>
      <c r="K198" s="291"/>
      <c r="L198" s="292"/>
      <c r="M198" s="292"/>
      <c r="N198" s="293"/>
    </row>
    <row r="199" spans="2:14" x14ac:dyDescent="0.25">
      <c r="B199" t="s">
        <v>1081</v>
      </c>
      <c r="C199" t="s">
        <v>495</v>
      </c>
      <c r="D199" t="s">
        <v>1085</v>
      </c>
      <c r="K199" s="294" t="s">
        <v>1086</v>
      </c>
      <c r="L199" s="295"/>
      <c r="M199" s="295"/>
      <c r="N199" s="296"/>
    </row>
    <row r="200" spans="2:14" x14ac:dyDescent="0.25">
      <c r="B200">
        <v>1.5</v>
      </c>
      <c r="C200">
        <v>6600</v>
      </c>
      <c r="D200">
        <v>0.5</v>
      </c>
      <c r="K200" s="297" t="s">
        <v>1087</v>
      </c>
      <c r="L200" s="295"/>
      <c r="M200" s="295"/>
      <c r="N200" s="296"/>
    </row>
    <row r="201" spans="2:14" ht="15.75" thickBot="1" x14ac:dyDescent="0.3">
      <c r="B201">
        <v>2</v>
      </c>
      <c r="C201">
        <v>7900</v>
      </c>
      <c r="D201">
        <v>0.5</v>
      </c>
      <c r="K201" s="298"/>
      <c r="L201" s="299"/>
      <c r="M201" s="299"/>
      <c r="N201" s="300"/>
    </row>
    <row r="202" spans="2:14" x14ac:dyDescent="0.25">
      <c r="B202">
        <v>1</v>
      </c>
      <c r="C202">
        <v>3254</v>
      </c>
      <c r="D202">
        <v>0.5</v>
      </c>
    </row>
    <row r="203" spans="2:14" x14ac:dyDescent="0.25">
      <c r="B203">
        <v>1.5</v>
      </c>
      <c r="C203">
        <v>5389</v>
      </c>
      <c r="D203">
        <v>0.5</v>
      </c>
    </row>
    <row r="204" spans="2:14" x14ac:dyDescent="0.25">
      <c r="B204">
        <v>2</v>
      </c>
      <c r="C204">
        <v>7716</v>
      </c>
      <c r="D204">
        <v>0.5</v>
      </c>
    </row>
    <row r="205" spans="2:14" x14ac:dyDescent="0.25">
      <c r="B205">
        <v>3</v>
      </c>
      <c r="C205">
        <v>10118</v>
      </c>
      <c r="D205">
        <v>0.5</v>
      </c>
    </row>
    <row r="206" spans="2:14" x14ac:dyDescent="0.25">
      <c r="B206">
        <v>5</v>
      </c>
      <c r="C206">
        <v>20300</v>
      </c>
      <c r="D206" s="31">
        <v>0.5</v>
      </c>
    </row>
    <row r="207" spans="2:14" x14ac:dyDescent="0.25">
      <c r="B207">
        <v>5</v>
      </c>
      <c r="C207">
        <v>21500</v>
      </c>
      <c r="D207" s="31">
        <v>0.5</v>
      </c>
    </row>
    <row r="208" spans="2:14" x14ac:dyDescent="0.25">
      <c r="B208">
        <v>7.5</v>
      </c>
      <c r="C208">
        <v>29300</v>
      </c>
      <c r="D208" s="31">
        <v>0.5</v>
      </c>
    </row>
    <row r="209" spans="1:10" x14ac:dyDescent="0.25">
      <c r="B209">
        <v>10</v>
      </c>
      <c r="C209">
        <v>34800</v>
      </c>
      <c r="D209" s="31">
        <v>0.5</v>
      </c>
    </row>
    <row r="210" spans="1:10" x14ac:dyDescent="0.25">
      <c r="B210">
        <v>7.5</v>
      </c>
      <c r="C210">
        <v>30900</v>
      </c>
      <c r="D210" s="31">
        <v>0.5</v>
      </c>
    </row>
    <row r="211" spans="1:10" x14ac:dyDescent="0.25">
      <c r="B211">
        <v>10</v>
      </c>
      <c r="C211">
        <v>37400</v>
      </c>
      <c r="D211" s="31">
        <v>0.5</v>
      </c>
    </row>
    <row r="212" spans="1:10" x14ac:dyDescent="0.25">
      <c r="B212">
        <v>10</v>
      </c>
      <c r="C212">
        <v>40800</v>
      </c>
      <c r="D212" s="31">
        <v>0.5</v>
      </c>
    </row>
    <row r="217" spans="1:10" x14ac:dyDescent="0.25">
      <c r="B217" t="s">
        <v>1090</v>
      </c>
      <c r="C217" t="s">
        <v>1091</v>
      </c>
    </row>
    <row r="219" spans="1:10" x14ac:dyDescent="0.25">
      <c r="B219" t="s">
        <v>1081</v>
      </c>
      <c r="C219" t="s">
        <v>495</v>
      </c>
      <c r="D219" t="s">
        <v>1094</v>
      </c>
    </row>
    <row r="220" spans="1:10" x14ac:dyDescent="0.25">
      <c r="B220">
        <f>1/3</f>
        <v>0.33333333333333331</v>
      </c>
      <c r="C220">
        <f>AVERAGE(6200,8200)</f>
        <v>7200</v>
      </c>
      <c r="D220" t="s">
        <v>1095</v>
      </c>
    </row>
    <row r="223" spans="1:10" x14ac:dyDescent="0.25">
      <c r="F223" s="31">
        <v>11</v>
      </c>
      <c r="G223" s="31">
        <v>11</v>
      </c>
      <c r="H223" s="31">
        <v>11</v>
      </c>
      <c r="I223" s="31">
        <v>0</v>
      </c>
      <c r="J223" s="31">
        <v>10</v>
      </c>
    </row>
    <row r="224" spans="1:10" x14ac:dyDescent="0.25">
      <c r="A224" t="s">
        <v>365</v>
      </c>
      <c r="F224" s="31">
        <v>12</v>
      </c>
      <c r="G224" s="31">
        <v>12</v>
      </c>
      <c r="H224" s="31">
        <v>12</v>
      </c>
      <c r="I224" s="31">
        <v>0</v>
      </c>
      <c r="J224" s="31">
        <v>10</v>
      </c>
    </row>
    <row r="225" spans="1:10" x14ac:dyDescent="0.25">
      <c r="A225" t="s">
        <v>1818</v>
      </c>
      <c r="B225" t="s">
        <v>1819</v>
      </c>
      <c r="C225" s="460" t="s">
        <v>1822</v>
      </c>
      <c r="F225" s="31">
        <v>13</v>
      </c>
      <c r="G225" s="31">
        <v>13</v>
      </c>
      <c r="H225" s="31">
        <v>13</v>
      </c>
      <c r="I225" s="31">
        <v>0</v>
      </c>
      <c r="J225" s="31">
        <v>10</v>
      </c>
    </row>
    <row r="226" spans="1:10" x14ac:dyDescent="0.25">
      <c r="A226" t="s">
        <v>77</v>
      </c>
      <c r="B226" t="s">
        <v>1820</v>
      </c>
      <c r="C226" s="460" t="s">
        <v>1821</v>
      </c>
      <c r="F226" s="31">
        <v>14</v>
      </c>
      <c r="G226" s="31">
        <v>14</v>
      </c>
      <c r="H226" s="31">
        <v>14</v>
      </c>
      <c r="I226" s="31">
        <v>0</v>
      </c>
      <c r="J226" s="31">
        <v>10</v>
      </c>
    </row>
    <row r="228" spans="1:10" x14ac:dyDescent="0.25">
      <c r="A228" t="s">
        <v>1830</v>
      </c>
      <c r="B228" t="s">
        <v>1827</v>
      </c>
      <c r="C228" t="s">
        <v>1248</v>
      </c>
    </row>
    <row r="229" spans="1:10" x14ac:dyDescent="0.25">
      <c r="A229" t="s">
        <v>1826</v>
      </c>
      <c r="B229" t="s">
        <v>1828</v>
      </c>
      <c r="C229" t="s">
        <v>1829</v>
      </c>
    </row>
    <row r="230" spans="1:10" x14ac:dyDescent="0.25">
      <c r="A230" t="s">
        <v>390</v>
      </c>
      <c r="B230" t="s">
        <v>1831</v>
      </c>
      <c r="C230" t="s">
        <v>1832</v>
      </c>
    </row>
    <row r="231" spans="1:10" x14ac:dyDescent="0.25">
      <c r="A231" t="s">
        <v>348</v>
      </c>
      <c r="B231" t="s">
        <v>1833</v>
      </c>
      <c r="C231" t="s">
        <v>1834</v>
      </c>
    </row>
    <row r="232" spans="1:10" x14ac:dyDescent="0.25">
      <c r="A232" t="s">
        <v>1835</v>
      </c>
      <c r="B232" t="s">
        <v>1831</v>
      </c>
      <c r="C232" t="s">
        <v>1829</v>
      </c>
    </row>
    <row r="235" spans="1:10" x14ac:dyDescent="0.25">
      <c r="A235" t="s">
        <v>1836</v>
      </c>
      <c r="B235" t="s">
        <v>1837</v>
      </c>
      <c r="C235" t="s">
        <v>1842</v>
      </c>
      <c r="D235" t="s">
        <v>1843</v>
      </c>
    </row>
    <row r="236" spans="1:10" x14ac:dyDescent="0.25">
      <c r="A236" t="s">
        <v>1838</v>
      </c>
      <c r="B236" t="s">
        <v>1839</v>
      </c>
      <c r="C236" t="s">
        <v>1840</v>
      </c>
      <c r="D236" t="s">
        <v>1841</v>
      </c>
    </row>
    <row r="237" spans="1:10" x14ac:dyDescent="0.25">
      <c r="A237" t="s">
        <v>1845</v>
      </c>
      <c r="B237" t="s">
        <v>1846</v>
      </c>
      <c r="C237" t="s">
        <v>1847</v>
      </c>
      <c r="D237" t="s">
        <v>1848</v>
      </c>
    </row>
    <row r="238" spans="1:10" ht="15.75" thickBot="1" x14ac:dyDescent="0.3"/>
    <row r="239" spans="1:10" ht="15.75" thickBot="1" x14ac:dyDescent="0.3">
      <c r="C239" t="s">
        <v>1861</v>
      </c>
      <c r="F239" s="793" t="s">
        <v>1858</v>
      </c>
      <c r="G239" s="794"/>
      <c r="H239" s="795"/>
    </row>
    <row r="240" spans="1:10" x14ac:dyDescent="0.25">
      <c r="B240" t="s">
        <v>1857</v>
      </c>
      <c r="C240" t="s">
        <v>1648</v>
      </c>
      <c r="D240" t="s">
        <v>1859</v>
      </c>
      <c r="E240" t="s">
        <v>1860</v>
      </c>
      <c r="F240" s="37" t="s">
        <v>1648</v>
      </c>
      <c r="G240" s="37" t="s">
        <v>1859</v>
      </c>
      <c r="H240" s="37" t="s">
        <v>1860</v>
      </c>
    </row>
    <row r="241" spans="1:9" x14ac:dyDescent="0.25">
      <c r="A241" t="s">
        <v>835</v>
      </c>
      <c r="B241">
        <v>10</v>
      </c>
      <c r="C241">
        <v>0.11</v>
      </c>
      <c r="D241">
        <v>0.4</v>
      </c>
      <c r="E241">
        <v>0.13</v>
      </c>
      <c r="F241" s="69">
        <f>B241*C241/5</f>
        <v>0.22000000000000003</v>
      </c>
      <c r="G241" s="69">
        <f>B241*D241/5</f>
        <v>0.8</v>
      </c>
      <c r="H241" s="69">
        <f>B241*E241/5</f>
        <v>0.26</v>
      </c>
    </row>
    <row r="242" spans="1:9" x14ac:dyDescent="0.25">
      <c r="A242" t="s">
        <v>893</v>
      </c>
      <c r="B242">
        <v>25</v>
      </c>
      <c r="C242">
        <v>0.19</v>
      </c>
      <c r="D242">
        <v>0.05</v>
      </c>
      <c r="E242">
        <v>0.2</v>
      </c>
      <c r="F242" s="69">
        <f t="shared" ref="F242:F244" si="0">B242*C242/5</f>
        <v>0.95</v>
      </c>
      <c r="G242" s="69">
        <f t="shared" ref="G242:G244" si="1">B242*D242/5</f>
        <v>0.25</v>
      </c>
      <c r="H242" s="69">
        <f t="shared" ref="H242:H244" si="2">B242*E242/5</f>
        <v>1</v>
      </c>
    </row>
    <row r="243" spans="1:9" x14ac:dyDescent="0.25">
      <c r="A243" t="s">
        <v>1855</v>
      </c>
      <c r="B243">
        <v>200</v>
      </c>
      <c r="C243">
        <v>0.16</v>
      </c>
      <c r="D243">
        <v>0.06</v>
      </c>
      <c r="E243">
        <v>0.3</v>
      </c>
      <c r="F243" s="69">
        <f t="shared" si="0"/>
        <v>6.4</v>
      </c>
      <c r="G243" s="69">
        <f t="shared" si="1"/>
        <v>2.4</v>
      </c>
      <c r="H243" s="69">
        <f t="shared" si="2"/>
        <v>12</v>
      </c>
    </row>
    <row r="244" spans="1:9" x14ac:dyDescent="0.25">
      <c r="A244" t="s">
        <v>1856</v>
      </c>
      <c r="B244">
        <v>10</v>
      </c>
      <c r="C244">
        <v>0.19</v>
      </c>
      <c r="D244">
        <v>0.05</v>
      </c>
      <c r="E244">
        <v>0.2</v>
      </c>
      <c r="F244" s="69">
        <f t="shared" si="0"/>
        <v>0.38</v>
      </c>
      <c r="G244" s="69">
        <f t="shared" si="1"/>
        <v>0.1</v>
      </c>
      <c r="H244" s="69">
        <f t="shared" si="2"/>
        <v>0.4</v>
      </c>
    </row>
    <row r="246" spans="1:9" x14ac:dyDescent="0.25">
      <c r="A246" t="s">
        <v>616</v>
      </c>
      <c r="B246" t="s">
        <v>131</v>
      </c>
    </row>
    <row r="247" spans="1:9" x14ac:dyDescent="0.25">
      <c r="A247" t="s">
        <v>835</v>
      </c>
      <c r="B247">
        <f>16*oz_to_grams/lbs_to_grams</f>
        <v>1.0000220467302494</v>
      </c>
    </row>
    <row r="248" spans="1:9" x14ac:dyDescent="0.25">
      <c r="A248" t="s">
        <v>893</v>
      </c>
    </row>
    <row r="249" spans="1:9" x14ac:dyDescent="0.25">
      <c r="A249" t="s">
        <v>77</v>
      </c>
    </row>
    <row r="254" spans="1:9" x14ac:dyDescent="0.25">
      <c r="A254" s="467" t="s">
        <v>1944</v>
      </c>
      <c r="B254" s="467" t="s">
        <v>1943</v>
      </c>
      <c r="C254" s="467"/>
      <c r="D254" s="467"/>
      <c r="E254" s="467"/>
      <c r="F254" s="467"/>
      <c r="G254" s="467"/>
    </row>
    <row r="255" spans="1:9" x14ac:dyDescent="0.25">
      <c r="G255" t="s">
        <v>2724</v>
      </c>
    </row>
    <row r="256" spans="1:9" ht="15.75" thickBot="1" x14ac:dyDescent="0.3">
      <c r="B256" s="824" t="s">
        <v>2725</v>
      </c>
      <c r="C256" s="824"/>
      <c r="D256" s="824"/>
      <c r="E256" s="824"/>
      <c r="F256" s="824"/>
      <c r="G256" s="824"/>
      <c r="H256" s="824"/>
      <c r="I256" s="824"/>
    </row>
    <row r="257" spans="1:9" x14ac:dyDescent="0.25">
      <c r="A257" s="73" t="s">
        <v>2723</v>
      </c>
      <c r="B257" s="823" t="s">
        <v>2726</v>
      </c>
      <c r="C257" s="823"/>
      <c r="D257" s="823"/>
      <c r="E257" s="823"/>
      <c r="F257" s="823"/>
      <c r="G257" s="823"/>
      <c r="H257" s="823"/>
      <c r="I257" s="823"/>
    </row>
    <row r="258" spans="1:9" x14ac:dyDescent="0.25">
      <c r="A258" s="69" t="s">
        <v>1958</v>
      </c>
      <c r="B258" s="69" t="s">
        <v>1959</v>
      </c>
      <c r="C258" s="69">
        <v>1</v>
      </c>
      <c r="D258" s="69">
        <v>2</v>
      </c>
      <c r="E258" s="69">
        <v>3</v>
      </c>
      <c r="F258" s="69">
        <v>4</v>
      </c>
      <c r="G258" s="69">
        <v>5</v>
      </c>
      <c r="H258" s="69">
        <v>6</v>
      </c>
      <c r="I258" s="69">
        <v>7</v>
      </c>
    </row>
    <row r="259" spans="1:9" x14ac:dyDescent="0.25">
      <c r="A259" s="69" t="s">
        <v>1945</v>
      </c>
      <c r="B259" s="69">
        <v>6</v>
      </c>
      <c r="C259" s="69">
        <v>6</v>
      </c>
      <c r="D259" s="69">
        <v>6</v>
      </c>
      <c r="E259" s="69">
        <v>6</v>
      </c>
      <c r="F259" s="69">
        <v>3</v>
      </c>
      <c r="G259" s="69">
        <v>3</v>
      </c>
      <c r="H259" s="69">
        <v>3</v>
      </c>
      <c r="I259" s="69">
        <v>3</v>
      </c>
    </row>
    <row r="260" spans="1:9" x14ac:dyDescent="0.25">
      <c r="A260" s="69" t="s">
        <v>1946</v>
      </c>
      <c r="B260" s="69"/>
      <c r="C260" s="69"/>
      <c r="D260" s="69">
        <v>2</v>
      </c>
      <c r="E260" s="69">
        <v>3</v>
      </c>
      <c r="F260" s="69">
        <v>3</v>
      </c>
      <c r="G260" s="69">
        <v>3</v>
      </c>
      <c r="H260" s="69">
        <v>3</v>
      </c>
      <c r="I260" s="69">
        <v>2</v>
      </c>
    </row>
    <row r="261" spans="1:9" x14ac:dyDescent="0.25">
      <c r="A261" s="69" t="s">
        <v>1947</v>
      </c>
      <c r="B261" s="69"/>
      <c r="C261" s="69"/>
      <c r="D261" s="69"/>
      <c r="E261" s="69"/>
      <c r="F261" s="69"/>
      <c r="G261" s="69"/>
      <c r="H261" s="69"/>
      <c r="I261" s="69">
        <v>2</v>
      </c>
    </row>
    <row r="262" spans="1:9" x14ac:dyDescent="0.25">
      <c r="A262" s="69" t="s">
        <v>1948</v>
      </c>
      <c r="B262" s="69"/>
      <c r="C262" s="69"/>
      <c r="D262" s="69">
        <v>2</v>
      </c>
      <c r="E262" s="69">
        <v>2</v>
      </c>
      <c r="F262" s="69">
        <v>2</v>
      </c>
      <c r="G262" s="69">
        <v>2</v>
      </c>
      <c r="H262" s="69">
        <v>2</v>
      </c>
      <c r="I262" s="69">
        <v>2</v>
      </c>
    </row>
    <row r="263" spans="1:9" x14ac:dyDescent="0.25">
      <c r="A263" s="69" t="s">
        <v>1949</v>
      </c>
      <c r="B263" s="69">
        <v>1</v>
      </c>
      <c r="C263" s="69">
        <v>1</v>
      </c>
      <c r="D263" s="69">
        <v>1</v>
      </c>
      <c r="E263" s="69">
        <v>1</v>
      </c>
      <c r="F263" s="69">
        <v>1</v>
      </c>
      <c r="G263" s="69">
        <v>1</v>
      </c>
      <c r="H263" s="69">
        <v>1</v>
      </c>
      <c r="I263" s="69">
        <v>1</v>
      </c>
    </row>
    <row r="264" spans="1:9" x14ac:dyDescent="0.25">
      <c r="A264" s="69" t="s">
        <v>1950</v>
      </c>
      <c r="B264" s="69"/>
      <c r="C264" s="69"/>
      <c r="D264" s="69">
        <v>0.5</v>
      </c>
      <c r="E264" s="69"/>
      <c r="F264" s="69">
        <v>0.5</v>
      </c>
      <c r="G264" s="69">
        <v>0.5</v>
      </c>
      <c r="H264" s="69">
        <v>0.5</v>
      </c>
      <c r="I264" s="69"/>
    </row>
    <row r="265" spans="1:9" x14ac:dyDescent="0.25">
      <c r="A265" s="69" t="s">
        <v>1951</v>
      </c>
      <c r="B265" s="69"/>
      <c r="C265" s="69"/>
      <c r="D265" s="69">
        <v>0.5</v>
      </c>
      <c r="E265" s="69">
        <v>0.5</v>
      </c>
      <c r="F265" s="69"/>
      <c r="G265" s="69"/>
      <c r="H265" s="69"/>
      <c r="I265" s="69">
        <v>0.5</v>
      </c>
    </row>
    <row r="266" spans="1:9" x14ac:dyDescent="0.25">
      <c r="A266" s="69" t="s">
        <v>1952</v>
      </c>
      <c r="B266" s="69">
        <v>0.5</v>
      </c>
      <c r="C266" s="69">
        <v>0.5</v>
      </c>
      <c r="D266" s="69">
        <v>0.5</v>
      </c>
      <c r="E266" s="69">
        <v>0.5</v>
      </c>
      <c r="F266" s="69">
        <v>0.5</v>
      </c>
      <c r="G266" s="69">
        <v>0.5</v>
      </c>
      <c r="H266" s="69">
        <v>0.5</v>
      </c>
      <c r="I266" s="69"/>
    </row>
    <row r="267" spans="1:9" x14ac:dyDescent="0.25">
      <c r="A267" s="69" t="s">
        <v>1953</v>
      </c>
      <c r="B267" s="69"/>
      <c r="C267" s="69"/>
      <c r="D267" s="69"/>
      <c r="E267" s="69">
        <v>0.25</v>
      </c>
      <c r="F267" s="69">
        <v>0.25</v>
      </c>
      <c r="G267" s="69">
        <v>0.25</v>
      </c>
      <c r="H267" s="69">
        <v>0.25</v>
      </c>
      <c r="I267" s="69">
        <v>0.5</v>
      </c>
    </row>
    <row r="268" spans="1:9" x14ac:dyDescent="0.25">
      <c r="A268" s="69" t="s">
        <v>1954</v>
      </c>
      <c r="B268" s="69"/>
      <c r="C268" s="69"/>
      <c r="D268" s="69"/>
      <c r="E268" s="69"/>
      <c r="F268" s="69"/>
      <c r="G268" s="69"/>
      <c r="H268" s="69"/>
      <c r="I268" s="69"/>
    </row>
    <row r="269" spans="1:9" x14ac:dyDescent="0.25">
      <c r="A269" s="69" t="s">
        <v>1955</v>
      </c>
      <c r="B269" s="69"/>
      <c r="C269" s="69"/>
      <c r="D269" s="69"/>
      <c r="E269" s="69"/>
      <c r="F269" s="69"/>
      <c r="G269" s="69">
        <v>0.25</v>
      </c>
      <c r="H269" s="69">
        <v>0.25</v>
      </c>
      <c r="I269" s="69">
        <v>0.25</v>
      </c>
    </row>
    <row r="270" spans="1:9" x14ac:dyDescent="0.25">
      <c r="A270" s="69" t="s">
        <v>1956</v>
      </c>
      <c r="B270" s="69"/>
      <c r="C270" s="69"/>
      <c r="D270" s="69"/>
      <c r="E270" s="69"/>
      <c r="F270" s="69"/>
      <c r="G270" s="69"/>
      <c r="H270" s="69"/>
      <c r="I270" s="69"/>
    </row>
    <row r="271" spans="1:9" x14ac:dyDescent="0.25">
      <c r="A271" s="69" t="s">
        <v>1957</v>
      </c>
      <c r="B271" s="69"/>
      <c r="C271" s="69"/>
      <c r="D271" s="69"/>
      <c r="E271" s="69"/>
      <c r="F271" s="69"/>
      <c r="G271" s="69"/>
      <c r="H271" s="69"/>
      <c r="I271" s="69"/>
    </row>
    <row r="272" spans="1:9" s="31" customFormat="1" x14ac:dyDescent="0.25"/>
    <row r="273" spans="1:9" s="31" customFormat="1" x14ac:dyDescent="0.25">
      <c r="B273" s="822" t="s">
        <v>2727</v>
      </c>
      <c r="C273" s="822"/>
      <c r="D273" s="822"/>
      <c r="E273" s="822"/>
      <c r="F273" s="822"/>
      <c r="G273" s="822"/>
      <c r="H273" s="822"/>
      <c r="I273" s="822"/>
    </row>
    <row r="274" spans="1:9" s="31" customFormat="1" x14ac:dyDescent="0.25">
      <c r="A274" s="69" t="s">
        <v>1958</v>
      </c>
      <c r="B274" s="69">
        <v>8</v>
      </c>
      <c r="C274" s="69">
        <v>9</v>
      </c>
      <c r="D274" s="69">
        <v>10</v>
      </c>
      <c r="E274" s="69">
        <v>11</v>
      </c>
      <c r="F274" s="69">
        <v>12</v>
      </c>
      <c r="G274" s="69">
        <v>13</v>
      </c>
      <c r="H274" s="69">
        <v>14</v>
      </c>
      <c r="I274" s="69">
        <v>15</v>
      </c>
    </row>
    <row r="275" spans="1:9" s="31" customFormat="1" x14ac:dyDescent="0.25">
      <c r="A275" s="69" t="s">
        <v>1945</v>
      </c>
      <c r="B275" s="69">
        <v>3</v>
      </c>
      <c r="C275" s="69">
        <v>3</v>
      </c>
      <c r="D275" s="69">
        <v>3</v>
      </c>
      <c r="E275" s="69">
        <v>3</v>
      </c>
      <c r="F275" s="69">
        <v>3</v>
      </c>
      <c r="G275" s="69">
        <v>3</v>
      </c>
      <c r="H275" s="69">
        <v>3</v>
      </c>
      <c r="I275" s="69"/>
    </row>
    <row r="276" spans="1:9" s="31" customFormat="1" x14ac:dyDescent="0.25">
      <c r="A276" s="69" t="s">
        <v>1946</v>
      </c>
      <c r="B276" s="69">
        <v>2</v>
      </c>
      <c r="C276" s="69">
        <v>2</v>
      </c>
      <c r="D276" s="69">
        <v>2</v>
      </c>
      <c r="E276" s="69">
        <v>1</v>
      </c>
      <c r="F276" s="69"/>
      <c r="G276" s="69"/>
      <c r="H276" s="69"/>
      <c r="I276" s="69"/>
    </row>
    <row r="277" spans="1:9" s="31" customFormat="1" x14ac:dyDescent="0.25">
      <c r="A277" s="69" t="s">
        <v>1947</v>
      </c>
      <c r="B277" s="69">
        <v>2</v>
      </c>
      <c r="C277" s="69">
        <v>2</v>
      </c>
      <c r="D277" s="69">
        <v>2</v>
      </c>
      <c r="E277" s="69">
        <v>2</v>
      </c>
      <c r="F277" s="69">
        <v>2</v>
      </c>
      <c r="G277" s="69">
        <v>1</v>
      </c>
      <c r="H277" s="69">
        <v>1</v>
      </c>
      <c r="I277" s="69"/>
    </row>
    <row r="278" spans="1:9" s="31" customFormat="1" x14ac:dyDescent="0.25">
      <c r="A278" s="69" t="s">
        <v>1948</v>
      </c>
      <c r="B278" s="69">
        <v>2</v>
      </c>
      <c r="C278" s="69">
        <v>2</v>
      </c>
      <c r="D278" s="69">
        <v>2</v>
      </c>
      <c r="E278" s="69">
        <v>2</v>
      </c>
      <c r="F278" s="69">
        <v>2</v>
      </c>
      <c r="G278" s="69">
        <v>2</v>
      </c>
      <c r="H278" s="69">
        <v>2</v>
      </c>
      <c r="I278" s="69"/>
    </row>
    <row r="279" spans="1:9" s="31" customFormat="1" x14ac:dyDescent="0.25">
      <c r="A279" s="69" t="s">
        <v>1949</v>
      </c>
      <c r="B279" s="69">
        <v>1</v>
      </c>
      <c r="C279" s="69">
        <v>1</v>
      </c>
      <c r="D279" s="69"/>
      <c r="E279" s="69"/>
      <c r="F279" s="69"/>
      <c r="G279" s="69"/>
      <c r="H279" s="69"/>
      <c r="I279" s="69"/>
    </row>
    <row r="280" spans="1:9" s="31" customFormat="1" x14ac:dyDescent="0.25">
      <c r="A280" s="69" t="s">
        <v>1950</v>
      </c>
      <c r="B280" s="69">
        <v>1</v>
      </c>
      <c r="C280" s="69"/>
      <c r="D280" s="69"/>
      <c r="E280" s="69"/>
      <c r="F280" s="69"/>
      <c r="G280" s="69"/>
      <c r="H280" s="69"/>
      <c r="I280" s="69"/>
    </row>
    <row r="281" spans="1:9" s="31" customFormat="1" x14ac:dyDescent="0.25">
      <c r="A281" s="69" t="s">
        <v>1951</v>
      </c>
      <c r="B281" s="69"/>
      <c r="C281" s="69">
        <v>0.5</v>
      </c>
      <c r="D281" s="69"/>
      <c r="E281" s="69">
        <v>0.5</v>
      </c>
      <c r="F281" s="69"/>
      <c r="G281" s="69"/>
      <c r="H281" s="69"/>
      <c r="I281" s="69"/>
    </row>
    <row r="282" spans="1:9" s="31" customFormat="1" x14ac:dyDescent="0.25">
      <c r="A282" s="69" t="s">
        <v>1952</v>
      </c>
      <c r="B282" s="69"/>
      <c r="C282" s="69"/>
      <c r="D282" s="69"/>
      <c r="E282" s="69"/>
      <c r="F282" s="69"/>
      <c r="G282" s="69"/>
      <c r="H282" s="69"/>
      <c r="I282" s="69"/>
    </row>
    <row r="283" spans="1:9" s="31" customFormat="1" x14ac:dyDescent="0.25">
      <c r="A283" s="69" t="s">
        <v>1953</v>
      </c>
      <c r="B283" s="69">
        <v>0.5</v>
      </c>
      <c r="C283" s="69">
        <v>0.5</v>
      </c>
      <c r="D283" s="69">
        <v>0.5</v>
      </c>
      <c r="E283" s="69">
        <v>0.25</v>
      </c>
      <c r="F283" s="69"/>
      <c r="G283" s="69"/>
      <c r="H283" s="69"/>
      <c r="I283" s="69"/>
    </row>
    <row r="284" spans="1:9" s="31" customFormat="1" x14ac:dyDescent="0.25">
      <c r="A284" s="69" t="s">
        <v>1954</v>
      </c>
      <c r="B284" s="69"/>
      <c r="C284" s="69"/>
      <c r="D284" s="69">
        <v>3</v>
      </c>
      <c r="E284" s="69">
        <v>3</v>
      </c>
      <c r="F284" s="69">
        <v>3</v>
      </c>
      <c r="G284" s="69">
        <v>3</v>
      </c>
      <c r="H284" s="69">
        <v>3</v>
      </c>
      <c r="I284" s="69"/>
    </row>
    <row r="285" spans="1:9" s="31" customFormat="1" x14ac:dyDescent="0.25">
      <c r="A285" s="69" t="s">
        <v>1955</v>
      </c>
      <c r="B285" s="69">
        <v>0.25</v>
      </c>
      <c r="C285" s="69">
        <v>0.25</v>
      </c>
      <c r="D285" s="69"/>
      <c r="E285" s="69"/>
      <c r="F285" s="69"/>
      <c r="G285" s="69"/>
      <c r="H285" s="69"/>
      <c r="I285" s="69"/>
    </row>
    <row r="286" spans="1:9" s="31" customFormat="1" x14ac:dyDescent="0.25">
      <c r="A286" s="69" t="s">
        <v>1956</v>
      </c>
      <c r="B286" s="69"/>
      <c r="C286" s="69"/>
      <c r="D286" s="69">
        <v>0.25</v>
      </c>
      <c r="E286" s="69">
        <v>0.25</v>
      </c>
      <c r="F286" s="69"/>
      <c r="G286" s="69"/>
      <c r="H286" s="69"/>
      <c r="I286" s="69"/>
    </row>
    <row r="287" spans="1:9" s="31" customFormat="1" ht="15.75" thickBot="1" x14ac:dyDescent="0.3">
      <c r="A287" s="713" t="s">
        <v>1957</v>
      </c>
      <c r="B287" s="713"/>
      <c r="C287" s="713"/>
      <c r="D287" s="713"/>
      <c r="E287" s="713"/>
      <c r="F287" s="713">
        <v>0.25</v>
      </c>
      <c r="G287" s="713">
        <v>0.25</v>
      </c>
      <c r="H287" s="713">
        <v>0.25</v>
      </c>
      <c r="I287" s="713">
        <v>0.25</v>
      </c>
    </row>
    <row r="288" spans="1:9" s="31" customFormat="1" x14ac:dyDescent="0.25"/>
    <row r="289" spans="1:18" s="31" customFormat="1" x14ac:dyDescent="0.25"/>
    <row r="290" spans="1:18" s="31" customFormat="1" x14ac:dyDescent="0.25"/>
    <row r="291" spans="1:18" s="31" customFormat="1" x14ac:dyDescent="0.25"/>
    <row r="292" spans="1:18" s="31" customFormat="1" ht="15.75" thickBot="1" x14ac:dyDescent="0.3"/>
    <row r="293" spans="1:18" s="31" customFormat="1" ht="15.75" thickBot="1" x14ac:dyDescent="0.3">
      <c r="A293" s="473" t="s">
        <v>1980</v>
      </c>
      <c r="B293" s="474">
        <v>2</v>
      </c>
      <c r="C293" s="475" t="s">
        <v>1981</v>
      </c>
    </row>
    <row r="294" spans="1:18" ht="15.75" thickBot="1" x14ac:dyDescent="0.3">
      <c r="G294" s="818" t="s">
        <v>1982</v>
      </c>
      <c r="H294" s="819"/>
      <c r="I294" s="820"/>
    </row>
    <row r="295" spans="1:18" ht="30.75" thickBot="1" x14ac:dyDescent="0.3">
      <c r="A295" t="s">
        <v>2723</v>
      </c>
      <c r="B295" t="s">
        <v>1648</v>
      </c>
      <c r="C295" t="s">
        <v>1859</v>
      </c>
      <c r="D295" t="s">
        <v>1860</v>
      </c>
      <c r="E295" t="s">
        <v>1960</v>
      </c>
      <c r="F295" t="s">
        <v>1961</v>
      </c>
      <c r="G295" s="232" t="s">
        <v>1648</v>
      </c>
      <c r="H295" s="73" t="s">
        <v>1859</v>
      </c>
      <c r="I295" s="253" t="s">
        <v>1860</v>
      </c>
      <c r="L295" s="154" t="s">
        <v>2018</v>
      </c>
      <c r="M295" s="154" t="s">
        <v>2021</v>
      </c>
      <c r="N295" s="154" t="s">
        <v>2019</v>
      </c>
      <c r="O295" s="154" t="s">
        <v>2020</v>
      </c>
      <c r="P295" s="490" t="s">
        <v>2022</v>
      </c>
      <c r="Q295" s="491" t="s">
        <v>2023</v>
      </c>
      <c r="R295" s="492" t="s">
        <v>2024</v>
      </c>
    </row>
    <row r="296" spans="1:18" x14ac:dyDescent="0.25">
      <c r="A296" s="31" t="s">
        <v>1945</v>
      </c>
      <c r="B296" s="633">
        <v>0</v>
      </c>
      <c r="C296" s="633">
        <v>5.0000000000000001E-3</v>
      </c>
      <c r="D296" s="633">
        <v>7.0000000000000001E-3</v>
      </c>
      <c r="E296">
        <f>0.454/473</f>
        <v>9.5983086680761099E-4</v>
      </c>
      <c r="F296">
        <f>E296*1000*1000</f>
        <v>959.83086680761096</v>
      </c>
      <c r="G296" s="476">
        <f t="shared" ref="G296:G308" si="3">(SUM(B259:I259)+SUM(B275:I275))/(COUNT(B259:I259)+COUNT(B275:I275))*conv_teaspoon_to_liter/m3_to_liters*B296*F296</f>
        <v>0</v>
      </c>
      <c r="H296" s="53">
        <f t="shared" ref="H296:H308" si="4">(SUM(B259:I259)+SUM(B275:I275))/(COUNT(B275:I275)+COUNT(B259:I259))*conv_teaspoon_to_liter/m3_to_liters*C296*F296</f>
        <v>8.9887661564482031E-5</v>
      </c>
      <c r="I296" s="54">
        <f t="shared" ref="I296:I308" si="5">(SUM(B275:I275)+SUM(B259:I259))/(COUNT(B275:I275)+COUNT(B259:I259))*conv_teaspoon_to_liter/m3_to_liters*D296*F296</f>
        <v>1.2584272619027486E-4</v>
      </c>
      <c r="K296" t="s">
        <v>944</v>
      </c>
      <c r="L296">
        <f>'Indoor Inputs'!G95*7</f>
        <v>7</v>
      </c>
      <c r="M296" s="31">
        <f>L296*'Indoor Inputs'!G51</f>
        <v>50</v>
      </c>
      <c r="N296" s="31">
        <f>'Indoor Inputs'!$G$95*2</f>
        <v>2</v>
      </c>
      <c r="O296" s="31">
        <f>N296*'Indoor Inputs'!G51</f>
        <v>14.285714285714286</v>
      </c>
      <c r="P296" s="493">
        <f>$O$296*SUM(G296:G308)</f>
        <v>1.8165239493795088E-2</v>
      </c>
      <c r="Q296" s="494">
        <f t="shared" ref="Q296:R296" si="6">$O$296*SUM(H296:H308)</f>
        <v>4.0431643450558746E-2</v>
      </c>
      <c r="R296" s="495">
        <f t="shared" si="6"/>
        <v>2.7609967222167183E-2</v>
      </c>
    </row>
    <row r="297" spans="1:18" ht="15.75" thickBot="1" x14ac:dyDescent="0.3">
      <c r="A297" s="31" t="s">
        <v>1946</v>
      </c>
      <c r="B297" s="633">
        <v>0.06</v>
      </c>
      <c r="C297" s="633">
        <v>0.04</v>
      </c>
      <c r="D297" s="633">
        <v>0.04</v>
      </c>
      <c r="E297" s="31">
        <f>0.454/473</f>
        <v>9.5983086680761099E-4</v>
      </c>
      <c r="F297" s="31">
        <f>E297*1000*1000</f>
        <v>959.83086680761096</v>
      </c>
      <c r="G297" s="476">
        <f t="shared" si="3"/>
        <v>6.528682787315009E-4</v>
      </c>
      <c r="H297" s="53">
        <f t="shared" si="4"/>
        <v>4.3524551915433395E-4</v>
      </c>
      <c r="I297" s="54">
        <f t="shared" si="5"/>
        <v>4.3524551915433395E-4</v>
      </c>
      <c r="K297" t="s">
        <v>945</v>
      </c>
      <c r="L297">
        <f>'Indoor Inputs'!G95*7</f>
        <v>7</v>
      </c>
      <c r="M297" s="31">
        <f>L297*'Indoor Inputs'!G52</f>
        <v>57</v>
      </c>
      <c r="N297" s="31">
        <f>'Indoor Inputs'!$G$95*2</f>
        <v>2</v>
      </c>
      <c r="O297" s="31">
        <f>N297*'Indoor Inputs'!G52</f>
        <v>16.285714285714285</v>
      </c>
      <c r="P297" s="496">
        <f>$O$297*SUM(G296:G308)</f>
        <v>2.0708373022926396E-2</v>
      </c>
      <c r="Q297" s="497">
        <f t="shared" ref="Q297:R297" si="7">$O$297*SUM(H296:H308)</f>
        <v>4.6092073533636965E-2</v>
      </c>
      <c r="R297" s="498">
        <f t="shared" si="7"/>
        <v>3.1475362633270589E-2</v>
      </c>
    </row>
    <row r="298" spans="1:18" x14ac:dyDescent="0.25">
      <c r="A298" s="31" t="s">
        <v>1947</v>
      </c>
      <c r="B298" s="633">
        <v>0.02</v>
      </c>
      <c r="C298" s="633">
        <v>0.08</v>
      </c>
      <c r="D298" s="633">
        <v>0.04</v>
      </c>
      <c r="E298" s="31">
        <f>0.454/473</f>
        <v>9.5983086680761099E-4</v>
      </c>
      <c r="F298" s="31">
        <f>E298*1000*1000</f>
        <v>959.83086680761096</v>
      </c>
      <c r="G298" s="476">
        <f t="shared" si="3"/>
        <v>1.655825344608879E-4</v>
      </c>
      <c r="H298" s="53">
        <f t="shared" si="4"/>
        <v>6.6233013784355161E-4</v>
      </c>
      <c r="I298" s="54">
        <f t="shared" si="5"/>
        <v>3.311650689217758E-4</v>
      </c>
    </row>
    <row r="299" spans="1:18" x14ac:dyDescent="0.25">
      <c r="A299" s="31" t="s">
        <v>1948</v>
      </c>
      <c r="B299" s="633">
        <v>0.01</v>
      </c>
      <c r="C299" s="633">
        <v>3.0000000000000001E-3</v>
      </c>
      <c r="D299" s="633">
        <v>5.0000000000000001E-4</v>
      </c>
      <c r="E299" s="31">
        <f>0.454/473</f>
        <v>9.5983086680761099E-4</v>
      </c>
      <c r="F299" s="31">
        <f>E299*1000*1000</f>
        <v>959.83086680761096</v>
      </c>
      <c r="G299" s="476">
        <f t="shared" si="3"/>
        <v>9.4618591120507395E-5</v>
      </c>
      <c r="H299" s="53">
        <f t="shared" si="4"/>
        <v>2.838557733615222E-5</v>
      </c>
      <c r="I299" s="54">
        <f t="shared" si="5"/>
        <v>4.7309295560253694E-6</v>
      </c>
    </row>
    <row r="300" spans="1:18" x14ac:dyDescent="0.25">
      <c r="A300" s="31" t="s">
        <v>1949</v>
      </c>
      <c r="B300" s="633">
        <v>0.02</v>
      </c>
      <c r="C300" s="633">
        <v>2E-3</v>
      </c>
      <c r="D300" s="633">
        <v>3.0000000000000001E-3</v>
      </c>
      <c r="E300" s="31">
        <f t="shared" ref="E300:E305" si="8">0.454/473</f>
        <v>9.5983086680761099E-4</v>
      </c>
      <c r="F300" s="31">
        <f t="shared" ref="F300:F305" si="9">E300*1000*1000</f>
        <v>959.83086680761096</v>
      </c>
      <c r="G300" s="476">
        <f t="shared" si="3"/>
        <v>9.4618591120507395E-5</v>
      </c>
      <c r="H300" s="53">
        <f t="shared" si="4"/>
        <v>9.4618591120507389E-6</v>
      </c>
      <c r="I300" s="54">
        <f t="shared" si="5"/>
        <v>1.419278866807611E-5</v>
      </c>
    </row>
    <row r="301" spans="1:18" x14ac:dyDescent="0.25">
      <c r="A301" s="31" t="s">
        <v>1950</v>
      </c>
      <c r="B301" s="633">
        <v>8.0000000000000002E-3</v>
      </c>
      <c r="C301" s="633">
        <v>1E-3</v>
      </c>
      <c r="D301" s="633">
        <v>2.9999999999999997E-4</v>
      </c>
      <c r="E301" s="31">
        <f t="shared" si="8"/>
        <v>9.5983086680761099E-4</v>
      </c>
      <c r="F301" s="31">
        <f t="shared" si="9"/>
        <v>959.83086680761096</v>
      </c>
      <c r="G301" s="476">
        <f t="shared" si="3"/>
        <v>2.2708461868921774E-5</v>
      </c>
      <c r="H301" s="53">
        <f t="shared" si="4"/>
        <v>2.8385577336152217E-6</v>
      </c>
      <c r="I301" s="54">
        <f t="shared" si="5"/>
        <v>8.5156732008456635E-7</v>
      </c>
    </row>
    <row r="302" spans="1:18" x14ac:dyDescent="0.25">
      <c r="A302" s="31" t="s">
        <v>1951</v>
      </c>
      <c r="B302" s="633">
        <v>0.01</v>
      </c>
      <c r="C302" s="633">
        <v>3.0000000000000001E-3</v>
      </c>
      <c r="D302" s="633">
        <v>2E-3</v>
      </c>
      <c r="E302" s="31">
        <f t="shared" si="8"/>
        <v>9.5983086680761099E-4</v>
      </c>
      <c r="F302" s="31">
        <f t="shared" si="9"/>
        <v>959.83086680761096</v>
      </c>
      <c r="G302" s="476">
        <f t="shared" si="3"/>
        <v>2.3654647780126849E-5</v>
      </c>
      <c r="H302" s="53">
        <f t="shared" si="4"/>
        <v>7.096394334038055E-6</v>
      </c>
      <c r="I302" s="54">
        <f t="shared" si="5"/>
        <v>4.7309295560253694E-6</v>
      </c>
    </row>
    <row r="303" spans="1:18" x14ac:dyDescent="0.25">
      <c r="A303" s="31" t="s">
        <v>1952</v>
      </c>
      <c r="B303" s="633">
        <v>0.03</v>
      </c>
      <c r="C303" s="633">
        <v>0.01</v>
      </c>
      <c r="D303" s="633">
        <v>0</v>
      </c>
      <c r="E303" s="31">
        <f t="shared" si="8"/>
        <v>9.5983086680761099E-4</v>
      </c>
      <c r="F303" s="31">
        <f t="shared" si="9"/>
        <v>959.83086680761096</v>
      </c>
      <c r="G303" s="476">
        <f t="shared" si="3"/>
        <v>7.0963943340380547E-5</v>
      </c>
      <c r="H303" s="53">
        <f t="shared" si="4"/>
        <v>2.3654647780126849E-5</v>
      </c>
      <c r="I303" s="54">
        <f t="shared" si="5"/>
        <v>0</v>
      </c>
    </row>
    <row r="304" spans="1:18" x14ac:dyDescent="0.25">
      <c r="A304" s="31" t="s">
        <v>1953</v>
      </c>
      <c r="B304" s="633">
        <v>5.0000000000000001E-3</v>
      </c>
      <c r="C304" s="633">
        <v>0</v>
      </c>
      <c r="D304" s="633">
        <v>5.0000000000000001E-3</v>
      </c>
      <c r="E304" s="31">
        <f t="shared" si="8"/>
        <v>9.5983086680761099E-4</v>
      </c>
      <c r="F304" s="31">
        <f t="shared" si="9"/>
        <v>959.83086680761096</v>
      </c>
      <c r="G304" s="476">
        <f t="shared" si="3"/>
        <v>8.5419561428235837E-6</v>
      </c>
      <c r="H304" s="53">
        <f t="shared" si="4"/>
        <v>0</v>
      </c>
      <c r="I304" s="54">
        <f t="shared" si="5"/>
        <v>8.5419561428235837E-6</v>
      </c>
    </row>
    <row r="305" spans="1:23" x14ac:dyDescent="0.25">
      <c r="A305" s="31" t="s">
        <v>1954</v>
      </c>
      <c r="B305" s="633">
        <v>0</v>
      </c>
      <c r="C305" s="633">
        <v>0.01</v>
      </c>
      <c r="D305" s="633">
        <v>0.03</v>
      </c>
      <c r="E305" s="31">
        <f t="shared" si="8"/>
        <v>9.5983086680761099E-4</v>
      </c>
      <c r="F305" s="31">
        <f t="shared" si="9"/>
        <v>959.83086680761096</v>
      </c>
      <c r="G305" s="476">
        <f t="shared" si="3"/>
        <v>0</v>
      </c>
      <c r="H305" s="53">
        <f t="shared" si="4"/>
        <v>1.4192788668076109E-4</v>
      </c>
      <c r="I305" s="54">
        <f t="shared" si="5"/>
        <v>4.2578366004228325E-4</v>
      </c>
    </row>
    <row r="306" spans="1:23" x14ac:dyDescent="0.25">
      <c r="A306" s="31" t="s">
        <v>1955</v>
      </c>
      <c r="B306" s="633">
        <v>0.05</v>
      </c>
      <c r="C306" s="633">
        <v>0.45</v>
      </c>
      <c r="D306" s="633">
        <v>0.19</v>
      </c>
      <c r="F306">
        <f>prop_fert_gen_density</f>
        <v>800</v>
      </c>
      <c r="G306" s="476">
        <f t="shared" si="3"/>
        <v>4.9289200000000009E-5</v>
      </c>
      <c r="H306" s="53">
        <f t="shared" si="4"/>
        <v>4.4360280000000003E-4</v>
      </c>
      <c r="I306" s="54">
        <f t="shared" si="5"/>
        <v>1.8729896000000001E-4</v>
      </c>
    </row>
    <row r="307" spans="1:23" x14ac:dyDescent="0.25">
      <c r="A307" s="31" t="s">
        <v>1956</v>
      </c>
      <c r="B307" s="633">
        <v>0</v>
      </c>
      <c r="C307" s="633">
        <v>0.5</v>
      </c>
      <c r="D307" s="633">
        <v>0.3</v>
      </c>
      <c r="F307">
        <f>prop_fert_gen_density</f>
        <v>800</v>
      </c>
      <c r="G307" s="476">
        <f t="shared" si="3"/>
        <v>0</v>
      </c>
      <c r="H307" s="53">
        <f t="shared" si="4"/>
        <v>4.9289199999999998E-4</v>
      </c>
      <c r="I307" s="54">
        <f t="shared" si="5"/>
        <v>2.957352E-4</v>
      </c>
    </row>
    <row r="308" spans="1:23" x14ac:dyDescent="0.25">
      <c r="A308" s="31" t="s">
        <v>1957</v>
      </c>
      <c r="B308" s="633">
        <v>0.09</v>
      </c>
      <c r="C308" s="633">
        <v>0.5</v>
      </c>
      <c r="D308" s="633">
        <v>0.1</v>
      </c>
      <c r="F308">
        <f>prop_fert_gen_density</f>
        <v>800</v>
      </c>
      <c r="G308" s="476">
        <f t="shared" si="3"/>
        <v>8.8720559999999989E-5</v>
      </c>
      <c r="H308" s="53">
        <f t="shared" si="4"/>
        <v>4.9289199999999998E-4</v>
      </c>
      <c r="I308" s="54">
        <f t="shared" si="5"/>
        <v>9.8578400000000018E-5</v>
      </c>
    </row>
    <row r="314" spans="1:23" x14ac:dyDescent="0.2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</row>
    <row r="315" spans="1:23" x14ac:dyDescent="0.25">
      <c r="L315" t="s">
        <v>2059</v>
      </c>
      <c r="N315" t="s">
        <v>2060</v>
      </c>
      <c r="W315" s="75"/>
    </row>
    <row r="316" spans="1:23" x14ac:dyDescent="0.25">
      <c r="B316" t="s">
        <v>1999</v>
      </c>
      <c r="H316" t="s">
        <v>943</v>
      </c>
      <c r="I316">
        <f>'Indoor Inputs'!$G$17/('Indoor Inputs'!$G$8*'Indoor Inputs'!G97)</f>
        <v>50.571409082031245</v>
      </c>
      <c r="J316" t="s">
        <v>387</v>
      </c>
      <c r="L316">
        <v>4</v>
      </c>
      <c r="M316" t="s">
        <v>596</v>
      </c>
      <c r="N316">
        <v>11</v>
      </c>
      <c r="O316" t="s">
        <v>596</v>
      </c>
      <c r="Q316" s="31">
        <v>154074.90288592601</v>
      </c>
      <c r="R316" s="31">
        <v>341888.83560088603</v>
      </c>
      <c r="S316" s="31">
        <v>396995.91765497503</v>
      </c>
      <c r="T316" s="31">
        <v>0</v>
      </c>
      <c r="W316" s="75"/>
    </row>
    <row r="317" spans="1:23" x14ac:dyDescent="0.25">
      <c r="D317" t="s">
        <v>2017</v>
      </c>
      <c r="H317" t="s">
        <v>944</v>
      </c>
      <c r="I317" s="31">
        <f>'Indoor Inputs'!$G$17/('Indoor Inputs'!$G$8*'Indoor Inputs'!G98)</f>
        <v>7.8940736128048776</v>
      </c>
      <c r="J317" t="s">
        <v>387</v>
      </c>
      <c r="L317">
        <f>I316/m2_to_ft2</f>
        <v>4.6982421875</v>
      </c>
      <c r="Q317">
        <f>SUM(Q316:T316)</f>
        <v>892959.65614178707</v>
      </c>
      <c r="R317" t="s">
        <v>1046</v>
      </c>
      <c r="W317" s="75"/>
    </row>
    <row r="318" spans="1:23" x14ac:dyDescent="0.25">
      <c r="A318" t="s">
        <v>944</v>
      </c>
      <c r="B318">
        <f>50*'Indoor Inputs'!G95</f>
        <v>50</v>
      </c>
      <c r="C318" t="s">
        <v>1997</v>
      </c>
      <c r="H318" t="s">
        <v>945</v>
      </c>
      <c r="I318" s="31">
        <f>'Indoor Inputs'!$G$17/('Indoor Inputs'!$G$8*'Indoor Inputs'!G99)</f>
        <v>2.6909749999999999</v>
      </c>
      <c r="J318" t="s">
        <v>387</v>
      </c>
      <c r="L318" s="31">
        <f>I317/m2_to_ft2</f>
        <v>0.73338414634146343</v>
      </c>
      <c r="Q318">
        <f>Q317/('Indoor Inputs'!G17*'Indoor Inputs'!G29)</f>
        <v>86.479133204333209</v>
      </c>
      <c r="R318" t="s">
        <v>1996</v>
      </c>
      <c r="W318" s="75"/>
    </row>
    <row r="319" spans="1:23" ht="15.75" thickBot="1" x14ac:dyDescent="0.3">
      <c r="A319" t="s">
        <v>945</v>
      </c>
      <c r="B319">
        <f>57*'Indoor Inputs'!G95</f>
        <v>57</v>
      </c>
      <c r="C319" t="s">
        <v>1997</v>
      </c>
      <c r="H319" t="s">
        <v>942</v>
      </c>
      <c r="I319" s="31">
        <f>'Indoor Inputs'!$G$17/('Indoor Inputs'!$G$8*'Indoor Inputs'!G100)</f>
        <v>22.712773201754388</v>
      </c>
      <c r="J319" t="s">
        <v>387</v>
      </c>
      <c r="L319" s="31">
        <f>I318/m2_to_ft2</f>
        <v>0.25</v>
      </c>
      <c r="W319" s="75"/>
    </row>
    <row r="320" spans="1:23" ht="15.75" thickBot="1" x14ac:dyDescent="0.3">
      <c r="A320" s="506"/>
      <c r="B320" s="507">
        <f>SUM(B317:B319)</f>
        <v>107</v>
      </c>
      <c r="C320" s="508" t="s">
        <v>1998</v>
      </c>
      <c r="D320">
        <f>B320*'Indoor Inputs'!G17</f>
        <v>178592.5897007258</v>
      </c>
      <c r="L320" s="31">
        <f>I319/m2_to_ft2</f>
        <v>2.1100877192982459</v>
      </c>
      <c r="W320" s="75"/>
    </row>
    <row r="321" spans="1:23" x14ac:dyDescent="0.25">
      <c r="B321">
        <f>B320*'Indoor Inputs'!G16*'Indoor Inputs'!G8*'Indoor Inputs'!G29</f>
        <v>1671172.5969337441</v>
      </c>
      <c r="C321" t="s">
        <v>1291</v>
      </c>
      <c r="D321">
        <f>D320*'Indoor Inputs'!G29</f>
        <v>1104852.46170788</v>
      </c>
      <c r="H321" s="31" t="s">
        <v>943</v>
      </c>
      <c r="I321">
        <f>1/I316</f>
        <v>1.9774018920016893E-2</v>
      </c>
      <c r="J321" t="s">
        <v>595</v>
      </c>
      <c r="W321" s="75"/>
    </row>
    <row r="322" spans="1:23" x14ac:dyDescent="0.25">
      <c r="B322">
        <f>'Indoor Inputs'!G8*'Indoor Inputs'!G16*'Indoor Inputs'!G29*'Indoor Inputs'!G99</f>
        <v>10325.723941195141</v>
      </c>
      <c r="C322" t="s">
        <v>1995</v>
      </c>
      <c r="H322" s="31" t="s">
        <v>944</v>
      </c>
      <c r="I322" s="31">
        <f>1/I317</f>
        <v>0.12667730870635821</v>
      </c>
      <c r="J322" t="s">
        <v>595</v>
      </c>
      <c r="W322" s="75"/>
    </row>
    <row r="323" spans="1:23" x14ac:dyDescent="0.25">
      <c r="B323">
        <f>B321/B322</f>
        <v>161.84556225316982</v>
      </c>
      <c r="C323" t="s">
        <v>1996</v>
      </c>
      <c r="H323" s="31" t="s">
        <v>945</v>
      </c>
      <c r="I323" s="31">
        <f>1/I318</f>
        <v>0.37161251962578623</v>
      </c>
      <c r="J323" t="s">
        <v>595</v>
      </c>
      <c r="W323" s="75"/>
    </row>
    <row r="324" spans="1:23" x14ac:dyDescent="0.25">
      <c r="B324">
        <f>'Indoor Inputs'!G18/'Indoor Inputs'!G16*kg_to_lb</f>
        <v>0.35965534265789656</v>
      </c>
      <c r="C324" t="s">
        <v>1457</v>
      </c>
      <c r="H324" s="31" t="s">
        <v>942</v>
      </c>
      <c r="I324" s="31">
        <f>1/I319</f>
        <v>4.4028089001600108E-2</v>
      </c>
      <c r="J324" t="s">
        <v>595</v>
      </c>
      <c r="W324" s="75"/>
    </row>
    <row r="325" spans="1:23" x14ac:dyDescent="0.25">
      <c r="B325">
        <f>B323/B324</f>
        <v>450.00182968814391</v>
      </c>
      <c r="C325" t="s">
        <v>920</v>
      </c>
      <c r="Q325" t="s">
        <v>1044</v>
      </c>
      <c r="R325" t="s">
        <v>1032</v>
      </c>
      <c r="S325" t="s">
        <v>2063</v>
      </c>
      <c r="T325" t="s">
        <v>1043</v>
      </c>
      <c r="U325" t="s">
        <v>136</v>
      </c>
      <c r="V325" t="s">
        <v>1043</v>
      </c>
      <c r="W325" s="75"/>
    </row>
    <row r="326" spans="1:23" x14ac:dyDescent="0.25">
      <c r="H326" s="31" t="s">
        <v>943</v>
      </c>
      <c r="I326">
        <f>I321*m2_to_ft2</f>
        <v>0.21284556225316983</v>
      </c>
      <c r="J326" t="s">
        <v>596</v>
      </c>
      <c r="L326">
        <v>9</v>
      </c>
      <c r="M326" t="s">
        <v>2061</v>
      </c>
      <c r="Q326" t="s">
        <v>1032</v>
      </c>
      <c r="R326" t="s">
        <v>1031</v>
      </c>
      <c r="S326" t="s">
        <v>2062</v>
      </c>
      <c r="T326" t="s">
        <v>1044</v>
      </c>
      <c r="U326" t="s">
        <v>1043</v>
      </c>
      <c r="V326" t="s">
        <v>136</v>
      </c>
      <c r="W326" s="75"/>
    </row>
    <row r="327" spans="1:23" x14ac:dyDescent="0.25">
      <c r="H327" s="31" t="s">
        <v>944</v>
      </c>
      <c r="I327" s="31">
        <f>I322*m2_to_ft2</f>
        <v>1.3635418831843691</v>
      </c>
      <c r="J327" s="31" t="s">
        <v>596</v>
      </c>
      <c r="W327" s="75"/>
    </row>
    <row r="328" spans="1:23" x14ac:dyDescent="0.25">
      <c r="H328" s="31" t="s">
        <v>945</v>
      </c>
      <c r="I328" s="31">
        <f>I323*m2_to_ft2</f>
        <v>4</v>
      </c>
      <c r="J328" s="31" t="s">
        <v>596</v>
      </c>
      <c r="W328" s="75"/>
    </row>
    <row r="329" spans="1:23" x14ac:dyDescent="0.25">
      <c r="H329" s="31" t="s">
        <v>942</v>
      </c>
      <c r="I329" s="31">
        <f>I324*m2_to_ft2</f>
        <v>0.47391394720432339</v>
      </c>
      <c r="J329" s="31" t="s">
        <v>596</v>
      </c>
      <c r="Q329" t="s">
        <v>2070</v>
      </c>
      <c r="R329" t="s">
        <v>2070</v>
      </c>
      <c r="W329" s="75"/>
    </row>
    <row r="330" spans="1:23" x14ac:dyDescent="0.25">
      <c r="D330">
        <f>4/1.5</f>
        <v>2.6666666666666665</v>
      </c>
      <c r="E330" t="s">
        <v>387</v>
      </c>
      <c r="P330" t="s">
        <v>944</v>
      </c>
      <c r="Q330">
        <v>4.8000000000000001E-2</v>
      </c>
      <c r="R330">
        <v>9.6000000000000002E-2</v>
      </c>
      <c r="W330" s="75"/>
    </row>
    <row r="331" spans="1:23" x14ac:dyDescent="0.25">
      <c r="B331" t="s">
        <v>151</v>
      </c>
      <c r="D331">
        <f>D330*10</f>
        <v>26.666666666666664</v>
      </c>
      <c r="E331" t="s">
        <v>2072</v>
      </c>
      <c r="P331" t="s">
        <v>945</v>
      </c>
      <c r="Q331">
        <v>9.6000000000000002E-2</v>
      </c>
      <c r="R331">
        <v>0.16</v>
      </c>
      <c r="W331" s="75"/>
    </row>
    <row r="332" spans="1:23" x14ac:dyDescent="0.25">
      <c r="A332" t="s">
        <v>2065</v>
      </c>
      <c r="B332">
        <f>300/1000/25</f>
        <v>1.2E-2</v>
      </c>
      <c r="D332">
        <v>40</v>
      </c>
      <c r="E332" t="s">
        <v>2072</v>
      </c>
      <c r="W332" s="75"/>
    </row>
    <row r="333" spans="1:23" x14ac:dyDescent="0.25">
      <c r="A333" t="s">
        <v>2066</v>
      </c>
      <c r="B333" t="s">
        <v>159</v>
      </c>
      <c r="D333">
        <f>151/D332</f>
        <v>3.7749999999999999</v>
      </c>
      <c r="P333" t="s">
        <v>2064</v>
      </c>
      <c r="Q333">
        <f>'Indoor Inputs'!G8*'Indoor Inputs'!G98*m2_to_ft2</f>
        <v>2275.87360825515</v>
      </c>
      <c r="W333" s="75"/>
    </row>
    <row r="334" spans="1:23" x14ac:dyDescent="0.25">
      <c r="B334">
        <f>B332*4</f>
        <v>4.8000000000000001E-2</v>
      </c>
      <c r="D334">
        <f>D333/gals_to_liters</f>
        <v>0.99724996763890827</v>
      </c>
      <c r="E334" t="s">
        <v>1306</v>
      </c>
      <c r="P334" t="s">
        <v>2068</v>
      </c>
      <c r="Q334">
        <f>'Indoor Inputs'!G8*'Indoor Inputs'!G99*m2_to_ft2</f>
        <v>6676.3584934850769</v>
      </c>
      <c r="W334" s="75"/>
    </row>
    <row r="335" spans="1:23" x14ac:dyDescent="0.25">
      <c r="W335" s="75"/>
    </row>
    <row r="336" spans="1:23" x14ac:dyDescent="0.25">
      <c r="B336">
        <f>600/m2_to_ft2</f>
        <v>55.741877943867934</v>
      </c>
      <c r="C336" t="s">
        <v>392</v>
      </c>
      <c r="G336" s="31"/>
      <c r="H336" s="31"/>
      <c r="I336" s="31"/>
      <c r="J336" s="31"/>
      <c r="Q336" t="s">
        <v>2067</v>
      </c>
      <c r="R336" t="s">
        <v>2067</v>
      </c>
      <c r="W336" s="75"/>
    </row>
    <row r="337" spans="1:23" x14ac:dyDescent="0.25">
      <c r="B337">
        <f>B336/1000</f>
        <v>5.574187794386793E-2</v>
      </c>
      <c r="C337" t="s">
        <v>2071</v>
      </c>
      <c r="P337" t="s">
        <v>944</v>
      </c>
      <c r="Q337">
        <f>Q330*Q333</f>
        <v>109.2419331962472</v>
      </c>
      <c r="R337">
        <f>R330*Q333</f>
        <v>218.48386639249441</v>
      </c>
      <c r="W337" s="75"/>
    </row>
    <row r="338" spans="1:23" x14ac:dyDescent="0.25">
      <c r="B338">
        <f>B337*4</f>
        <v>0.22296751177547172</v>
      </c>
      <c r="C338" t="s">
        <v>784</v>
      </c>
      <c r="P338" t="s">
        <v>945</v>
      </c>
      <c r="Q338">
        <f>Q331*Q334</f>
        <v>640.93041537456736</v>
      </c>
      <c r="R338">
        <f>Q334*R331</f>
        <v>1068.2173589576123</v>
      </c>
      <c r="W338" s="75"/>
    </row>
    <row r="339" spans="1:23" x14ac:dyDescent="0.25">
      <c r="W339" s="75"/>
    </row>
    <row r="340" spans="1:23" ht="15.75" thickBot="1" x14ac:dyDescent="0.3">
      <c r="A340" s="48" t="s">
        <v>2075</v>
      </c>
      <c r="Q340" t="s">
        <v>2069</v>
      </c>
      <c r="R340" t="s">
        <v>2069</v>
      </c>
      <c r="W340" s="75"/>
    </row>
    <row r="341" spans="1:23" x14ac:dyDescent="0.25">
      <c r="A341" s="31">
        <v>423.454219262712</v>
      </c>
      <c r="B341" s="31">
        <v>9396.3563982383093</v>
      </c>
      <c r="C341" s="31">
        <v>10910.9006861123</v>
      </c>
      <c r="D341" s="31">
        <v>0</v>
      </c>
      <c r="P341" t="s">
        <v>944</v>
      </c>
      <c r="Q341">
        <f>Q337*SUM('Indoor Inputs'!$G$51:$G$52)*7</f>
        <v>11688.88685199845</v>
      </c>
      <c r="R341" s="31">
        <f>R337*SUM('Indoor Inputs'!$G$51:$G$52)*7</f>
        <v>23377.7737039969</v>
      </c>
      <c r="W341" s="75"/>
    </row>
    <row r="342" spans="1:23" ht="15.75" thickBot="1" x14ac:dyDescent="0.3">
      <c r="A342">
        <f>SUM(A341:D341)</f>
        <v>20730.711303613323</v>
      </c>
      <c r="B342" t="s">
        <v>1046</v>
      </c>
      <c r="P342" t="s">
        <v>945</v>
      </c>
      <c r="Q342" s="31">
        <f>Q338*SUM('Indoor Inputs'!$G$51:$G$52)*7</f>
        <v>68579.554445078713</v>
      </c>
      <c r="R342" s="31">
        <f>R338*SUM('Indoor Inputs'!$G$51:$G$52)*7</f>
        <v>114299.25740846452</v>
      </c>
      <c r="W342" s="75"/>
    </row>
    <row r="343" spans="1:23" ht="15.75" thickBot="1" x14ac:dyDescent="0.3">
      <c r="A343" s="506">
        <f>A342/('Indoor Inputs'!G17*'Indoor Inputs'!G29)</f>
        <v>2.0076763064434457</v>
      </c>
      <c r="B343" s="507" t="s">
        <v>1996</v>
      </c>
      <c r="C343" s="508" t="s">
        <v>2074</v>
      </c>
      <c r="W343" s="75"/>
    </row>
    <row r="344" spans="1:23" x14ac:dyDescent="0.25">
      <c r="P344" t="s">
        <v>944</v>
      </c>
      <c r="Q344">
        <f>Q341/'Indoor Inputs'!G17</f>
        <v>7.0031511120349199</v>
      </c>
      <c r="R344">
        <f>R341/'Indoor Inputs'!G17</f>
        <v>14.00630222406984</v>
      </c>
      <c r="W344" s="75"/>
    </row>
    <row r="345" spans="1:23" x14ac:dyDescent="0.25">
      <c r="A345" t="s">
        <v>2076</v>
      </c>
      <c r="P345" t="s">
        <v>945</v>
      </c>
      <c r="Q345">
        <f>Q342/'Indoor Inputs'!G17</f>
        <v>41.088000000000001</v>
      </c>
      <c r="R345">
        <f>R342/'Indoor Inputs'!G17</f>
        <v>68.48</v>
      </c>
      <c r="W345" s="75"/>
    </row>
    <row r="346" spans="1:23" x14ac:dyDescent="0.25">
      <c r="A346" s="31">
        <v>0</v>
      </c>
      <c r="B346" s="31">
        <v>754.38578228232097</v>
      </c>
      <c r="C346" s="31">
        <v>4680.0319465934899</v>
      </c>
      <c r="D346" s="31">
        <v>60.963057219990098</v>
      </c>
      <c r="W346" s="75"/>
    </row>
    <row r="347" spans="1:23" x14ac:dyDescent="0.25">
      <c r="A347">
        <f>SUM(A346:D346)</f>
        <v>5495.3807860958013</v>
      </c>
      <c r="B347" t="s">
        <v>2077</v>
      </c>
      <c r="W347" s="75"/>
    </row>
    <row r="348" spans="1:23" x14ac:dyDescent="0.25">
      <c r="A348">
        <f>A347/prop_water_density*m3_to_liters/gals_to_liters</f>
        <v>1452.1623536325842</v>
      </c>
      <c r="B348" t="s">
        <v>2078</v>
      </c>
      <c r="W348" s="75"/>
    </row>
    <row r="349" spans="1:23" ht="15.75" thickBot="1" x14ac:dyDescent="0.3">
      <c r="A349">
        <f>A348*'Indoor Inputs'!G8</f>
        <v>1362392.3172262062</v>
      </c>
      <c r="B349" t="s">
        <v>1291</v>
      </c>
      <c r="W349" s="75"/>
    </row>
    <row r="350" spans="1:23" s="31" customFormat="1" ht="15.75" thickBot="1" x14ac:dyDescent="0.3">
      <c r="A350" s="506">
        <f>A349/('Indoor Inputs'!G17*'Indoor Inputs'!G29)</f>
        <v>131.94157862296262</v>
      </c>
      <c r="B350" s="508" t="s">
        <v>2079</v>
      </c>
      <c r="C350" s="257" t="s">
        <v>2080</v>
      </c>
      <c r="W350" s="75"/>
    </row>
    <row r="351" spans="1:23" s="31" customFormat="1" x14ac:dyDescent="0.25">
      <c r="W351" s="75"/>
    </row>
    <row r="352" spans="1:23" s="31" customFormat="1" x14ac:dyDescent="0.25">
      <c r="W352" s="75"/>
    </row>
    <row r="353" spans="1:23" x14ac:dyDescent="0.2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</row>
    <row r="356" spans="1:23" x14ac:dyDescent="0.25">
      <c r="A356" t="s">
        <v>2150</v>
      </c>
    </row>
    <row r="357" spans="1:23" x14ac:dyDescent="0.25">
      <c r="B357" t="s">
        <v>1248</v>
      </c>
      <c r="C357" t="s">
        <v>194</v>
      </c>
    </row>
    <row r="358" spans="1:23" x14ac:dyDescent="0.25">
      <c r="A358" t="s">
        <v>2139</v>
      </c>
      <c r="B358">
        <v>1</v>
      </c>
      <c r="C358" t="s">
        <v>2142</v>
      </c>
    </row>
    <row r="359" spans="1:23" ht="15.75" thickBot="1" x14ac:dyDescent="0.3">
      <c r="A359" t="s">
        <v>2143</v>
      </c>
      <c r="B359">
        <v>5</v>
      </c>
      <c r="C359" t="s">
        <v>2144</v>
      </c>
    </row>
    <row r="360" spans="1:23" x14ac:dyDescent="0.25">
      <c r="A360" s="49" t="s">
        <v>2139</v>
      </c>
      <c r="B360" s="50">
        <f>B359*5/1000</f>
        <v>2.5000000000000001E-2</v>
      </c>
      <c r="C360" s="50" t="s">
        <v>2146</v>
      </c>
      <c r="D360" s="51" t="s">
        <v>2145</v>
      </c>
    </row>
    <row r="361" spans="1:23" ht="15.75" thickBot="1" x14ac:dyDescent="0.3">
      <c r="A361" s="55" t="s">
        <v>2143</v>
      </c>
      <c r="B361" s="47">
        <f>B358*0.00492892</f>
        <v>4.9289199999999998E-3</v>
      </c>
      <c r="C361" s="47" t="s">
        <v>2146</v>
      </c>
      <c r="D361" s="57"/>
    </row>
    <row r="362" spans="1:23" x14ac:dyDescent="0.25">
      <c r="A362" s="148" t="s">
        <v>2151</v>
      </c>
      <c r="B362">
        <v>1</v>
      </c>
      <c r="C362" s="148" t="s">
        <v>2152</v>
      </c>
    </row>
    <row r="363" spans="1:23" x14ac:dyDescent="0.25">
      <c r="A363" s="148" t="s">
        <v>2153</v>
      </c>
      <c r="B363">
        <v>1</v>
      </c>
      <c r="C363" s="148" t="s">
        <v>2154</v>
      </c>
    </row>
    <row r="364" spans="1:23" x14ac:dyDescent="0.25">
      <c r="A364" s="148" t="s">
        <v>2155</v>
      </c>
      <c r="B364" s="32">
        <f>SUM('Indoor Inputs'!K50:K52)</f>
        <v>18.428571428571431</v>
      </c>
      <c r="C364" s="148" t="s">
        <v>1779</v>
      </c>
    </row>
    <row r="365" spans="1:23" ht="15.75" thickBot="1" x14ac:dyDescent="0.3">
      <c r="A365" s="148" t="s">
        <v>2156</v>
      </c>
      <c r="B365">
        <f>ROUNDUP((B364-3)*7/10,0.5)</f>
        <v>11</v>
      </c>
      <c r="C365" s="148" t="s">
        <v>2157</v>
      </c>
    </row>
    <row r="366" spans="1:23" x14ac:dyDescent="0.25">
      <c r="A366" s="516" t="s">
        <v>2158</v>
      </c>
      <c r="B366" s="517">
        <f>B362*B365</f>
        <v>11</v>
      </c>
      <c r="C366" s="517" t="s">
        <v>2159</v>
      </c>
      <c r="D366" s="518"/>
    </row>
    <row r="367" spans="1:23" x14ac:dyDescent="0.25">
      <c r="A367" s="519" t="s">
        <v>2139</v>
      </c>
      <c r="B367" s="520">
        <f>B360*B365</f>
        <v>0.27500000000000002</v>
      </c>
      <c r="C367" s="520" t="s">
        <v>2159</v>
      </c>
      <c r="D367" s="521"/>
    </row>
    <row r="368" spans="1:23" ht="15.75" thickBot="1" x14ac:dyDescent="0.3">
      <c r="A368" s="522" t="s">
        <v>2143</v>
      </c>
      <c r="B368" s="523">
        <f>B361*B365</f>
        <v>5.4218119999999995E-2</v>
      </c>
      <c r="C368" s="523" t="s">
        <v>2159</v>
      </c>
      <c r="D368" s="524"/>
    </row>
    <row r="370" spans="1:6" s="75" customFormat="1" x14ac:dyDescent="0.25"/>
    <row r="371" spans="1:6" x14ac:dyDescent="0.25">
      <c r="A371" s="2" t="s">
        <v>2534</v>
      </c>
    </row>
    <row r="372" spans="1:6" x14ac:dyDescent="0.25">
      <c r="A372" s="185" t="s">
        <v>2538</v>
      </c>
      <c r="B372" s="185" t="s">
        <v>118</v>
      </c>
      <c r="C372" s="185"/>
      <c r="D372" s="185"/>
      <c r="E372" s="185"/>
      <c r="F372" s="185" t="s">
        <v>196</v>
      </c>
    </row>
    <row r="373" spans="1:6" x14ac:dyDescent="0.25">
      <c r="A373">
        <v>12</v>
      </c>
      <c r="B373" s="282" t="s">
        <v>382</v>
      </c>
    </row>
    <row r="374" spans="1:6" x14ac:dyDescent="0.25">
      <c r="A374">
        <v>60</v>
      </c>
      <c r="B374" s="282" t="s">
        <v>2535</v>
      </c>
      <c r="F374" t="s">
        <v>2536</v>
      </c>
    </row>
    <row r="375" spans="1:6" x14ac:dyDescent="0.25">
      <c r="A375">
        <v>30</v>
      </c>
      <c r="B375" s="282" t="s">
        <v>2535</v>
      </c>
    </row>
    <row r="376" spans="1:6" x14ac:dyDescent="0.25">
      <c r="A376">
        <v>60</v>
      </c>
      <c r="B376" s="282" t="s">
        <v>2537</v>
      </c>
    </row>
    <row r="377" spans="1:6" x14ac:dyDescent="0.25">
      <c r="A377">
        <v>20</v>
      </c>
      <c r="B377" s="282" t="s">
        <v>2539</v>
      </c>
      <c r="F377" t="s">
        <v>2540</v>
      </c>
    </row>
    <row r="378" spans="1:6" x14ac:dyDescent="0.25">
      <c r="A378">
        <v>20</v>
      </c>
      <c r="B378" s="282" t="s">
        <v>2541</v>
      </c>
      <c r="F378" t="s">
        <v>2542</v>
      </c>
    </row>
    <row r="379" spans="1:6" x14ac:dyDescent="0.25">
      <c r="A379" s="246">
        <f>AVERAGE(60/5,60/4,60/3)</f>
        <v>15.666666666666666</v>
      </c>
      <c r="B379" s="282" t="s">
        <v>2543</v>
      </c>
      <c r="F379" t="s">
        <v>2544</v>
      </c>
    </row>
    <row r="380" spans="1:6" x14ac:dyDescent="0.25">
      <c r="A380">
        <v>30</v>
      </c>
      <c r="B380" t="s">
        <v>1239</v>
      </c>
    </row>
    <row r="382" spans="1:6" s="75" customFormat="1" x14ac:dyDescent="0.25"/>
    <row r="383" spans="1:6" x14ac:dyDescent="0.25">
      <c r="A383" t="s">
        <v>2610</v>
      </c>
    </row>
    <row r="385" spans="1:6" x14ac:dyDescent="0.25">
      <c r="A385" t="s">
        <v>2611</v>
      </c>
      <c r="B385" t="s">
        <v>2612</v>
      </c>
      <c r="C385" t="s">
        <v>2616</v>
      </c>
    </row>
    <row r="386" spans="1:6" x14ac:dyDescent="0.25">
      <c r="A386" s="240">
        <v>1000000</v>
      </c>
      <c r="B386">
        <v>432000</v>
      </c>
      <c r="C386">
        <f>B386*B389</f>
        <v>14985.250560000002</v>
      </c>
    </row>
    <row r="387" spans="1:6" x14ac:dyDescent="0.25">
      <c r="A387" t="s">
        <v>2613</v>
      </c>
    </row>
    <row r="388" spans="1:6" x14ac:dyDescent="0.25">
      <c r="A388" t="s">
        <v>2614</v>
      </c>
      <c r="B388">
        <f>prop_air_density</f>
        <v>1.2250000000000001</v>
      </c>
      <c r="C388" t="s">
        <v>568</v>
      </c>
    </row>
    <row r="389" spans="1:6" x14ac:dyDescent="0.25">
      <c r="B389">
        <f>B388*ft3_to_m3</f>
        <v>3.4688080000000003E-2</v>
      </c>
      <c r="C389" t="s">
        <v>2615</v>
      </c>
    </row>
    <row r="390" spans="1:6" s="31" customFormat="1" x14ac:dyDescent="0.25"/>
    <row r="391" spans="1:6" x14ac:dyDescent="0.25">
      <c r="B391" t="s">
        <v>2618</v>
      </c>
      <c r="C391" t="s">
        <v>2619</v>
      </c>
    </row>
    <row r="392" spans="1:6" x14ac:dyDescent="0.25">
      <c r="A392" t="s">
        <v>721</v>
      </c>
      <c r="B392">
        <v>44.01</v>
      </c>
      <c r="C392">
        <v>1.9770000000000001</v>
      </c>
    </row>
    <row r="393" spans="1:6" x14ac:dyDescent="0.25">
      <c r="A393" t="s">
        <v>2617</v>
      </c>
      <c r="B393">
        <v>16.04</v>
      </c>
      <c r="C393">
        <v>0.65600000000000003</v>
      </c>
    </row>
    <row r="396" spans="1:6" ht="15.75" thickBot="1" x14ac:dyDescent="0.3">
      <c r="A396" s="603" t="s">
        <v>2620</v>
      </c>
      <c r="B396" s="657"/>
      <c r="C396" s="657"/>
      <c r="D396" s="657"/>
      <c r="E396" s="657"/>
      <c r="F396" s="657"/>
    </row>
    <row r="397" spans="1:6" ht="15.75" thickTop="1" x14ac:dyDescent="0.25"/>
    <row r="398" spans="1:6" x14ac:dyDescent="0.25">
      <c r="A398" t="s">
        <v>2621</v>
      </c>
      <c r="E398" t="s">
        <v>2622</v>
      </c>
    </row>
    <row r="399" spans="1:6" x14ac:dyDescent="0.25">
      <c r="A399" t="s">
        <v>2634</v>
      </c>
    </row>
    <row r="400" spans="1:6" x14ac:dyDescent="0.25">
      <c r="A400" t="s">
        <v>2623</v>
      </c>
      <c r="B400">
        <v>2636</v>
      </c>
      <c r="E400" s="32">
        <f>SUM('Indoor Inputs'!K112:K115)/tonnes_to_kgs</f>
        <v>392.16746983317483</v>
      </c>
      <c r="F400" t="s">
        <v>2628</v>
      </c>
    </row>
    <row r="401" spans="1:8" x14ac:dyDescent="0.25">
      <c r="A401" t="s">
        <v>2624</v>
      </c>
      <c r="B401" s="346">
        <v>0.2</v>
      </c>
      <c r="E401" s="346">
        <v>0.25</v>
      </c>
      <c r="F401" t="s">
        <v>1789</v>
      </c>
    </row>
    <row r="402" spans="1:8" x14ac:dyDescent="0.25">
      <c r="A402" t="s">
        <v>2625</v>
      </c>
      <c r="B402">
        <v>527</v>
      </c>
      <c r="E402" s="32">
        <f>(1-E401)*E400</f>
        <v>294.12560237488111</v>
      </c>
      <c r="F402" t="s">
        <v>2628</v>
      </c>
      <c r="G402" s="213">
        <f>E402/B401</f>
        <v>1470.6280118744055</v>
      </c>
      <c r="H402" s="213" t="s">
        <v>2629</v>
      </c>
    </row>
    <row r="403" spans="1:8" x14ac:dyDescent="0.25">
      <c r="A403" t="s">
        <v>2626</v>
      </c>
      <c r="B403" s="346">
        <v>0.48</v>
      </c>
      <c r="E403" s="346">
        <f>B403</f>
        <v>0.48</v>
      </c>
      <c r="F403" t="s">
        <v>2631</v>
      </c>
    </row>
    <row r="404" spans="1:8" x14ac:dyDescent="0.25">
      <c r="A404" t="s">
        <v>2627</v>
      </c>
      <c r="B404" s="246">
        <f>B403*B402</f>
        <v>252.95999999999998</v>
      </c>
      <c r="E404">
        <f>E403*E402</f>
        <v>141.18028913994291</v>
      </c>
      <c r="F404" t="s">
        <v>2628</v>
      </c>
    </row>
    <row r="405" spans="1:8" x14ac:dyDescent="0.25">
      <c r="A405" t="s">
        <v>2630</v>
      </c>
      <c r="B405" s="346">
        <v>0.05</v>
      </c>
      <c r="E405" s="346">
        <f>B405</f>
        <v>0.05</v>
      </c>
      <c r="F405" t="s">
        <v>2631</v>
      </c>
    </row>
    <row r="406" spans="1:8" x14ac:dyDescent="0.25">
      <c r="A406" t="s">
        <v>2632</v>
      </c>
      <c r="E406">
        <f>E405*G402</f>
        <v>73.531400593720278</v>
      </c>
      <c r="F406" t="s">
        <v>2628</v>
      </c>
    </row>
    <row r="407" spans="1:8" x14ac:dyDescent="0.25">
      <c r="A407" t="s">
        <v>2633</v>
      </c>
      <c r="B407" s="346">
        <v>0.65</v>
      </c>
      <c r="E407">
        <f>B407*E406</f>
        <v>47.795410385918181</v>
      </c>
      <c r="F407" t="s">
        <v>2628</v>
      </c>
    </row>
    <row r="408" spans="1:8" x14ac:dyDescent="0.25">
      <c r="A408" t="s">
        <v>2635</v>
      </c>
      <c r="B408" s="346">
        <v>0.5</v>
      </c>
    </row>
    <row r="409" spans="1:8" x14ac:dyDescent="0.25">
      <c r="A409" t="s">
        <v>2636</v>
      </c>
      <c r="B409" s="346">
        <v>0.5</v>
      </c>
      <c r="C409" t="s">
        <v>2637</v>
      </c>
    </row>
    <row r="410" spans="1:8" s="31" customFormat="1" x14ac:dyDescent="0.25">
      <c r="A410" s="31" t="s">
        <v>2681</v>
      </c>
      <c r="B410" s="346"/>
      <c r="E410" s="31">
        <f>B408*E407</f>
        <v>23.897705192959091</v>
      </c>
      <c r="F410" s="31" t="s">
        <v>2683</v>
      </c>
    </row>
    <row r="411" spans="1:8" s="31" customFormat="1" x14ac:dyDescent="0.25">
      <c r="A411" s="31" t="s">
        <v>2682</v>
      </c>
      <c r="B411" s="346"/>
      <c r="E411" s="31">
        <f>B409*E407</f>
        <v>23.897705192959091</v>
      </c>
      <c r="F411" s="31" t="s">
        <v>2683</v>
      </c>
    </row>
    <row r="412" spans="1:8" x14ac:dyDescent="0.25">
      <c r="A412" t="s">
        <v>2638</v>
      </c>
      <c r="E412">
        <f>E410*16/12</f>
        <v>31.863606923945454</v>
      </c>
      <c r="F412" t="s">
        <v>2680</v>
      </c>
      <c r="G412" t="s">
        <v>2679</v>
      </c>
    </row>
    <row r="413" spans="1:8" x14ac:dyDescent="0.25">
      <c r="A413" t="s">
        <v>2639</v>
      </c>
      <c r="E413">
        <f>E411</f>
        <v>23.897705192959091</v>
      </c>
      <c r="F413" t="s">
        <v>2041</v>
      </c>
    </row>
    <row r="414" spans="1:8" ht="15.75" thickBot="1" x14ac:dyDescent="0.3">
      <c r="A414" t="s">
        <v>2640</v>
      </c>
      <c r="B414" s="346">
        <v>0.1</v>
      </c>
    </row>
    <row r="415" spans="1:8" x14ac:dyDescent="0.25">
      <c r="A415" s="479" t="s">
        <v>2641</v>
      </c>
      <c r="B415" s="480"/>
      <c r="C415" s="480"/>
      <c r="D415" s="480"/>
      <c r="E415" s="480">
        <f>E412*(1-B414)</f>
        <v>28.67724623155091</v>
      </c>
      <c r="F415" s="481" t="s">
        <v>2680</v>
      </c>
    </row>
    <row r="416" spans="1:8" ht="15.75" thickBot="1" x14ac:dyDescent="0.3">
      <c r="A416" s="485" t="s">
        <v>2642</v>
      </c>
      <c r="B416" s="655"/>
      <c r="C416" s="655"/>
      <c r="D416" s="655"/>
      <c r="E416" s="655">
        <f>E413+B414*E412</f>
        <v>27.084065885353638</v>
      </c>
      <c r="F416" s="656" t="s">
        <v>2041</v>
      </c>
    </row>
    <row r="417" spans="1:7" s="31" customFormat="1" x14ac:dyDescent="0.25">
      <c r="A417" s="664" t="s">
        <v>2659</v>
      </c>
      <c r="B417" s="665"/>
      <c r="C417" s="665"/>
      <c r="D417" s="665"/>
      <c r="E417" s="666">
        <f>E415/E400</f>
        <v>7.3124999999999996E-2</v>
      </c>
      <c r="F417" s="667" t="s">
        <v>2662</v>
      </c>
    </row>
    <row r="418" spans="1:7" s="31" customFormat="1" ht="15.75" thickBot="1" x14ac:dyDescent="0.3">
      <c r="A418" s="668" t="s">
        <v>2660</v>
      </c>
      <c r="B418" s="669"/>
      <c r="C418" s="669"/>
      <c r="D418" s="669"/>
      <c r="E418" s="670">
        <f>E416/E400</f>
        <v>6.9062499999999999E-2</v>
      </c>
      <c r="F418" s="671" t="s">
        <v>2661</v>
      </c>
    </row>
    <row r="419" spans="1:7" s="31" customFormat="1" x14ac:dyDescent="0.25">
      <c r="A419" s="148"/>
      <c r="B419" s="148"/>
      <c r="C419" s="148"/>
      <c r="D419" s="148"/>
      <c r="E419" s="663"/>
      <c r="F419" s="148"/>
    </row>
    <row r="420" spans="1:7" s="31" customFormat="1" x14ac:dyDescent="0.25">
      <c r="A420" s="148"/>
      <c r="B420" s="148"/>
      <c r="C420" s="148"/>
      <c r="D420" s="148"/>
      <c r="E420" s="702"/>
      <c r="F420" s="148"/>
    </row>
    <row r="422" spans="1:7" s="75" customFormat="1" x14ac:dyDescent="0.25"/>
    <row r="423" spans="1:7" ht="15.75" thickBot="1" x14ac:dyDescent="0.3">
      <c r="A423" s="48" t="s">
        <v>2684</v>
      </c>
    </row>
    <row r="424" spans="1:7" x14ac:dyDescent="0.25">
      <c r="A424" t="s">
        <v>2653</v>
      </c>
      <c r="B424">
        <f>indoor_annual_bud_yield</f>
        <v>1684.5087961922623</v>
      </c>
      <c r="C424" t="s">
        <v>1520</v>
      </c>
    </row>
    <row r="425" spans="1:7" x14ac:dyDescent="0.25">
      <c r="A425" t="s">
        <v>2654</v>
      </c>
      <c r="B425" s="346">
        <f>'Indoor Inputs'!K122</f>
        <v>0.5</v>
      </c>
      <c r="D425" t="s">
        <v>2655</v>
      </c>
    </row>
    <row r="426" spans="1:7" s="31" customFormat="1" x14ac:dyDescent="0.25">
      <c r="A426" s="31" t="s">
        <v>2672</v>
      </c>
      <c r="B426" s="32">
        <f>B425*B424</f>
        <v>842.25439809613113</v>
      </c>
      <c r="C426" s="31" t="s">
        <v>2671</v>
      </c>
      <c r="F426" s="31" t="s">
        <v>2673</v>
      </c>
      <c r="G426" s="31" t="s">
        <v>2674</v>
      </c>
    </row>
    <row r="427" spans="1:7" s="31" customFormat="1" ht="15.75" thickBot="1" x14ac:dyDescent="0.3">
      <c r="A427" s="31" t="s">
        <v>2676</v>
      </c>
      <c r="B427" s="32">
        <f>B426*44/12</f>
        <v>3088.2661263524806</v>
      </c>
      <c r="C427" s="31" t="s">
        <v>2457</v>
      </c>
      <c r="F427" s="31" t="s">
        <v>1032</v>
      </c>
      <c r="G427" s="31" t="s">
        <v>2675</v>
      </c>
    </row>
    <row r="428" spans="1:7" s="31" customFormat="1" ht="15.75" thickBot="1" x14ac:dyDescent="0.3">
      <c r="A428" s="681" t="s">
        <v>2678</v>
      </c>
      <c r="B428" s="682">
        <f>B427/indoor_annual_bud_yield</f>
        <v>1.8333333333333333</v>
      </c>
      <c r="C428" s="683" t="s">
        <v>2677</v>
      </c>
      <c r="D428" s="684"/>
    </row>
    <row r="429" spans="1:7" s="31" customFormat="1" ht="15.75" thickBot="1" x14ac:dyDescent="0.3">
      <c r="A429" s="676" t="s">
        <v>2660</v>
      </c>
      <c r="B429" s="685">
        <f>B428/B424</f>
        <v>1.0883489225330734E-3</v>
      </c>
      <c r="C429" s="677" t="s">
        <v>2696</v>
      </c>
      <c r="D429" s="678"/>
    </row>
    <row r="431" spans="1:7" ht="15.75" thickBot="1" x14ac:dyDescent="0.3">
      <c r="A431" s="48" t="s">
        <v>2685</v>
      </c>
    </row>
    <row r="432" spans="1:7" x14ac:dyDescent="0.25">
      <c r="A432" t="str">
        <f>A404</f>
        <v>Incoming C, Annual (metric tons)</v>
      </c>
      <c r="B432">
        <f>E404</f>
        <v>141.18028913994291</v>
      </c>
      <c r="C432" t="s">
        <v>2686</v>
      </c>
    </row>
    <row r="433" spans="1:4" x14ac:dyDescent="0.25">
      <c r="A433" t="s">
        <v>2687</v>
      </c>
      <c r="B433">
        <f>E410+E411</f>
        <v>47.795410385918181</v>
      </c>
      <c r="C433" t="s">
        <v>2686</v>
      </c>
    </row>
    <row r="434" spans="1:4" x14ac:dyDescent="0.25">
      <c r="A434" t="s">
        <v>2688</v>
      </c>
      <c r="B434">
        <f>B432-B433</f>
        <v>93.384878754024726</v>
      </c>
      <c r="C434" t="s">
        <v>2683</v>
      </c>
    </row>
    <row r="435" spans="1:4" ht="15.75" thickBot="1" x14ac:dyDescent="0.3">
      <c r="A435" t="s">
        <v>2690</v>
      </c>
      <c r="B435">
        <f>44/12*B434</f>
        <v>342.41122209809066</v>
      </c>
      <c r="C435" t="s">
        <v>2689</v>
      </c>
    </row>
    <row r="436" spans="1:4" ht="15.75" thickBot="1" x14ac:dyDescent="0.3">
      <c r="A436" s="681" t="s">
        <v>2691</v>
      </c>
      <c r="B436" s="683">
        <f>B435*tonnes_to_kgs/indoor_annual_bud_yield</f>
        <v>203.27066434564904</v>
      </c>
      <c r="C436" s="683" t="s">
        <v>2444</v>
      </c>
      <c r="D436" s="684"/>
    </row>
    <row r="437" spans="1:4" ht="15.75" thickBot="1" x14ac:dyDescent="0.3">
      <c r="A437" s="676" t="s">
        <v>2660</v>
      </c>
      <c r="B437" s="685">
        <f>B436/E400</f>
        <v>0.51832617435637607</v>
      </c>
      <c r="C437" s="677" t="s">
        <v>2697</v>
      </c>
      <c r="D437" s="678"/>
    </row>
    <row r="439" spans="1:4" ht="15.75" thickBot="1" x14ac:dyDescent="0.3">
      <c r="A439" s="48" t="s">
        <v>2859</v>
      </c>
    </row>
    <row r="440" spans="1:4" x14ac:dyDescent="0.25">
      <c r="A440" t="s">
        <v>2860</v>
      </c>
      <c r="B440" s="32">
        <f>'Indoor Inputs'!K112</f>
        <v>13022.548770563259</v>
      </c>
      <c r="C440" t="s">
        <v>331</v>
      </c>
    </row>
    <row r="441" spans="1:4" x14ac:dyDescent="0.25">
      <c r="A441" t="s">
        <v>2654</v>
      </c>
      <c r="B441" s="346">
        <f>B425</f>
        <v>0.5</v>
      </c>
    </row>
    <row r="442" spans="1:4" x14ac:dyDescent="0.25">
      <c r="A442" t="s">
        <v>2861</v>
      </c>
      <c r="B442">
        <f>B441*B440</f>
        <v>6511.2743852816293</v>
      </c>
      <c r="C442" t="s">
        <v>331</v>
      </c>
    </row>
    <row r="443" spans="1:4" x14ac:dyDescent="0.25">
      <c r="A443" t="s">
        <v>2862</v>
      </c>
      <c r="B443">
        <f>B442*44/12</f>
        <v>23874.67274603264</v>
      </c>
      <c r="C443" t="s">
        <v>2421</v>
      </c>
    </row>
    <row r="444" spans="1:4" x14ac:dyDescent="0.25">
      <c r="A444" t="s">
        <v>2863</v>
      </c>
      <c r="B444">
        <f>'Indoor Inputs'!K47/kg_to_lb</f>
        <v>1099958.1287367069</v>
      </c>
      <c r="C444" t="s">
        <v>2421</v>
      </c>
    </row>
    <row r="445" spans="1:4" ht="15.75" thickBot="1" x14ac:dyDescent="0.3">
      <c r="B445" s="10">
        <f>B443/B444</f>
        <v>2.1705074149915606E-2</v>
      </c>
      <c r="C445" t="s">
        <v>2864</v>
      </c>
    </row>
    <row r="446" spans="1:4" x14ac:dyDescent="0.25">
      <c r="A446" s="479" t="s">
        <v>2859</v>
      </c>
      <c r="B446" s="724">
        <f>B444-B443</f>
        <v>1076083.4559906742</v>
      </c>
      <c r="C446" s="480" t="s">
        <v>2421</v>
      </c>
      <c r="D446" s="481"/>
    </row>
    <row r="447" spans="1:4" ht="15.75" thickBot="1" x14ac:dyDescent="0.3">
      <c r="A447" s="485"/>
      <c r="B447" s="725">
        <f>B446/indoor_annual_bud_yield</f>
        <v>638.81141993624522</v>
      </c>
      <c r="C447" s="655" t="s">
        <v>2444</v>
      </c>
      <c r="D447" s="656"/>
    </row>
  </sheetData>
  <mergeCells count="6">
    <mergeCell ref="G294:I294"/>
    <mergeCell ref="C32:K33"/>
    <mergeCell ref="F239:H239"/>
    <mergeCell ref="B273:I273"/>
    <mergeCell ref="B257:I257"/>
    <mergeCell ref="B256:I256"/>
  </mergeCells>
  <hyperlinks>
    <hyperlink ref="N77" r:id="rId1"/>
    <hyperlink ref="B373" r:id="rId2"/>
    <hyperlink ref="B374" r:id="rId3"/>
    <hyperlink ref="B375" r:id="rId4"/>
    <hyperlink ref="B376" r:id="rId5"/>
    <hyperlink ref="B377" r:id="rId6"/>
    <hyperlink ref="B378" r:id="rId7"/>
    <hyperlink ref="B379" r:id="rId8"/>
  </hyperlinks>
  <pageMargins left="0.7" right="0.7" top="0.75" bottom="0.75" header="0.3" footer="0.3"/>
  <pageSetup orientation="portrait" horizontalDpi="1200" verticalDpi="1200" r:id="rId9"/>
  <drawing r:id="rId1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G19"/>
  <sheetViews>
    <sheetView workbookViewId="0">
      <selection activeCell="B22" sqref="B22"/>
    </sheetView>
  </sheetViews>
  <sheetFormatPr defaultRowHeight="15" x14ac:dyDescent="0.25"/>
  <cols>
    <col min="2" max="2" width="23.28515625" bestFit="1" customWidth="1"/>
    <col min="4" max="4" width="12.85546875" customWidth="1"/>
    <col min="5" max="5" width="10.140625" customWidth="1"/>
    <col min="6" max="6" width="14.140625" style="31" customWidth="1"/>
  </cols>
  <sheetData>
    <row r="2" spans="2:7" x14ac:dyDescent="0.25">
      <c r="B2" t="s">
        <v>161</v>
      </c>
    </row>
    <row r="3" spans="2:7" ht="15.75" thickBot="1" x14ac:dyDescent="0.3">
      <c r="B3" s="47" t="s">
        <v>92</v>
      </c>
      <c r="C3" s="47"/>
      <c r="D3" s="47" t="s">
        <v>113</v>
      </c>
      <c r="E3" s="47" t="s">
        <v>185</v>
      </c>
      <c r="F3" s="47" t="s">
        <v>178</v>
      </c>
      <c r="G3" t="s">
        <v>167</v>
      </c>
    </row>
    <row r="4" spans="2:7" s="31" customFormat="1" x14ac:dyDescent="0.25">
      <c r="B4" s="53" t="s">
        <v>112</v>
      </c>
      <c r="C4" s="53"/>
      <c r="D4" s="53"/>
      <c r="E4">
        <v>36</v>
      </c>
      <c r="F4" s="53" t="s">
        <v>182</v>
      </c>
    </row>
    <row r="5" spans="2:7" x14ac:dyDescent="0.25">
      <c r="D5" s="74">
        <f>E4*m2_to_ft2*acre_to_m2-D6</f>
        <v>1524659.8687440001</v>
      </c>
      <c r="E5">
        <f>D5/m2_to_ft2/acre_to_m2</f>
        <v>35.001377326882967</v>
      </c>
      <c r="F5" s="31" t="s">
        <v>179</v>
      </c>
      <c r="G5" s="31" t="s">
        <v>168</v>
      </c>
    </row>
    <row r="6" spans="2:7" s="31" customFormat="1" x14ac:dyDescent="0.25">
      <c r="B6" s="53"/>
      <c r="D6" s="31">
        <v>43500</v>
      </c>
      <c r="E6" s="31">
        <f>D6/m2_to_ft2/acre_to_m2</f>
        <v>0.99862267311704001</v>
      </c>
      <c r="F6" s="31" t="s">
        <v>180</v>
      </c>
    </row>
    <row r="7" spans="2:7" x14ac:dyDescent="0.25">
      <c r="B7" s="53" t="s">
        <v>173</v>
      </c>
    </row>
    <row r="8" spans="2:7" x14ac:dyDescent="0.25">
      <c r="C8" t="s">
        <v>174</v>
      </c>
      <c r="F8" s="31" t="s">
        <v>179</v>
      </c>
    </row>
    <row r="9" spans="2:7" x14ac:dyDescent="0.25">
      <c r="C9" t="s">
        <v>175</v>
      </c>
      <c r="F9" s="31" t="s">
        <v>179</v>
      </c>
    </row>
    <row r="10" spans="2:7" x14ac:dyDescent="0.25">
      <c r="C10" t="s">
        <v>176</v>
      </c>
      <c r="F10" s="31" t="s">
        <v>179</v>
      </c>
    </row>
    <row r="11" spans="2:7" x14ac:dyDescent="0.25">
      <c r="C11" t="s">
        <v>177</v>
      </c>
      <c r="F11" s="31" t="s">
        <v>179</v>
      </c>
    </row>
    <row r="12" spans="2:7" x14ac:dyDescent="0.25">
      <c r="B12" t="s">
        <v>160</v>
      </c>
      <c r="D12" s="74">
        <v>162000</v>
      </c>
      <c r="E12" s="31">
        <f>D12/m2_to_ft2/acre_to_m2</f>
        <v>3.7190085757462183</v>
      </c>
      <c r="F12" s="31" t="s">
        <v>180</v>
      </c>
      <c r="G12" s="31" t="s">
        <v>169</v>
      </c>
    </row>
    <row r="13" spans="2:7" x14ac:dyDescent="0.25">
      <c r="B13" t="s">
        <v>165</v>
      </c>
      <c r="D13" s="74">
        <v>128000</v>
      </c>
      <c r="E13" s="31">
        <f>D13/m2_to_ft2/acre_to_m2</f>
        <v>2.9384759117007158</v>
      </c>
      <c r="F13" s="31" t="s">
        <v>180</v>
      </c>
      <c r="G13" s="31" t="s">
        <v>170</v>
      </c>
    </row>
    <row r="14" spans="2:7" x14ac:dyDescent="0.25">
      <c r="B14" t="s">
        <v>181</v>
      </c>
      <c r="D14" s="74">
        <v>62000</v>
      </c>
      <c r="E14" s="31">
        <f>D14/m2_to_ft2/acre_to_m2</f>
        <v>1.4233242697300343</v>
      </c>
      <c r="F14" s="31" t="s">
        <v>180</v>
      </c>
      <c r="G14" s="31" t="s">
        <v>171</v>
      </c>
    </row>
    <row r="15" spans="2:7" x14ac:dyDescent="0.25">
      <c r="B15" t="s">
        <v>166</v>
      </c>
      <c r="D15" s="74">
        <v>25000</v>
      </c>
      <c r="E15" s="31">
        <f>D15/m2_to_ft2/acre_to_m2</f>
        <v>0.57392107650404611</v>
      </c>
      <c r="F15" s="31" t="s">
        <v>180</v>
      </c>
      <c r="G15" s="31" t="s">
        <v>172</v>
      </c>
    </row>
    <row r="17" spans="2:5" x14ac:dyDescent="0.25">
      <c r="B17" s="73" t="s">
        <v>186</v>
      </c>
      <c r="C17" s="73"/>
      <c r="D17" s="73" t="s">
        <v>183</v>
      </c>
      <c r="E17" s="73" t="s">
        <v>184</v>
      </c>
    </row>
    <row r="18" spans="2:5" x14ac:dyDescent="0.25">
      <c r="B18" t="s">
        <v>180</v>
      </c>
      <c r="D18" s="74">
        <f>D15+D14+D13+D12+D6</f>
        <v>420500</v>
      </c>
      <c r="E18">
        <f>E6+E12+E13+E14+E15</f>
        <v>9.6533525067980541</v>
      </c>
    </row>
    <row r="19" spans="2:5" x14ac:dyDescent="0.25">
      <c r="B19" t="s">
        <v>179</v>
      </c>
      <c r="D19" s="74">
        <f>D5</f>
        <v>1524659.8687440001</v>
      </c>
      <c r="E19">
        <f>E5</f>
        <v>35.001377326882967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6" tint="-0.249977111117893"/>
  </sheetPr>
  <dimension ref="A2:CQ404"/>
  <sheetViews>
    <sheetView topLeftCell="A325" zoomScale="70" zoomScaleNormal="70" workbookViewId="0">
      <selection activeCell="B364" sqref="B364:E364"/>
    </sheetView>
  </sheetViews>
  <sheetFormatPr defaultRowHeight="15" x14ac:dyDescent="0.25"/>
  <cols>
    <col min="1" max="1" width="32.5703125" customWidth="1"/>
    <col min="2" max="2" width="24.140625" customWidth="1"/>
    <col min="3" max="3" width="20.85546875" customWidth="1"/>
    <col min="4" max="4" width="22.140625" customWidth="1"/>
    <col min="5" max="5" width="21" customWidth="1"/>
    <col min="6" max="6" width="34.140625" customWidth="1"/>
    <col min="7" max="7" width="16.85546875" customWidth="1"/>
    <col min="8" max="8" width="15.5703125" customWidth="1"/>
    <col min="9" max="9" width="24.85546875" customWidth="1"/>
    <col min="10" max="10" width="12.5703125" customWidth="1"/>
    <col min="12" max="12" width="20" bestFit="1" customWidth="1"/>
    <col min="13" max="13" width="21.28515625" customWidth="1"/>
    <col min="16" max="16" width="9.140625" customWidth="1"/>
    <col min="17" max="17" width="28" customWidth="1"/>
    <col min="24" max="24" width="35.42578125" bestFit="1" customWidth="1"/>
    <col min="36" max="36" width="45" bestFit="1" customWidth="1"/>
    <col min="45" max="47" width="9.7109375" bestFit="1" customWidth="1"/>
    <col min="48" max="48" width="21" customWidth="1"/>
    <col min="49" max="49" width="13" bestFit="1" customWidth="1"/>
    <col min="52" max="52" width="11.28515625" bestFit="1" customWidth="1"/>
    <col min="57" max="57" width="11.28515625" bestFit="1" customWidth="1"/>
    <col min="64" max="64" width="21" bestFit="1" customWidth="1"/>
  </cols>
  <sheetData>
    <row r="2" spans="1:31" ht="15.75" thickBot="1" x14ac:dyDescent="0.3">
      <c r="B2" s="48" t="s">
        <v>1624</v>
      </c>
      <c r="C2" s="48"/>
      <c r="D2" s="48"/>
      <c r="E2" s="48"/>
      <c r="F2" s="48"/>
    </row>
    <row r="3" spans="1:31" x14ac:dyDescent="0.25">
      <c r="B3" t="s">
        <v>825</v>
      </c>
    </row>
    <row r="4" spans="1:31" x14ac:dyDescent="0.25">
      <c r="B4" s="261" t="s">
        <v>828</v>
      </c>
      <c r="D4" s="261" t="s">
        <v>1625</v>
      </c>
    </row>
    <row r="5" spans="1:31" x14ac:dyDescent="0.25">
      <c r="B5" s="32">
        <f>'Indoor Inputs'!K39/kW_to_W</f>
        <v>2307910.2518496178</v>
      </c>
      <c r="C5" t="s">
        <v>549</v>
      </c>
      <c r="D5" s="240">
        <f>('Indoor Inputs'!K42+'Indoor Inputs'!K30+'Indoor Inputs'!K34+'Indoor Inputs'!K32+'Indoor Inputs'!K40+'Indoor Inputs'!K41+'Indoor Inputs'!K39)/kW_to_W</f>
        <v>2746412.2357576671</v>
      </c>
      <c r="E5" t="s">
        <v>526</v>
      </c>
    </row>
    <row r="6" spans="1:31" x14ac:dyDescent="0.25">
      <c r="B6">
        <f>'Indoor Inputs'!K8*m2_to_ft2</f>
        <v>10098.495272727272</v>
      </c>
      <c r="C6" t="s">
        <v>826</v>
      </c>
    </row>
    <row r="7" spans="1:31" x14ac:dyDescent="0.25">
      <c r="B7" s="248">
        <f>B5/B6</f>
        <v>228.54001408333849</v>
      </c>
      <c r="C7" t="s">
        <v>827</v>
      </c>
      <c r="D7" s="449">
        <f>D5/B7</f>
        <v>12017.205156713482</v>
      </c>
      <c r="E7" t="s">
        <v>827</v>
      </c>
    </row>
    <row r="9" spans="1:31" ht="15.75" thickBot="1" x14ac:dyDescent="0.3">
      <c r="B9" s="48" t="s">
        <v>721</v>
      </c>
      <c r="C9" s="47"/>
      <c r="D9" s="47"/>
      <c r="E9" s="47"/>
      <c r="F9" s="47"/>
    </row>
    <row r="10" spans="1:31" x14ac:dyDescent="0.25">
      <c r="A10" s="53" t="s">
        <v>762</v>
      </c>
      <c r="B10" s="53">
        <f>93/(4*4*8)</f>
        <v>0.7265625</v>
      </c>
      <c r="C10" s="53" t="s">
        <v>761</v>
      </c>
    </row>
    <row r="11" spans="1:31" x14ac:dyDescent="0.25">
      <c r="A11" s="53"/>
      <c r="B11" s="53">
        <f>'Indoor Inputs'!G47/kg_to_lb</f>
        <v>498933.20787106483</v>
      </c>
      <c r="C11" s="53" t="s">
        <v>836</v>
      </c>
    </row>
    <row r="12" spans="1:31" x14ac:dyDescent="0.25">
      <c r="A12" s="53"/>
      <c r="B12" s="53">
        <f>B11/('Indoor Inputs'!K8*'Indoor Inputs'!K9)</f>
        <v>116.31860275602661</v>
      </c>
      <c r="C12" s="53" t="s">
        <v>838</v>
      </c>
    </row>
    <row r="13" spans="1:31" x14ac:dyDescent="0.25">
      <c r="A13" s="53"/>
      <c r="B13" s="249">
        <f>B12*ft3_to_m3</f>
        <v>3.2937706105218543</v>
      </c>
      <c r="C13" s="148" t="s">
        <v>837</v>
      </c>
    </row>
    <row r="15" spans="1:31" ht="15.75" thickBot="1" x14ac:dyDescent="0.3"/>
    <row r="16" spans="1:31" x14ac:dyDescent="0.25">
      <c r="A16" s="49"/>
      <c r="B16" s="256" t="s">
        <v>863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1"/>
    </row>
    <row r="17" spans="1:31" x14ac:dyDescent="0.25">
      <c r="A17" s="52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4"/>
    </row>
    <row r="18" spans="1:31" x14ac:dyDescent="0.25">
      <c r="A18" s="52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4"/>
    </row>
    <row r="19" spans="1:31" x14ac:dyDescent="0.25">
      <c r="A19" s="52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4"/>
    </row>
    <row r="20" spans="1:31" x14ac:dyDescent="0.25">
      <c r="A20" s="52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4"/>
    </row>
    <row r="21" spans="1:31" x14ac:dyDescent="0.25">
      <c r="A21" s="52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4"/>
    </row>
    <row r="22" spans="1:31" x14ac:dyDescent="0.25">
      <c r="A22" s="52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4"/>
    </row>
    <row r="23" spans="1:31" x14ac:dyDescent="0.25">
      <c r="A23" s="52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4"/>
    </row>
    <row r="24" spans="1:31" x14ac:dyDescent="0.25">
      <c r="A24" s="52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4"/>
    </row>
    <row r="25" spans="1:31" x14ac:dyDescent="0.25">
      <c r="A25" s="52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4"/>
    </row>
    <row r="26" spans="1:31" x14ac:dyDescent="0.25">
      <c r="A26" s="52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4"/>
    </row>
    <row r="27" spans="1:31" x14ac:dyDescent="0.25">
      <c r="A27" s="52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4"/>
    </row>
    <row r="28" spans="1:31" x14ac:dyDescent="0.25">
      <c r="A28" s="52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</row>
    <row r="29" spans="1:31" x14ac:dyDescent="0.25">
      <c r="A29" s="52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4"/>
    </row>
    <row r="30" spans="1:31" x14ac:dyDescent="0.25">
      <c r="A30" s="52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4"/>
    </row>
    <row r="31" spans="1:3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4"/>
    </row>
    <row r="32" spans="1:3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4"/>
    </row>
    <row r="33" spans="1:3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4"/>
    </row>
    <row r="34" spans="1:31" x14ac:dyDescent="0.25">
      <c r="A34" s="52"/>
      <c r="B34" s="53" t="s">
        <v>850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4"/>
    </row>
    <row r="35" spans="1:31" ht="15.75" thickBot="1" x14ac:dyDescent="0.3">
      <c r="A35" s="52"/>
      <c r="B35" s="73"/>
      <c r="C35" s="243" t="s">
        <v>851</v>
      </c>
      <c r="D35" s="73" t="s">
        <v>852</v>
      </c>
      <c r="E35" s="73" t="s">
        <v>853</v>
      </c>
      <c r="F35" s="73" t="s">
        <v>854</v>
      </c>
      <c r="G35" s="73" t="s">
        <v>855</v>
      </c>
      <c r="H35" s="53"/>
      <c r="I35" s="252" t="s">
        <v>196</v>
      </c>
      <c r="J35" s="73"/>
      <c r="K35" s="73"/>
      <c r="L35" s="73"/>
      <c r="M35" s="73"/>
      <c r="N35" s="73"/>
      <c r="O35" s="73"/>
      <c r="P35" s="7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4"/>
    </row>
    <row r="36" spans="1:31" x14ac:dyDescent="0.25">
      <c r="A36" s="52" t="s">
        <v>856</v>
      </c>
      <c r="B36" s="53" t="s">
        <v>519</v>
      </c>
      <c r="C36" s="41">
        <v>166327494.20047399</v>
      </c>
      <c r="D36" s="53">
        <f>C36/938.1818</f>
        <v>177287.06120761883</v>
      </c>
      <c r="E36" s="53">
        <f t="shared" ref="E36:E43" si="0">D36*BTU_per_hour_to_W</f>
        <v>604903.45284039539</v>
      </c>
      <c r="F36" s="53">
        <f>E36/1000</f>
        <v>604.9034528403954</v>
      </c>
      <c r="G36" s="53">
        <f t="shared" ref="G36:G43" si="1">F36/m2_to_ft2</f>
        <v>56.197424060089318</v>
      </c>
      <c r="H36" s="825">
        <f>SUM(G36:G37)</f>
        <v>72.678543892818851</v>
      </c>
      <c r="I36" s="234" t="s">
        <v>859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4"/>
    </row>
    <row r="37" spans="1:31" ht="15.75" thickBot="1" x14ac:dyDescent="0.3">
      <c r="A37" s="232" t="s">
        <v>857</v>
      </c>
      <c r="B37" s="73" t="s">
        <v>308</v>
      </c>
      <c r="C37" s="43">
        <v>48779163.978486501</v>
      </c>
      <c r="D37" s="73">
        <f>C37/938.1818</f>
        <v>51993.29594593127</v>
      </c>
      <c r="E37" s="73">
        <f t="shared" si="0"/>
        <v>177401.12576751749</v>
      </c>
      <c r="F37" s="73">
        <f>E37/1000</f>
        <v>177.4011257675175</v>
      </c>
      <c r="G37" s="253">
        <f t="shared" si="1"/>
        <v>16.48111983272954</v>
      </c>
      <c r="H37" s="826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4"/>
    </row>
    <row r="38" spans="1:31" x14ac:dyDescent="0.25">
      <c r="A38" s="52" t="s">
        <v>858</v>
      </c>
      <c r="B38" s="148" t="s">
        <v>519</v>
      </c>
      <c r="C38" s="53">
        <v>416091825.92327499</v>
      </c>
      <c r="D38" s="53">
        <f t="shared" ref="D38:D43" si="2">C38/938.1818</f>
        <v>443508.73777691595</v>
      </c>
      <c r="E38" s="53">
        <f t="shared" si="0"/>
        <v>1513251.8132948373</v>
      </c>
      <c r="F38" s="53">
        <f t="shared" ref="F38:F43" si="3">E38/1000</f>
        <v>1513.2518132948373</v>
      </c>
      <c r="G38" s="53">
        <f t="shared" si="1"/>
        <v>140.58582979169609</v>
      </c>
      <c r="H38" s="825">
        <f>SUM(G38:G39)</f>
        <v>185.01877231004761</v>
      </c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4"/>
    </row>
    <row r="39" spans="1:31" ht="15.75" thickBot="1" x14ac:dyDescent="0.3">
      <c r="A39" s="232"/>
      <c r="B39" s="252" t="s">
        <v>308</v>
      </c>
      <c r="C39" s="73">
        <v>131508162.742991</v>
      </c>
      <c r="D39" s="73">
        <f t="shared" si="2"/>
        <v>140173.43199685926</v>
      </c>
      <c r="E39" s="73">
        <f t="shared" si="0"/>
        <v>478271.74997328379</v>
      </c>
      <c r="F39" s="73">
        <f t="shared" si="3"/>
        <v>478.27174997328382</v>
      </c>
      <c r="G39" s="73">
        <f t="shared" si="1"/>
        <v>44.43294251835151</v>
      </c>
      <c r="H39" s="826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4"/>
    </row>
    <row r="40" spans="1:31" x14ac:dyDescent="0.25">
      <c r="A40" s="255" t="s">
        <v>860</v>
      </c>
      <c r="B40" s="148" t="s">
        <v>519</v>
      </c>
      <c r="C40" s="53">
        <v>474919930.77486002</v>
      </c>
      <c r="D40" s="53">
        <f t="shared" si="2"/>
        <v>506213.11431841896</v>
      </c>
      <c r="E40" s="53">
        <f t="shared" si="0"/>
        <v>1727199.1460544455</v>
      </c>
      <c r="F40" s="53">
        <f t="shared" si="3"/>
        <v>1727.1991460544455</v>
      </c>
      <c r="G40" s="53">
        <f t="shared" si="1"/>
        <v>160.4622066401997</v>
      </c>
      <c r="H40" s="825">
        <f>SUM(G40:G41)</f>
        <v>190.66709314555862</v>
      </c>
      <c r="I40" s="234" t="s">
        <v>861</v>
      </c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4"/>
    </row>
    <row r="41" spans="1:31" ht="15.75" thickBot="1" x14ac:dyDescent="0.3">
      <c r="A41" s="232"/>
      <c r="B41" s="252" t="s">
        <v>308</v>
      </c>
      <c r="C41" s="73">
        <v>89397390.878169701</v>
      </c>
      <c r="D41" s="73">
        <f t="shared" si="2"/>
        <v>95287.918480373104</v>
      </c>
      <c r="E41" s="73">
        <f t="shared" si="0"/>
        <v>325122.37785503303</v>
      </c>
      <c r="F41" s="73">
        <f t="shared" si="3"/>
        <v>325.12237785503305</v>
      </c>
      <c r="G41" s="73">
        <f t="shared" si="1"/>
        <v>30.204886505358939</v>
      </c>
      <c r="H41" s="826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4"/>
    </row>
    <row r="42" spans="1:31" x14ac:dyDescent="0.25">
      <c r="A42" s="255" t="s">
        <v>862</v>
      </c>
      <c r="B42" s="148" t="s">
        <v>519</v>
      </c>
      <c r="C42" s="53">
        <v>710595201.55657494</v>
      </c>
      <c r="D42" s="53">
        <f t="shared" si="2"/>
        <v>757417.38067885663</v>
      </c>
      <c r="E42" s="53">
        <f t="shared" si="0"/>
        <v>2584308.1028762585</v>
      </c>
      <c r="F42" s="53">
        <f t="shared" si="3"/>
        <v>2584.3081028762585</v>
      </c>
      <c r="G42" s="53">
        <f t="shared" si="1"/>
        <v>240.0903113997955</v>
      </c>
      <c r="H42" s="825">
        <f>SUM(G42:G43)</f>
        <v>282.50351482474559</v>
      </c>
      <c r="I42" s="234" t="s">
        <v>861</v>
      </c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4"/>
    </row>
    <row r="43" spans="1:31" ht="15.75" thickBot="1" x14ac:dyDescent="0.3">
      <c r="A43" s="232"/>
      <c r="B43" s="252" t="s">
        <v>308</v>
      </c>
      <c r="C43" s="73">
        <v>125530341.731391</v>
      </c>
      <c r="D43" s="73">
        <f t="shared" si="2"/>
        <v>133801.72343077962</v>
      </c>
      <c r="E43" s="73">
        <f t="shared" si="0"/>
        <v>456531.48034582002</v>
      </c>
      <c r="F43" s="73">
        <f t="shared" si="3"/>
        <v>456.53148034582</v>
      </c>
      <c r="G43" s="73">
        <f t="shared" si="1"/>
        <v>42.413203424950069</v>
      </c>
      <c r="H43" s="826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4"/>
    </row>
    <row r="44" spans="1:31" x14ac:dyDescent="0.25">
      <c r="A44" s="52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4"/>
    </row>
    <row r="45" spans="1:31" x14ac:dyDescent="0.25">
      <c r="A45" s="52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4"/>
    </row>
    <row r="46" spans="1:31" ht="15.75" thickBot="1" x14ac:dyDescent="0.3">
      <c r="A46" s="55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57"/>
    </row>
    <row r="48" spans="1:31" ht="15.75" thickBot="1" x14ac:dyDescent="0.3"/>
    <row r="49" spans="1:15" ht="15.75" thickBot="1" x14ac:dyDescent="0.3">
      <c r="A49" s="268"/>
      <c r="B49" t="s">
        <v>996</v>
      </c>
    </row>
    <row r="50" spans="1:15" ht="15.75" thickBot="1" x14ac:dyDescent="0.3">
      <c r="E50" s="261" t="s">
        <v>962</v>
      </c>
    </row>
    <row r="51" spans="1:15" ht="15.75" thickBot="1" x14ac:dyDescent="0.3">
      <c r="A51" s="261" t="s">
        <v>961</v>
      </c>
      <c r="E51" t="s">
        <v>1276</v>
      </c>
      <c r="F51" s="364">
        <f>'Indoor Inputs'!K42</f>
        <v>0</v>
      </c>
      <c r="G51" s="261"/>
      <c r="H51" s="261"/>
      <c r="I51" s="261" t="s">
        <v>970</v>
      </c>
      <c r="J51" s="261"/>
      <c r="K51" s="261"/>
      <c r="L51" s="261"/>
      <c r="M51" s="261" t="s">
        <v>972</v>
      </c>
    </row>
    <row r="52" spans="1:15" ht="15.75" thickBot="1" x14ac:dyDescent="0.3">
      <c r="A52" s="269">
        <f>'Indoor Inputs'!K46</f>
        <v>5489.0949097200237</v>
      </c>
      <c r="B52" t="s">
        <v>951</v>
      </c>
      <c r="E52" t="s">
        <v>963</v>
      </c>
      <c r="F52" s="270">
        <f>'Indoor Inputs'!K31</f>
        <v>1149596080.1667359</v>
      </c>
      <c r="G52" t="s">
        <v>967</v>
      </c>
      <c r="I52" t="s">
        <v>971</v>
      </c>
      <c r="J52" s="269">
        <f>'Indoor Inputs'!K39</f>
        <v>2307910251.849618</v>
      </c>
      <c r="K52" t="s">
        <v>1037</v>
      </c>
      <c r="M52" s="272">
        <f>J55+F58</f>
        <v>156540.29781359466</v>
      </c>
      <c r="N52" t="s">
        <v>969</v>
      </c>
    </row>
    <row r="53" spans="1:15" x14ac:dyDescent="0.25">
      <c r="A53" s="32">
        <f>A52/'Indoor Inputs'!G29</f>
        <v>887.27835526981198</v>
      </c>
      <c r="B53" t="s">
        <v>952</v>
      </c>
      <c r="E53" t="s">
        <v>964</v>
      </c>
      <c r="F53" s="270">
        <f>'Indoor Inputs'!K30</f>
        <v>34124228.863033369</v>
      </c>
      <c r="G53" t="s">
        <v>967</v>
      </c>
      <c r="I53" t="s">
        <v>995</v>
      </c>
      <c r="J53" s="32">
        <f>'Indoor Inputs'!K6</f>
        <v>1376</v>
      </c>
      <c r="K53" t="s">
        <v>975</v>
      </c>
      <c r="M53" s="273" t="s">
        <v>377</v>
      </c>
      <c r="N53" t="s">
        <v>969</v>
      </c>
      <c r="O53" s="72" t="s">
        <v>973</v>
      </c>
    </row>
    <row r="54" spans="1:15" ht="15.75" thickBot="1" x14ac:dyDescent="0.3">
      <c r="A54" s="32">
        <f>'Indoor Inputs'!G18</f>
        <v>0.43899789338245743</v>
      </c>
      <c r="B54" t="s">
        <v>917</v>
      </c>
      <c r="E54" t="s">
        <v>965</v>
      </c>
      <c r="F54" s="270">
        <f>'Indoor Inputs'!K36</f>
        <v>9374187282.8093834</v>
      </c>
      <c r="G54" t="s">
        <v>967</v>
      </c>
      <c r="J54">
        <f>J52/J53</f>
        <v>1677260.3574488503</v>
      </c>
      <c r="K54" t="s">
        <v>976</v>
      </c>
      <c r="M54" s="274">
        <f>41808/5000*12</f>
        <v>100.33919999999999</v>
      </c>
      <c r="N54" t="s">
        <v>969</v>
      </c>
      <c r="O54" t="s">
        <v>1000</v>
      </c>
    </row>
    <row r="55" spans="1:15" ht="15.75" thickBot="1" x14ac:dyDescent="0.3">
      <c r="A55" s="32">
        <f>A53/A54</f>
        <v>2021.1449044399174</v>
      </c>
      <c r="B55" t="s">
        <v>953</v>
      </c>
      <c r="E55" t="s">
        <v>966</v>
      </c>
      <c r="F55" s="271">
        <f>'Indoor Inputs'!K38</f>
        <v>69978169.336790681</v>
      </c>
      <c r="G55" t="s">
        <v>967</v>
      </c>
      <c r="J55" s="37">
        <f>J54/m2_to_ft2</f>
        <v>155822.73687500352</v>
      </c>
      <c r="K55" s="37" t="s">
        <v>977</v>
      </c>
    </row>
    <row r="56" spans="1:15" x14ac:dyDescent="0.25">
      <c r="A56">
        <f>A55/prop_water_density</f>
        <v>2.0217514298688779</v>
      </c>
      <c r="B56" t="s">
        <v>954</v>
      </c>
      <c r="F56">
        <f>SUM(F52:F55)/kW_to_W</f>
        <v>10627885.761175944</v>
      </c>
      <c r="G56" t="s">
        <v>549</v>
      </c>
    </row>
    <row r="57" spans="1:15" x14ac:dyDescent="0.25">
      <c r="A57">
        <f>A56*m3_to_liters</f>
        <v>2021.7514298688779</v>
      </c>
      <c r="B57" t="s">
        <v>955</v>
      </c>
      <c r="F57">
        <f>'Indoor Inputs'!G6</f>
        <v>14811.126399999999</v>
      </c>
      <c r="G57" t="s">
        <v>968</v>
      </c>
    </row>
    <row r="58" spans="1:15" x14ac:dyDescent="0.25">
      <c r="A58">
        <f>A57/gals_to_liters</f>
        <v>534.09047629421332</v>
      </c>
      <c r="B58" t="s">
        <v>956</v>
      </c>
      <c r="F58" s="37">
        <f>F56/F57</f>
        <v>717.56093859113537</v>
      </c>
      <c r="G58" s="37" t="s">
        <v>969</v>
      </c>
      <c r="I58" t="s">
        <v>1015</v>
      </c>
    </row>
    <row r="59" spans="1:15" x14ac:dyDescent="0.25">
      <c r="A59">
        <f>A58/kg_to_lb</f>
        <v>242.2596530441588</v>
      </c>
      <c r="B59" t="s">
        <v>957</v>
      </c>
      <c r="I59" s="37">
        <v>2283</v>
      </c>
      <c r="J59" s="37" t="s">
        <v>1016</v>
      </c>
    </row>
    <row r="60" spans="1:15" x14ac:dyDescent="0.25">
      <c r="A60">
        <f>A59/16</f>
        <v>15.141228315259925</v>
      </c>
      <c r="B60" t="s">
        <v>958</v>
      </c>
      <c r="I60" s="32">
        <f>J52</f>
        <v>2307910251.849618</v>
      </c>
      <c r="J60" t="s">
        <v>549</v>
      </c>
    </row>
    <row r="61" spans="1:15" x14ac:dyDescent="0.25">
      <c r="A61" s="37">
        <f>A60/8</f>
        <v>1.8926535394074906</v>
      </c>
      <c r="B61" s="37" t="s">
        <v>959</v>
      </c>
      <c r="I61">
        <f>'Indoor Inputs'!G18</f>
        <v>0.43899789338245743</v>
      </c>
      <c r="J61" t="s">
        <v>411</v>
      </c>
    </row>
    <row r="62" spans="1:15" x14ac:dyDescent="0.25">
      <c r="I62">
        <f>'Indoor Inputs'!G29</f>
        <v>6.1864406779661021</v>
      </c>
      <c r="J62" t="s">
        <v>1017</v>
      </c>
    </row>
    <row r="63" spans="1:15" x14ac:dyDescent="0.25">
      <c r="A63" t="s">
        <v>1071</v>
      </c>
      <c r="I63">
        <f>I62*I61</f>
        <v>2.7158344251626607</v>
      </c>
      <c r="J63" t="s">
        <v>1018</v>
      </c>
    </row>
    <row r="64" spans="1:15" x14ac:dyDescent="0.25">
      <c r="A64" s="72" t="s">
        <v>960</v>
      </c>
      <c r="I64">
        <f>I63*'Indoor Inputs'!K8</f>
        <v>2547.9464788798778</v>
      </c>
      <c r="J64" t="s">
        <v>1019</v>
      </c>
    </row>
    <row r="65" spans="1:38" x14ac:dyDescent="0.25">
      <c r="A65" t="s">
        <v>974</v>
      </c>
      <c r="I65" s="37">
        <f>I60/I64</f>
        <v>905792.28056007519</v>
      </c>
      <c r="J65" s="37" t="s">
        <v>1020</v>
      </c>
    </row>
    <row r="66" spans="1:38" x14ac:dyDescent="0.25">
      <c r="A66" t="s">
        <v>980</v>
      </c>
      <c r="C66">
        <f>50/(m3_to_pints*200)*prop_water_density*m2_to_ft2*365</f>
        <v>464.61706571267064</v>
      </c>
      <c r="D66" t="s">
        <v>951</v>
      </c>
    </row>
    <row r="67" spans="1:38" ht="15.75" thickBot="1" x14ac:dyDescent="0.3"/>
    <row r="68" spans="1:38" ht="15.75" thickBot="1" x14ac:dyDescent="0.3">
      <c r="A68" s="269">
        <f>'Indoor Inputs'!K46</f>
        <v>5489.0949097200237</v>
      </c>
      <c r="B68" t="s">
        <v>951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</row>
    <row r="69" spans="1:38" x14ac:dyDescent="0.25">
      <c r="A69" s="32">
        <f>'Indoor Inputs'!G16</f>
        <v>2.6909749999999999</v>
      </c>
      <c r="B69" t="s">
        <v>387</v>
      </c>
      <c r="G69" s="53"/>
      <c r="H69" s="53"/>
      <c r="I69" s="53"/>
      <c r="J69" s="53"/>
      <c r="K69" s="53"/>
      <c r="L69" s="53"/>
      <c r="M69" s="53"/>
      <c r="N69" s="53"/>
      <c r="O69" s="53"/>
      <c r="P69" s="262"/>
      <c r="Q69" s="53"/>
      <c r="R69" s="53"/>
    </row>
    <row r="70" spans="1:38" x14ac:dyDescent="0.25">
      <c r="A70">
        <f>'Indoor Inputs'!G29</f>
        <v>6.1864406779661021</v>
      </c>
      <c r="B70" t="s">
        <v>1008</v>
      </c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</row>
    <row r="71" spans="1:38" x14ac:dyDescent="0.25">
      <c r="A71">
        <f>A70*A69</f>
        <v>16.64755720338983</v>
      </c>
      <c r="B71" t="s">
        <v>1007</v>
      </c>
      <c r="X71" t="s">
        <v>873</v>
      </c>
    </row>
    <row r="72" spans="1:38" x14ac:dyDescent="0.25">
      <c r="A72">
        <f>A68/A71</f>
        <v>329.72374521123834</v>
      </c>
      <c r="B72" t="s">
        <v>1009</v>
      </c>
    </row>
    <row r="73" spans="1:38" x14ac:dyDescent="0.25">
      <c r="A73">
        <f>365/A70</f>
        <v>58.999999999999993</v>
      </c>
      <c r="B73" t="s">
        <v>1010</v>
      </c>
    </row>
    <row r="74" spans="1:38" x14ac:dyDescent="0.25">
      <c r="A74" s="37">
        <f>A72/A73</f>
        <v>5.5885380544277687</v>
      </c>
      <c r="B74" s="37" t="s">
        <v>1011</v>
      </c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</row>
    <row r="75" spans="1:38" x14ac:dyDescent="0.25">
      <c r="A75">
        <f>A74/prop_water_density</f>
        <v>5.5902151189634579E-3</v>
      </c>
      <c r="B75" t="s">
        <v>1012</v>
      </c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</row>
    <row r="76" spans="1:38" ht="15.75" thickBot="1" x14ac:dyDescent="0.3">
      <c r="A76">
        <f>A75*m3_to_liters</f>
        <v>5.5902151189634584</v>
      </c>
      <c r="B76" t="s">
        <v>1013</v>
      </c>
      <c r="C76" s="31"/>
    </row>
    <row r="77" spans="1:38" ht="15.75" thickBot="1" x14ac:dyDescent="0.3">
      <c r="A77" s="275">
        <f>A76/gals_to_liters</f>
        <v>1.4767792970810185</v>
      </c>
      <c r="B77" t="s">
        <v>872</v>
      </c>
      <c r="C77" s="254"/>
    </row>
    <row r="78" spans="1:38" x14ac:dyDescent="0.25">
      <c r="A78" t="s">
        <v>1014</v>
      </c>
      <c r="P78" s="31" t="s">
        <v>874</v>
      </c>
    </row>
    <row r="93" spans="6:6" x14ac:dyDescent="0.25">
      <c r="F93" s="257" t="s">
        <v>875</v>
      </c>
    </row>
    <row r="117" spans="1:21" x14ac:dyDescent="0.25">
      <c r="A117" s="37" t="s">
        <v>1229</v>
      </c>
    </row>
    <row r="118" spans="1:21" x14ac:dyDescent="0.25">
      <c r="A118" t="s">
        <v>1230</v>
      </c>
      <c r="B118" s="828" t="s">
        <v>1239</v>
      </c>
      <c r="C118" s="828"/>
      <c r="D118" s="828" t="s">
        <v>1240</v>
      </c>
      <c r="E118" s="828"/>
      <c r="F118" s="828" t="s">
        <v>1280</v>
      </c>
      <c r="G118" s="828"/>
      <c r="H118" s="828" t="s">
        <v>1298</v>
      </c>
      <c r="I118" s="828"/>
    </row>
    <row r="119" spans="1:21" ht="30" x14ac:dyDescent="0.25">
      <c r="A119" s="350"/>
      <c r="B119" s="357" t="s">
        <v>1237</v>
      </c>
      <c r="C119" s="351" t="s">
        <v>1238</v>
      </c>
      <c r="D119" s="357" t="s">
        <v>1237</v>
      </c>
      <c r="E119" s="351" t="s">
        <v>1238</v>
      </c>
      <c r="F119" s="380" t="s">
        <v>1297</v>
      </c>
      <c r="G119" s="378" t="s">
        <v>1295</v>
      </c>
      <c r="H119" s="379" t="s">
        <v>1297</v>
      </c>
      <c r="I119" t="s">
        <v>1296</v>
      </c>
      <c r="J119" s="375" t="s">
        <v>196</v>
      </c>
      <c r="K119" s="366"/>
      <c r="L119" s="366"/>
      <c r="M119" s="366"/>
      <c r="N119" s="366"/>
      <c r="O119" s="366"/>
      <c r="P119" s="366"/>
      <c r="Q119" s="366"/>
      <c r="R119" s="366"/>
      <c r="S119" s="366"/>
      <c r="T119" s="366"/>
      <c r="U119" s="366"/>
    </row>
    <row r="120" spans="1:21" x14ac:dyDescent="0.25">
      <c r="A120" s="169" t="s">
        <v>313</v>
      </c>
      <c r="B120" s="358">
        <v>2283</v>
      </c>
      <c r="C120" s="169">
        <v>1520</v>
      </c>
      <c r="D120" s="358">
        <f>'Indoor Inputs'!K39/kW_to_W/indoor_annual_bud_yield</f>
        <v>1370.0790741292178</v>
      </c>
      <c r="E120" s="352">
        <f>LCA!F13</f>
        <v>836.88042477533656</v>
      </c>
      <c r="F120" s="372">
        <f>B120/$B$128</f>
        <v>0.37580246913580245</v>
      </c>
      <c r="G120" s="371">
        <f>D120/$D$128</f>
        <v>0.24543507738692108</v>
      </c>
      <c r="H120" s="382">
        <f>C120/$C$128</f>
        <v>0.32964649750596398</v>
      </c>
      <c r="I120" s="383">
        <f t="shared" ref="I120:I125" si="4">E120/$E$128</f>
        <v>0.23767953678735379</v>
      </c>
      <c r="J120" s="376" t="s">
        <v>1278</v>
      </c>
      <c r="K120" s="350"/>
      <c r="L120" s="350"/>
      <c r="M120" s="350"/>
      <c r="N120" s="350"/>
      <c r="O120" s="350"/>
      <c r="P120" s="350"/>
      <c r="Q120" s="350"/>
      <c r="R120" s="350"/>
      <c r="S120" s="350"/>
      <c r="T120" s="350"/>
      <c r="U120" s="350"/>
    </row>
    <row r="121" spans="1:21" x14ac:dyDescent="0.25">
      <c r="A121" s="169" t="s">
        <v>1231</v>
      </c>
      <c r="B121" s="358">
        <v>1848</v>
      </c>
      <c r="C121" s="169">
        <v>1231</v>
      </c>
      <c r="D121" s="358">
        <f>('Indoor Inputs'!K42+'Indoor Inputs'!K38)/kW_to_W/('Indoor Inputs'!K18*'Indoor Inputs'!K29*'Indoor Inputs'!K8)</f>
        <v>27.464536605005268</v>
      </c>
      <c r="E121" s="352">
        <f>LCA!F8+LCA!F9</f>
        <v>23.870426685126727</v>
      </c>
      <c r="F121" s="373">
        <f t="shared" ref="F121:F127" si="5">B121/$B$128</f>
        <v>0.30419753086419754</v>
      </c>
      <c r="G121" s="371">
        <f t="shared" ref="G121:G125" si="6">D121/$D$128</f>
        <v>4.9199792875674895E-3</v>
      </c>
      <c r="H121" s="382">
        <f t="shared" ref="H121:H128" si="7">C121/$C$128</f>
        <v>0.26697028844068532</v>
      </c>
      <c r="I121" s="383">
        <f t="shared" si="4"/>
        <v>6.7793579458624376E-3</v>
      </c>
      <c r="J121" s="365" t="s">
        <v>1279</v>
      </c>
      <c r="K121" s="350"/>
      <c r="L121" s="350"/>
      <c r="M121" s="350"/>
      <c r="N121" s="350"/>
      <c r="O121" s="350"/>
      <c r="P121" s="350"/>
      <c r="Q121" s="350"/>
      <c r="R121" s="350"/>
      <c r="S121" s="350"/>
      <c r="T121" s="350"/>
      <c r="U121" s="350"/>
    </row>
    <row r="122" spans="1:21" x14ac:dyDescent="0.25">
      <c r="A122" s="169" t="s">
        <v>1232</v>
      </c>
      <c r="B122" s="358">
        <v>1284</v>
      </c>
      <c r="C122" s="169">
        <v>855</v>
      </c>
      <c r="D122" s="370">
        <f>'Indoor Inputs'!K41/kW_to_W/('Indoor Inputs'!K18*'Indoor Inputs'!K29*'Indoor Inputs'!K8)</f>
        <v>50.573384986095256</v>
      </c>
      <c r="E122" s="352">
        <f>LCA!F10</f>
        <v>61.620533496177849</v>
      </c>
      <c r="F122" s="373">
        <f t="shared" si="5"/>
        <v>0.21135802469135803</v>
      </c>
      <c r="G122" s="371">
        <f t="shared" si="6"/>
        <v>9.0596834096381279E-3</v>
      </c>
      <c r="H122" s="382">
        <f t="shared" si="7"/>
        <v>0.18542615484710476</v>
      </c>
      <c r="I122" s="383">
        <f t="shared" si="4"/>
        <v>1.7500636201274421E-2</v>
      </c>
      <c r="J122" s="163" t="s">
        <v>1281</v>
      </c>
      <c r="K122" s="350"/>
      <c r="L122" s="350"/>
      <c r="M122" s="350"/>
      <c r="N122" s="350"/>
      <c r="O122" s="350"/>
      <c r="P122" s="350"/>
      <c r="Q122" s="350"/>
      <c r="R122" s="350"/>
      <c r="S122" s="350"/>
      <c r="T122" s="350"/>
      <c r="U122" s="350"/>
    </row>
    <row r="123" spans="1:21" x14ac:dyDescent="0.25">
      <c r="A123" s="169" t="s">
        <v>1233</v>
      </c>
      <c r="B123" s="358">
        <v>304</v>
      </c>
      <c r="C123" s="169">
        <v>202</v>
      </c>
      <c r="D123" s="358">
        <f>('Indoor Inputs'!K31+'Indoor Inputs'!K36)/kW_to_W/('Indoor Inputs'!K18*'Indoor Inputs'!K29*'Indoor Inputs'!K8)</f>
        <v>4130.3000083434099</v>
      </c>
      <c r="E123" s="352">
        <f>LCA!F6+LCA!F4</f>
        <v>1246.0404230463337</v>
      </c>
      <c r="F123" s="373">
        <f t="shared" si="5"/>
        <v>5.0041152263374487E-2</v>
      </c>
      <c r="G123" s="371">
        <f t="shared" si="6"/>
        <v>0.73989926663412231</v>
      </c>
      <c r="H123" s="382">
        <f t="shared" si="7"/>
        <v>4.3808284536976792E-2</v>
      </c>
      <c r="I123" s="383">
        <f t="shared" si="4"/>
        <v>0.35388366342476668</v>
      </c>
      <c r="J123" s="365"/>
      <c r="K123" s="350"/>
      <c r="L123" s="350"/>
      <c r="M123" s="350"/>
      <c r="N123" s="350"/>
      <c r="O123" s="350"/>
      <c r="P123" s="350"/>
      <c r="Q123" s="350"/>
      <c r="R123" s="350"/>
      <c r="S123" s="350"/>
      <c r="T123" s="350"/>
      <c r="U123" s="350"/>
    </row>
    <row r="124" spans="1:21" x14ac:dyDescent="0.25">
      <c r="A124" s="169" t="s">
        <v>1234</v>
      </c>
      <c r="B124" s="358">
        <v>93</v>
      </c>
      <c r="C124" s="169">
        <v>82</v>
      </c>
      <c r="D124" s="358" t="s">
        <v>1241</v>
      </c>
      <c r="E124" s="352">
        <f>LCA!F17</f>
        <v>573.97799175148657</v>
      </c>
      <c r="F124" s="373">
        <f t="shared" si="5"/>
        <v>1.5308641975308642E-2</v>
      </c>
      <c r="G124" s="371"/>
      <c r="H124" s="382">
        <f t="shared" si="7"/>
        <v>1.7783561049663846E-2</v>
      </c>
      <c r="I124" s="383">
        <f t="shared" si="4"/>
        <v>0.16301351921602431</v>
      </c>
      <c r="J124" s="365"/>
      <c r="K124" s="350"/>
      <c r="L124" s="350"/>
      <c r="M124" s="350"/>
      <c r="N124" s="350"/>
      <c r="O124" s="350"/>
      <c r="P124" s="350"/>
      <c r="Q124" s="350"/>
      <c r="R124" s="350"/>
      <c r="S124" s="350"/>
      <c r="T124" s="350"/>
      <c r="U124" s="350"/>
    </row>
    <row r="125" spans="1:21" x14ac:dyDescent="0.25">
      <c r="A125" s="169" t="s">
        <v>1235</v>
      </c>
      <c r="B125" s="358">
        <v>173</v>
      </c>
      <c r="C125" s="169">
        <v>115</v>
      </c>
      <c r="D125" s="358">
        <f>('Indoor Inputs'!K94*'Indoor Inputs'!K45+'Indoor Inputs'!K40/kW_to_W)/('Indoor Inputs'!K18*'Indoor Inputs'!K29*'Indoor Inputs'!K8)</f>
        <v>3.8293835189604879</v>
      </c>
      <c r="E125" s="352">
        <f>SUM(LCA!F14:F15)</f>
        <v>3.3956462604921454</v>
      </c>
      <c r="F125" s="373">
        <f t="shared" si="5"/>
        <v>2.8477366255144031E-2</v>
      </c>
      <c r="G125" s="371">
        <f t="shared" si="6"/>
        <v>6.8599328175099545E-4</v>
      </c>
      <c r="H125" s="382">
        <f t="shared" si="7"/>
        <v>2.4940360008674906E-2</v>
      </c>
      <c r="I125" s="383">
        <f t="shared" si="4"/>
        <v>9.6438583863894952E-4</v>
      </c>
      <c r="J125" s="365" t="s">
        <v>1244</v>
      </c>
      <c r="K125" s="350"/>
      <c r="L125" s="350"/>
      <c r="M125" s="350"/>
      <c r="N125" s="350"/>
      <c r="O125" s="350"/>
      <c r="P125" s="350"/>
      <c r="Q125" s="350"/>
      <c r="R125" s="350"/>
      <c r="S125" s="350"/>
      <c r="T125" s="350"/>
      <c r="U125" s="350"/>
    </row>
    <row r="126" spans="1:21" x14ac:dyDescent="0.25">
      <c r="A126" s="169" t="s">
        <v>319</v>
      </c>
      <c r="B126" s="358">
        <v>90</v>
      </c>
      <c r="C126" s="169">
        <v>60</v>
      </c>
      <c r="D126" s="358" t="s">
        <v>1241</v>
      </c>
      <c r="E126" s="169" t="s">
        <v>1241</v>
      </c>
      <c r="F126" s="373">
        <f t="shared" si="5"/>
        <v>1.4814814814814815E-2</v>
      </c>
      <c r="G126" s="371"/>
      <c r="H126" s="382">
        <f t="shared" si="7"/>
        <v>1.3012361743656473E-2</v>
      </c>
      <c r="I126" s="383"/>
      <c r="J126" s="365"/>
      <c r="K126" s="350"/>
      <c r="L126" s="350"/>
      <c r="M126" s="350"/>
      <c r="N126" s="350"/>
      <c r="O126" s="350"/>
      <c r="P126" s="350"/>
      <c r="Q126" s="350"/>
      <c r="R126" s="350"/>
      <c r="S126" s="350"/>
      <c r="T126" s="350"/>
      <c r="U126" s="350"/>
    </row>
    <row r="127" spans="1:21" x14ac:dyDescent="0.25">
      <c r="A127" s="169" t="s">
        <v>1236</v>
      </c>
      <c r="B127" s="367"/>
      <c r="C127" s="366">
        <v>546</v>
      </c>
      <c r="D127" s="367"/>
      <c r="E127" s="368">
        <f>LCA!F101</f>
        <v>836.88042477533656</v>
      </c>
      <c r="F127" s="373">
        <f t="shared" si="5"/>
        <v>0</v>
      </c>
      <c r="G127" s="371"/>
      <c r="H127" s="382">
        <f t="shared" si="7"/>
        <v>0.11841249186727391</v>
      </c>
      <c r="I127" s="383">
        <f>E127/$E$128</f>
        <v>0.23767953678735379</v>
      </c>
      <c r="J127" s="365"/>
      <c r="K127" s="350"/>
      <c r="L127" s="350"/>
      <c r="M127" s="350"/>
      <c r="N127" s="350"/>
      <c r="O127" s="350"/>
      <c r="P127" s="350"/>
      <c r="Q127" s="350"/>
      <c r="R127" s="350"/>
      <c r="S127" s="350"/>
      <c r="T127" s="350"/>
      <c r="U127" s="350"/>
    </row>
    <row r="128" spans="1:21" s="31" customFormat="1" x14ac:dyDescent="0.25">
      <c r="A128" s="169" t="s">
        <v>1277</v>
      </c>
      <c r="B128" s="358">
        <f>SUM(B120:B127)</f>
        <v>6075</v>
      </c>
      <c r="C128" s="169">
        <f>SUM(C120:C127)</f>
        <v>4611</v>
      </c>
      <c r="D128" s="381">
        <f>D125+D123+D121+D120+D122</f>
        <v>5582.2463875826888</v>
      </c>
      <c r="E128" s="352">
        <f>E127+E125+E124+E123+E121+E120</f>
        <v>3521.0453372941124</v>
      </c>
      <c r="F128" s="374">
        <f>SUM(F120:F127)</f>
        <v>1</v>
      </c>
      <c r="G128" s="369">
        <f>SUM(G120:G127)</f>
        <v>1</v>
      </c>
      <c r="H128" s="382">
        <f t="shared" si="7"/>
        <v>1</v>
      </c>
      <c r="I128" s="369">
        <f>E128/$E$128</f>
        <v>1</v>
      </c>
      <c r="J128" s="358"/>
      <c r="K128" s="169"/>
      <c r="L128" s="169"/>
      <c r="M128" s="169"/>
      <c r="N128" s="169"/>
      <c r="O128" s="169"/>
      <c r="P128" s="169"/>
      <c r="Q128" s="169"/>
      <c r="R128" s="169"/>
      <c r="S128" s="169"/>
      <c r="T128" s="169"/>
      <c r="U128" s="169"/>
    </row>
    <row r="129" spans="1:8" s="31" customFormat="1" ht="15.75" thickBot="1" x14ac:dyDescent="0.3">
      <c r="A129" s="163"/>
      <c r="B129" s="163"/>
      <c r="C129" s="163"/>
      <c r="D129" s="163"/>
      <c r="E129" s="353"/>
    </row>
    <row r="130" spans="1:8" ht="15.75" thickBot="1" x14ac:dyDescent="0.3">
      <c r="A130" s="163"/>
      <c r="B130" s="354" t="s">
        <v>1242</v>
      </c>
      <c r="C130" s="355"/>
      <c r="D130" s="355" t="s">
        <v>1242</v>
      </c>
      <c r="E130" s="356"/>
    </row>
    <row r="131" spans="1:8" x14ac:dyDescent="0.25">
      <c r="A131" s="169" t="s">
        <v>225</v>
      </c>
      <c r="B131" s="169">
        <f>C120/B120</f>
        <v>0.66579062636881292</v>
      </c>
      <c r="C131" s="169" t="s">
        <v>1243</v>
      </c>
      <c r="D131" s="169">
        <f>E120/D120</f>
        <v>0.6108263680380881</v>
      </c>
      <c r="E131" s="169" t="s">
        <v>1243</v>
      </c>
    </row>
    <row r="134" spans="1:8" x14ac:dyDescent="0.25">
      <c r="G134" s="37" t="s">
        <v>1049</v>
      </c>
      <c r="H134" s="37"/>
    </row>
    <row r="135" spans="1:8" x14ac:dyDescent="0.25">
      <c r="G135" s="89">
        <v>7</v>
      </c>
      <c r="H135" t="s">
        <v>1245</v>
      </c>
    </row>
    <row r="136" spans="1:8" x14ac:dyDescent="0.25">
      <c r="G136">
        <f>G135/(10*1.5)</f>
        <v>0.46666666666666667</v>
      </c>
      <c r="H136" t="s">
        <v>1246</v>
      </c>
    </row>
    <row r="137" spans="1:8" x14ac:dyDescent="0.25">
      <c r="G137">
        <f>'Indoor Inputs'!K94*'Indoor Inputs'!K45/'Indoor Inputs'!K8</f>
        <v>4.4732714795786732</v>
      </c>
    </row>
    <row r="143" spans="1:8" x14ac:dyDescent="0.25">
      <c r="F143" t="str">
        <f>'Indoor Inputs'!E42</f>
        <v>Auxilary Dehumidification Load</v>
      </c>
      <c r="G143" s="240">
        <f>'Indoor Inputs'!K42</f>
        <v>0</v>
      </c>
      <c r="H143" t="s">
        <v>548</v>
      </c>
    </row>
    <row r="144" spans="1:8" x14ac:dyDescent="0.25">
      <c r="F144" t="str">
        <f>'Indoor Inputs'!E31</f>
        <v>Simple Heating Load</v>
      </c>
      <c r="G144" s="32">
        <f>'Indoor Inputs'!K31</f>
        <v>1149596080.1667359</v>
      </c>
      <c r="H144" s="31" t="s">
        <v>548</v>
      </c>
    </row>
    <row r="145" spans="1:8" x14ac:dyDescent="0.25">
      <c r="A145" t="s">
        <v>1626</v>
      </c>
      <c r="B145" s="282" t="s">
        <v>1627</v>
      </c>
      <c r="F145" s="31" t="str">
        <f>'Indoor Inputs'!E30</f>
        <v>Simple Cooling Load</v>
      </c>
      <c r="G145" s="32">
        <f>'Indoor Inputs'!K30</f>
        <v>34124228.863033369</v>
      </c>
      <c r="H145" s="31" t="s">
        <v>548</v>
      </c>
    </row>
    <row r="146" spans="1:8" x14ac:dyDescent="0.25">
      <c r="F146" s="31" t="str">
        <f>'Indoor Inputs'!E36</f>
        <v>Heating and Humidification (Heating)</v>
      </c>
      <c r="G146" s="32">
        <f>'Indoor Inputs'!K36</f>
        <v>9374187282.8093834</v>
      </c>
      <c r="H146" s="31" t="s">
        <v>548</v>
      </c>
    </row>
    <row r="147" spans="1:8" x14ac:dyDescent="0.25">
      <c r="A147" t="s">
        <v>1628</v>
      </c>
      <c r="F147" s="31" t="str">
        <f>'Indoor Inputs'!E38</f>
        <v>Humidification</v>
      </c>
      <c r="G147" s="32">
        <f>'Indoor Inputs'!K38</f>
        <v>69978169.336790681</v>
      </c>
      <c r="H147" s="31" t="s">
        <v>548</v>
      </c>
    </row>
    <row r="148" spans="1:8" x14ac:dyDescent="0.25">
      <c r="A148" t="s">
        <v>1629</v>
      </c>
      <c r="B148" s="32">
        <f>D7*B6</f>
        <v>121355689.46646489</v>
      </c>
      <c r="C148" t="s">
        <v>526</v>
      </c>
      <c r="F148" s="31" t="str">
        <f>'Indoor Inputs'!E35</f>
        <v>Humidification and Cooling (NG)</v>
      </c>
      <c r="G148" s="32">
        <f>'Indoor Inputs'!K35</f>
        <v>131626204.46187283</v>
      </c>
      <c r="H148" s="31" t="s">
        <v>548</v>
      </c>
    </row>
    <row r="149" spans="1:8" x14ac:dyDescent="0.25">
      <c r="A149" t="s">
        <v>1630</v>
      </c>
      <c r="B149">
        <f>indoor_annual_bud_yield</f>
        <v>1684.5087961922623</v>
      </c>
      <c r="C149" t="s">
        <v>1520</v>
      </c>
      <c r="F149" s="31" t="str">
        <f>'Indoor Inputs'!E34</f>
        <v>Humidification and Cooling(Electric)</v>
      </c>
      <c r="G149" s="32">
        <f>'Indoor Inputs'!K34</f>
        <v>169934266.31821343</v>
      </c>
      <c r="H149" s="31" t="s">
        <v>548</v>
      </c>
    </row>
    <row r="150" spans="1:8" x14ac:dyDescent="0.25">
      <c r="B150">
        <f>B148/B149</f>
        <v>72042.182113137445</v>
      </c>
      <c r="C150" t="s">
        <v>1631</v>
      </c>
      <c r="F150" s="31" t="str">
        <f>'Indoor Inputs'!E32</f>
        <v>Dehumidification (Electric)</v>
      </c>
      <c r="G150" s="32">
        <f>'Indoor Inputs'!K32</f>
        <v>100024888.24296023</v>
      </c>
      <c r="H150" s="31" t="s">
        <v>548</v>
      </c>
    </row>
    <row r="151" spans="1:8" x14ac:dyDescent="0.25">
      <c r="B151">
        <f>B150/kg_to_lb</f>
        <v>32677.822986790219</v>
      </c>
      <c r="C151" t="s">
        <v>1632</v>
      </c>
      <c r="F151" s="31" t="str">
        <f>'Indoor Inputs'!E33</f>
        <v>Dehumidification Reheat (NG)</v>
      </c>
      <c r="G151" s="32">
        <f>'Indoor Inputs'!K33</f>
        <v>204287009.46393752</v>
      </c>
      <c r="H151" s="31" t="s">
        <v>548</v>
      </c>
    </row>
    <row r="152" spans="1:8" x14ac:dyDescent="0.25">
      <c r="B152" s="211">
        <f>B151/3000</f>
        <v>10.892607662263407</v>
      </c>
      <c r="C152" s="211" t="s">
        <v>1639</v>
      </c>
      <c r="F152" s="31" t="str">
        <f>'Indoor Inputs'!E39</f>
        <v>Electric Load from Lights</v>
      </c>
      <c r="G152" s="32">
        <f>'Indoor Inputs'!K39</f>
        <v>2307910251.849618</v>
      </c>
      <c r="H152" t="s">
        <v>548</v>
      </c>
    </row>
    <row r="153" spans="1:8" x14ac:dyDescent="0.25">
      <c r="F153" t="str">
        <f>'Indoor Inputs'!E40</f>
        <v>Water Heating Energy</v>
      </c>
      <c r="G153" s="32">
        <f>'Indoor Inputs'!K40</f>
        <v>5560322.2834840193</v>
      </c>
      <c r="H153" t="s">
        <v>548</v>
      </c>
    </row>
    <row r="154" spans="1:8" x14ac:dyDescent="0.25">
      <c r="A154" s="282" t="s">
        <v>1626</v>
      </c>
      <c r="B154" s="282" t="s">
        <v>257</v>
      </c>
      <c r="F154" t="str">
        <f>'Indoor Inputs'!E41</f>
        <v>Auxilary Air Conditioning</v>
      </c>
      <c r="G154" s="32">
        <f>'Indoor Inputs'!K41</f>
        <v>128858278.20035788</v>
      </c>
      <c r="H154" t="s">
        <v>548</v>
      </c>
    </row>
    <row r="155" spans="1:8" x14ac:dyDescent="0.25">
      <c r="A155" t="s">
        <v>1634</v>
      </c>
    </row>
    <row r="156" spans="1:8" x14ac:dyDescent="0.25">
      <c r="A156" t="s">
        <v>1633</v>
      </c>
      <c r="B156">
        <f>40000/60000</f>
        <v>0.66666666666666663</v>
      </c>
      <c r="C156" t="s">
        <v>1635</v>
      </c>
      <c r="F156" t="s">
        <v>1773</v>
      </c>
    </row>
    <row r="157" spans="1:8" x14ac:dyDescent="0.25">
      <c r="A157" t="s">
        <v>1636</v>
      </c>
      <c r="B157" s="32">
        <f>B148</f>
        <v>121355689.46646489</v>
      </c>
      <c r="C157" t="s">
        <v>526</v>
      </c>
      <c r="F157" t="s">
        <v>313</v>
      </c>
      <c r="G157" s="32">
        <f>G152</f>
        <v>2307910251.849618</v>
      </c>
    </row>
    <row r="158" spans="1:8" x14ac:dyDescent="0.25">
      <c r="B158">
        <f>'Indoor Inputs'!K6*m2_to_ft2</f>
        <v>14811.126399999999</v>
      </c>
      <c r="C158" t="s">
        <v>1637</v>
      </c>
      <c r="F158" t="s">
        <v>1774</v>
      </c>
      <c r="G158" s="32"/>
    </row>
    <row r="159" spans="1:8" x14ac:dyDescent="0.25">
      <c r="B159">
        <f>B157/B158</f>
        <v>8193.5489704864649</v>
      </c>
      <c r="C159" t="s">
        <v>378</v>
      </c>
      <c r="F159" t="s">
        <v>1775</v>
      </c>
      <c r="G159" s="32">
        <f>'Indoor Inputs'!K44+'Indoor Inputs'!K40</f>
        <v>9757064.253416067</v>
      </c>
    </row>
    <row r="160" spans="1:8" x14ac:dyDescent="0.25">
      <c r="B160">
        <f>B159*0.1/12</f>
        <v>68.279574754053883</v>
      </c>
      <c r="C160" t="s">
        <v>1638</v>
      </c>
      <c r="F160" t="s">
        <v>1776</v>
      </c>
      <c r="G160" s="240">
        <f>SUM(G143:G154)-G159-G158-G157</f>
        <v>11358419665.893349</v>
      </c>
    </row>
    <row r="161" spans="1:53" x14ac:dyDescent="0.25">
      <c r="B161" s="211">
        <f>B160/B156</f>
        <v>102.41936213108083</v>
      </c>
      <c r="C161" s="211" t="s">
        <v>1639</v>
      </c>
    </row>
    <row r="164" spans="1:53" x14ac:dyDescent="0.25">
      <c r="A164" t="s">
        <v>1772</v>
      </c>
      <c r="AV164" s="31" t="s">
        <v>1888</v>
      </c>
      <c r="AW164" s="31">
        <v>291257.98431460501</v>
      </c>
      <c r="AX164">
        <f>AW164/AW183</f>
        <v>1</v>
      </c>
      <c r="AY164" s="31">
        <v>291257.98431460501</v>
      </c>
      <c r="AZ164" s="31"/>
      <c r="BA164" s="31"/>
    </row>
    <row r="165" spans="1:53" x14ac:dyDescent="0.25">
      <c r="A165" t="s">
        <v>1780</v>
      </c>
      <c r="C165" t="s">
        <v>1784</v>
      </c>
      <c r="AV165" s="31" t="s">
        <v>1893</v>
      </c>
      <c r="AW165" s="31">
        <v>15585523.1989401</v>
      </c>
      <c r="AX165" s="31">
        <f t="shared" ref="AX165:AX178" si="8">AW165/AW184</f>
        <v>1</v>
      </c>
      <c r="AY165" s="31">
        <v>15585523.1989401</v>
      </c>
      <c r="BA165" s="31"/>
    </row>
    <row r="166" spans="1:53" x14ac:dyDescent="0.25">
      <c r="A166" t="s">
        <v>1781</v>
      </c>
      <c r="B166">
        <v>1256</v>
      </c>
      <c r="C166">
        <v>184</v>
      </c>
      <c r="AV166" s="31" t="s">
        <v>1890</v>
      </c>
      <c r="AW166" s="31">
        <v>46184.235183108198</v>
      </c>
      <c r="AX166" s="31">
        <f t="shared" si="8"/>
        <v>0.90855695484951249</v>
      </c>
      <c r="AY166" s="31">
        <v>46184.235183108198</v>
      </c>
      <c r="BA166" s="31"/>
    </row>
    <row r="167" spans="1:53" x14ac:dyDescent="0.25">
      <c r="A167" t="s">
        <v>1782</v>
      </c>
      <c r="B167">
        <v>1202</v>
      </c>
      <c r="C167">
        <v>564</v>
      </c>
      <c r="AV167" s="31" t="s">
        <v>1896</v>
      </c>
      <c r="AW167" s="31">
        <v>163012.94387904101</v>
      </c>
      <c r="AX167" s="31">
        <f t="shared" si="8"/>
        <v>0.89671285113500876</v>
      </c>
      <c r="AY167" s="31"/>
      <c r="AZ167" s="31"/>
      <c r="BA167" s="31"/>
    </row>
    <row r="168" spans="1:53" x14ac:dyDescent="0.25">
      <c r="A168" t="s">
        <v>1783</v>
      </c>
      <c r="B168">
        <v>1136</v>
      </c>
      <c r="C168">
        <v>564</v>
      </c>
      <c r="AV168" s="31" t="s">
        <v>1891</v>
      </c>
      <c r="AW168" s="31">
        <v>284290.972933663</v>
      </c>
      <c r="AX168" s="31">
        <f t="shared" si="8"/>
        <v>1</v>
      </c>
      <c r="AY168" s="31">
        <v>284290.972933663</v>
      </c>
      <c r="AZ168" s="31"/>
      <c r="BA168" s="31"/>
    </row>
    <row r="169" spans="1:53" x14ac:dyDescent="0.25">
      <c r="A169" t="s">
        <v>1786</v>
      </c>
      <c r="B169">
        <v>1202</v>
      </c>
      <c r="C169">
        <v>564</v>
      </c>
      <c r="AV169" s="31" t="s">
        <v>1892</v>
      </c>
      <c r="AW169" s="31">
        <v>221344.46384374701</v>
      </c>
      <c r="AX169" s="31">
        <f t="shared" si="8"/>
        <v>1</v>
      </c>
      <c r="AY169" s="31">
        <v>221344.46384374701</v>
      </c>
      <c r="BA169" s="31"/>
    </row>
    <row r="170" spans="1:53" x14ac:dyDescent="0.25">
      <c r="A170" s="37" t="s">
        <v>1785</v>
      </c>
      <c r="B170" s="459">
        <f>(G143+G145+G149+G150+G152+G153+G154)/kW_to_W/indoor_annual_bud_yield/kg_to_lb</f>
        <v>739.53494297145573</v>
      </c>
      <c r="C170" s="459">
        <f>'Indoor Inputs'!K45/indoor_annual_bud_yield/kg_to_lb</f>
        <v>301.44003908505317</v>
      </c>
      <c r="AV170" s="31" t="s">
        <v>1894</v>
      </c>
      <c r="AW170" s="32">
        <v>28073315.113095298</v>
      </c>
      <c r="AX170" s="31">
        <f t="shared" si="8"/>
        <v>1</v>
      </c>
      <c r="AZ170" s="31"/>
      <c r="BA170" s="31"/>
    </row>
    <row r="171" spans="1:53" x14ac:dyDescent="0.25">
      <c r="AV171" s="31" t="s">
        <v>1895</v>
      </c>
      <c r="AW171" s="31">
        <v>137661.70356556299</v>
      </c>
      <c r="AX171" s="31">
        <f t="shared" si="8"/>
        <v>1</v>
      </c>
      <c r="BA171" s="31"/>
    </row>
    <row r="172" spans="1:53" x14ac:dyDescent="0.25">
      <c r="AV172" s="31" t="s">
        <v>1898</v>
      </c>
      <c r="AW172" s="31">
        <v>58706020.724312797</v>
      </c>
      <c r="AX172" s="31">
        <f t="shared" si="8"/>
        <v>1</v>
      </c>
      <c r="BA172" s="31"/>
    </row>
    <row r="173" spans="1:53" x14ac:dyDescent="0.25">
      <c r="AV173" s="31" t="s">
        <v>1900</v>
      </c>
      <c r="AW173" s="31">
        <v>765286.23831580405</v>
      </c>
      <c r="AX173" s="31">
        <f t="shared" si="8"/>
        <v>1</v>
      </c>
      <c r="BA173" s="31"/>
    </row>
    <row r="174" spans="1:53" x14ac:dyDescent="0.25">
      <c r="AV174" s="31" t="s">
        <v>1899</v>
      </c>
      <c r="AW174" s="31">
        <v>13915156.393524</v>
      </c>
      <c r="AX174" s="31">
        <f t="shared" si="8"/>
        <v>1</v>
      </c>
      <c r="BA174" s="31"/>
    </row>
    <row r="175" spans="1:53" x14ac:dyDescent="0.25">
      <c r="AV175" s="31" t="s">
        <v>1901</v>
      </c>
      <c r="AW175">
        <v>0</v>
      </c>
      <c r="AX175" s="31" t="e">
        <f t="shared" si="8"/>
        <v>#DIV/0!</v>
      </c>
    </row>
    <row r="176" spans="1:53" x14ac:dyDescent="0.25">
      <c r="AV176" s="31" t="s">
        <v>1902</v>
      </c>
      <c r="AW176" s="31">
        <v>0</v>
      </c>
      <c r="AX176" s="31" t="e">
        <f t="shared" si="8"/>
        <v>#DIV/0!</v>
      </c>
    </row>
    <row r="177" spans="1:58" x14ac:dyDescent="0.25">
      <c r="AV177" s="31" t="s">
        <v>1903</v>
      </c>
      <c r="AW177" s="31">
        <v>154074.90288592601</v>
      </c>
      <c r="AX177" s="31">
        <f t="shared" si="8"/>
        <v>1</v>
      </c>
      <c r="BA177" s="31"/>
    </row>
    <row r="178" spans="1:58" x14ac:dyDescent="0.25">
      <c r="AV178" s="31" t="s">
        <v>1904</v>
      </c>
      <c r="AW178" s="31">
        <v>412.08473753062901</v>
      </c>
      <c r="AX178" s="31">
        <f t="shared" si="8"/>
        <v>1</v>
      </c>
      <c r="BA178" s="31"/>
    </row>
    <row r="179" spans="1:58" x14ac:dyDescent="0.25">
      <c r="AW179" s="31"/>
      <c r="AX179" s="31"/>
    </row>
    <row r="180" spans="1:58" x14ac:dyDescent="0.25">
      <c r="AW180" s="31"/>
      <c r="AX180" s="31"/>
    </row>
    <row r="181" spans="1:58" x14ac:dyDescent="0.25">
      <c r="A181" s="335" t="s">
        <v>1932</v>
      </c>
      <c r="B181" s="335"/>
      <c r="L181" s="465" t="s">
        <v>1933</v>
      </c>
      <c r="M181" s="335"/>
      <c r="X181" s="465" t="s">
        <v>1934</v>
      </c>
      <c r="Y181" s="335"/>
      <c r="Z181" s="31"/>
      <c r="AA181" s="31"/>
      <c r="AB181" s="31"/>
      <c r="AC181" s="31"/>
      <c r="AD181" s="31"/>
      <c r="AE181" s="31"/>
      <c r="AF181" s="31"/>
      <c r="AG181" s="31"/>
      <c r="AI181" s="37"/>
      <c r="AJ181" s="465" t="s">
        <v>1930</v>
      </c>
      <c r="AK181" s="335"/>
      <c r="AL181" s="31"/>
      <c r="AM181" s="31"/>
      <c r="AN181" s="31"/>
      <c r="AO181" s="31"/>
      <c r="AP181" s="31"/>
      <c r="AQ181" s="31"/>
      <c r="AR181" s="31"/>
      <c r="AS181" s="31"/>
      <c r="AT181" s="31"/>
      <c r="AV181" s="465" t="s">
        <v>2054</v>
      </c>
      <c r="AW181" s="335"/>
      <c r="AX181" s="31"/>
      <c r="AY181" s="31"/>
      <c r="AZ181" s="31"/>
      <c r="BA181" s="31"/>
      <c r="BB181" s="31"/>
      <c r="BC181" s="31"/>
      <c r="BD181" s="31"/>
      <c r="BE181" s="31"/>
      <c r="BF181" s="31"/>
    </row>
    <row r="182" spans="1:58" x14ac:dyDescent="0.25">
      <c r="A182" t="s">
        <v>1887</v>
      </c>
      <c r="B182" t="s">
        <v>835</v>
      </c>
      <c r="C182" t="s">
        <v>893</v>
      </c>
      <c r="D182" t="s">
        <v>77</v>
      </c>
      <c r="E182" t="s">
        <v>1889</v>
      </c>
      <c r="F182" t="s">
        <v>1897</v>
      </c>
      <c r="G182" t="s">
        <v>1906</v>
      </c>
      <c r="L182" s="31" t="s">
        <v>1887</v>
      </c>
      <c r="M182" s="31" t="s">
        <v>835</v>
      </c>
      <c r="N182" s="31" t="s">
        <v>893</v>
      </c>
      <c r="O182" s="31" t="s">
        <v>77</v>
      </c>
      <c r="P182" s="31" t="s">
        <v>1889</v>
      </c>
      <c r="Q182" s="31" t="s">
        <v>1897</v>
      </c>
      <c r="R182" s="31" t="s">
        <v>1906</v>
      </c>
      <c r="S182" s="31"/>
      <c r="T182" s="31"/>
      <c r="U182" s="31"/>
      <c r="X182" s="31" t="s">
        <v>1887</v>
      </c>
      <c r="Y182" s="31" t="s">
        <v>835</v>
      </c>
      <c r="Z182" s="31" t="s">
        <v>893</v>
      </c>
      <c r="AA182" s="31" t="s">
        <v>77</v>
      </c>
      <c r="AB182" s="31" t="s">
        <v>1889</v>
      </c>
      <c r="AC182" s="31" t="s">
        <v>1897</v>
      </c>
      <c r="AD182" s="31" t="s">
        <v>1906</v>
      </c>
      <c r="AE182" s="31"/>
      <c r="AF182" s="31"/>
      <c r="AG182" s="31"/>
      <c r="AJ182" s="31" t="s">
        <v>1887</v>
      </c>
      <c r="AK182" s="31" t="s">
        <v>835</v>
      </c>
      <c r="AL182" s="31" t="s">
        <v>893</v>
      </c>
      <c r="AM182" s="31" t="s">
        <v>77</v>
      </c>
      <c r="AN182" s="31" t="s">
        <v>1889</v>
      </c>
      <c r="AO182" s="31" t="s">
        <v>1897</v>
      </c>
      <c r="AP182" s="31" t="s">
        <v>1906</v>
      </c>
      <c r="AQ182" s="31"/>
      <c r="AR182" s="31"/>
      <c r="AV182" s="31" t="s">
        <v>1887</v>
      </c>
      <c r="AW182" s="31" t="s">
        <v>835</v>
      </c>
      <c r="AX182" s="31" t="s">
        <v>893</v>
      </c>
      <c r="AY182" s="31" t="s">
        <v>77</v>
      </c>
      <c r="AZ182" s="31" t="s">
        <v>1889</v>
      </c>
      <c r="BA182" s="31" t="s">
        <v>1897</v>
      </c>
      <c r="BB182" s="31" t="s">
        <v>1906</v>
      </c>
      <c r="BC182" s="31"/>
      <c r="BD182" s="31"/>
      <c r="BE182" s="31"/>
      <c r="BF182" s="31"/>
    </row>
    <row r="183" spans="1:58" x14ac:dyDescent="0.25">
      <c r="A183" t="s">
        <v>1888</v>
      </c>
      <c r="B183" s="31">
        <v>59100.592303141602</v>
      </c>
      <c r="C183" s="31">
        <v>3353429.8133346802</v>
      </c>
      <c r="D183" s="31">
        <v>4549444.6736539798</v>
      </c>
      <c r="E183" s="31">
        <v>424427.01994312898</v>
      </c>
      <c r="F183" t="s">
        <v>379</v>
      </c>
      <c r="G183">
        <f>SUM(B183:E183)</f>
        <v>8386402.0992349312</v>
      </c>
      <c r="L183" s="31" t="s">
        <v>1888</v>
      </c>
      <c r="M183" s="31">
        <v>59100.592303141602</v>
      </c>
      <c r="N183" s="31">
        <v>3353429.8133346802</v>
      </c>
      <c r="O183" s="31">
        <v>4549444.6736539798</v>
      </c>
      <c r="P183" s="31">
        <v>424427.01994312898</v>
      </c>
      <c r="Q183" s="31" t="s">
        <v>379</v>
      </c>
      <c r="R183" s="31">
        <f>SUM(M183:P183)</f>
        <v>8386402.0992349312</v>
      </c>
      <c r="S183" s="31"/>
      <c r="T183" s="31"/>
      <c r="U183" s="31"/>
      <c r="X183" s="31" t="s">
        <v>1888</v>
      </c>
      <c r="Y183" s="31">
        <v>1545621.4892182101</v>
      </c>
      <c r="Z183" s="31">
        <v>27756896.440591499</v>
      </c>
      <c r="AA183" s="31">
        <v>82215409.780392095</v>
      </c>
      <c r="AB183" s="31">
        <v>1674092.40618307</v>
      </c>
      <c r="AC183" s="31" t="s">
        <v>379</v>
      </c>
      <c r="AD183" s="31">
        <f>SUM(Y183:AB183)</f>
        <v>113192020.11638486</v>
      </c>
      <c r="AE183" s="31"/>
      <c r="AF183" s="31"/>
      <c r="AG183" s="31"/>
      <c r="AJ183" s="31" t="s">
        <v>1888</v>
      </c>
      <c r="AK183" s="31">
        <v>177301.77690942501</v>
      </c>
      <c r="AL183" s="31">
        <v>8850755.0759361908</v>
      </c>
      <c r="AM183" s="31">
        <v>13648334.020961899</v>
      </c>
      <c r="AN183" s="31">
        <v>1273281.0598293899</v>
      </c>
      <c r="AO183" s="31" t="s">
        <v>379</v>
      </c>
      <c r="AP183" s="31">
        <f>SUM(AK183:AN183)</f>
        <v>23949671.933636907</v>
      </c>
      <c r="AQ183" s="31"/>
      <c r="AR183" s="31"/>
      <c r="AV183" s="31" t="s">
        <v>1888</v>
      </c>
      <c r="AW183" s="31">
        <v>291257.98431460501</v>
      </c>
      <c r="AX183" s="31">
        <v>1042764.32600098</v>
      </c>
      <c r="AY183" s="31">
        <v>1255827.2864813099</v>
      </c>
      <c r="AZ183" s="31">
        <v>822690.30428371194</v>
      </c>
      <c r="BA183" s="31" t="s">
        <v>379</v>
      </c>
      <c r="BB183" s="31">
        <f>SUM(AW183:AZ183)</f>
        <v>3412539.901080607</v>
      </c>
      <c r="BC183" s="31"/>
      <c r="BD183" s="31"/>
      <c r="BE183" s="31">
        <f>SUM(AW184:AZ184)+SUM(AW186:AZ186)+SUM(AW188:AZ188)+SUM(AW189:AZ189)+SUM(AW190:AZ190)</f>
        <v>1640271511.670162</v>
      </c>
      <c r="BF183" s="31" t="s">
        <v>1001</v>
      </c>
    </row>
    <row r="184" spans="1:58" x14ac:dyDescent="0.25">
      <c r="A184" t="s">
        <v>1893</v>
      </c>
      <c r="B184" s="31">
        <v>52356186.9616993</v>
      </c>
      <c r="C184" s="31">
        <v>524390256.16261399</v>
      </c>
      <c r="D184" s="31">
        <v>97818414.732580706</v>
      </c>
      <c r="E184" s="31">
        <v>143574124.47687501</v>
      </c>
      <c r="F184" t="s">
        <v>1034</v>
      </c>
      <c r="L184" s="31" t="s">
        <v>1893</v>
      </c>
      <c r="M184" s="31">
        <v>52356186.9616993</v>
      </c>
      <c r="N184" s="31">
        <v>524390256.16261399</v>
      </c>
      <c r="O184" s="31">
        <v>97818414.732580706</v>
      </c>
      <c r="P184" s="31">
        <v>143574124.47687501</v>
      </c>
      <c r="Q184" s="31" t="s">
        <v>1034</v>
      </c>
      <c r="R184" s="31"/>
      <c r="S184" s="31"/>
      <c r="T184" s="31"/>
      <c r="U184" s="31"/>
      <c r="X184" s="31" t="s">
        <v>1893</v>
      </c>
      <c r="Y184" s="31">
        <v>157066196.88509801</v>
      </c>
      <c r="Z184" s="31">
        <v>1573167544.4878399</v>
      </c>
      <c r="AA184" s="31">
        <v>293454972.19774199</v>
      </c>
      <c r="AB184" s="31">
        <v>430719485.43062901</v>
      </c>
      <c r="AC184" s="31" t="s">
        <v>1034</v>
      </c>
      <c r="AD184" s="31"/>
      <c r="AE184" s="31"/>
      <c r="AF184" s="31"/>
      <c r="AG184" s="31"/>
      <c r="AJ184" s="31" t="s">
        <v>1893</v>
      </c>
      <c r="AK184" s="31">
        <v>157066196.88509801</v>
      </c>
      <c r="AL184" s="31">
        <v>315276277.21054101</v>
      </c>
      <c r="AM184" s="31">
        <v>293454972.19774199</v>
      </c>
      <c r="AN184" s="31">
        <v>430719485.43062901</v>
      </c>
      <c r="AO184" s="31" t="s">
        <v>1034</v>
      </c>
      <c r="AP184" s="31"/>
      <c r="AQ184" s="31"/>
      <c r="AR184" s="31"/>
      <c r="AV184" s="31" t="s">
        <v>1893</v>
      </c>
      <c r="AW184" s="31">
        <v>15585523.1989401</v>
      </c>
      <c r="AX184" s="31">
        <v>30169118.2604337</v>
      </c>
      <c r="AY184" s="31">
        <v>26303710.095117498</v>
      </c>
      <c r="AZ184" s="31">
        <v>42903752.992150702</v>
      </c>
      <c r="BA184" s="31" t="s">
        <v>1034</v>
      </c>
      <c r="BB184" s="31"/>
      <c r="BC184" s="31"/>
      <c r="BD184" s="31"/>
      <c r="BE184" s="31">
        <f>BTU_per_hour_to_W</f>
        <v>3.4119999999999999</v>
      </c>
      <c r="BF184" s="31" t="s">
        <v>2053</v>
      </c>
    </row>
    <row r="185" spans="1:58" x14ac:dyDescent="0.25">
      <c r="A185" t="s">
        <v>1890</v>
      </c>
      <c r="B185" s="31">
        <v>169441.717207326</v>
      </c>
      <c r="C185" s="31">
        <v>16797043.356517699</v>
      </c>
      <c r="D185" s="31">
        <v>14721121.8682821</v>
      </c>
      <c r="E185" s="31">
        <v>897968.43156219297</v>
      </c>
      <c r="F185" t="s">
        <v>379</v>
      </c>
      <c r="G185">
        <f>SUM(B185:E185)</f>
        <v>32585575.373569317</v>
      </c>
      <c r="L185" s="31" t="s">
        <v>1890</v>
      </c>
      <c r="M185" s="31">
        <v>169441.717207326</v>
      </c>
      <c r="N185" s="31">
        <v>16797043.356517699</v>
      </c>
      <c r="O185" s="31">
        <v>14721121.8682821</v>
      </c>
      <c r="P185" s="31">
        <v>897968.43156219297</v>
      </c>
      <c r="Q185" s="31" t="s">
        <v>379</v>
      </c>
      <c r="R185" s="31">
        <f>SUM(M185:P185)</f>
        <v>32585575.373569317</v>
      </c>
      <c r="S185" s="31"/>
      <c r="T185" s="31"/>
      <c r="U185" s="31"/>
      <c r="X185" s="31" t="s">
        <v>1890</v>
      </c>
      <c r="Y185" s="31">
        <v>508325.15162197902</v>
      </c>
      <c r="Z185" s="31">
        <v>50391130.069553003</v>
      </c>
      <c r="AA185" s="31">
        <v>44163365.604846403</v>
      </c>
      <c r="AB185" s="31">
        <v>2693905.2946865801</v>
      </c>
      <c r="AC185" s="31" t="s">
        <v>379</v>
      </c>
      <c r="AD185" s="31">
        <f>SUM(Y185:AB185)</f>
        <v>97756726.120707974</v>
      </c>
      <c r="AE185" s="31"/>
      <c r="AF185" s="31"/>
      <c r="AG185" s="31"/>
      <c r="AJ185" s="31" t="s">
        <v>1890</v>
      </c>
      <c r="AK185" s="31">
        <v>508325.15162197902</v>
      </c>
      <c r="AL185" s="31">
        <v>50391130.069553003</v>
      </c>
      <c r="AM185" s="31">
        <v>44163365.604846403</v>
      </c>
      <c r="AN185" s="31">
        <v>2693905.2946865801</v>
      </c>
      <c r="AO185" s="31" t="s">
        <v>379</v>
      </c>
      <c r="AP185" s="31">
        <f>SUM(AK185:AN185)</f>
        <v>97756726.120707974</v>
      </c>
      <c r="AQ185" s="31"/>
      <c r="AR185" s="31"/>
      <c r="AV185" s="31" t="s">
        <v>1890</v>
      </c>
      <c r="AW185" s="31">
        <v>50832.515162197902</v>
      </c>
      <c r="AX185" s="31">
        <v>5039113.0069553005</v>
      </c>
      <c r="AY185" s="31">
        <v>4416336.5604846403</v>
      </c>
      <c r="AZ185" s="31">
        <v>506848.960843126</v>
      </c>
      <c r="BA185" s="31" t="s">
        <v>379</v>
      </c>
      <c r="BB185" s="31">
        <f>SUM(AW185:AZ185)</f>
        <v>10013131.043445265</v>
      </c>
      <c r="BC185" s="31"/>
      <c r="BD185" s="31"/>
      <c r="BE185" s="31">
        <f>BE183*BTU_per_hour_to_W</f>
        <v>5596606397.8185921</v>
      </c>
      <c r="BF185" s="31" t="s">
        <v>1962</v>
      </c>
    </row>
    <row r="186" spans="1:58" x14ac:dyDescent="0.25">
      <c r="A186" t="s">
        <v>1896</v>
      </c>
      <c r="B186" s="31">
        <v>185822.42739774601</v>
      </c>
      <c r="C186" s="31">
        <v>37542141.482034802</v>
      </c>
      <c r="D186" s="31">
        <v>35247753.898643799</v>
      </c>
      <c r="E186" s="31">
        <v>1823827.0766638201</v>
      </c>
      <c r="F186" t="s">
        <v>1034</v>
      </c>
      <c r="L186" s="31" t="s">
        <v>1896</v>
      </c>
      <c r="M186" s="31">
        <v>185822.42739774601</v>
      </c>
      <c r="N186" s="31">
        <v>37542141.482034802</v>
      </c>
      <c r="O186" s="31">
        <v>35247753.898643799</v>
      </c>
      <c r="P186" s="31">
        <v>1823827.0766638201</v>
      </c>
      <c r="Q186" s="31" t="s">
        <v>1034</v>
      </c>
      <c r="R186" s="31"/>
      <c r="S186" s="31"/>
      <c r="T186" s="31"/>
      <c r="U186" s="31"/>
      <c r="X186" s="31" t="s">
        <v>1896</v>
      </c>
      <c r="Y186" s="31">
        <v>557467.28219323896</v>
      </c>
      <c r="Z186" s="31">
        <v>112626424.446104</v>
      </c>
      <c r="AA186" s="31">
        <v>105743261.695931</v>
      </c>
      <c r="AB186" s="31">
        <v>5471481.2299914602</v>
      </c>
      <c r="AC186" s="31" t="s">
        <v>1034</v>
      </c>
      <c r="AD186" s="31"/>
      <c r="AE186" s="31"/>
      <c r="AF186" s="31"/>
      <c r="AG186" s="31"/>
      <c r="AJ186" s="31" t="s">
        <v>1896</v>
      </c>
      <c r="AK186" s="31">
        <v>557467.28219323896</v>
      </c>
      <c r="AL186" s="31">
        <v>112626424.446104</v>
      </c>
      <c r="AM186" s="31">
        <v>105743261.695931</v>
      </c>
      <c r="AN186" s="31">
        <v>5471481.2299914602</v>
      </c>
      <c r="AO186" s="31" t="s">
        <v>1034</v>
      </c>
      <c r="AP186" s="31"/>
      <c r="AQ186" s="31"/>
      <c r="AR186" s="31"/>
      <c r="AV186" s="31" t="s">
        <v>1896</v>
      </c>
      <c r="AW186" s="31">
        <v>181789.45876900101</v>
      </c>
      <c r="AX186" s="31">
        <v>18320548.521097898</v>
      </c>
      <c r="AY186" s="31">
        <v>17558525.053261399</v>
      </c>
      <c r="AZ186" s="31">
        <v>1894831.1401005699</v>
      </c>
      <c r="BA186" s="31" t="s">
        <v>1034</v>
      </c>
      <c r="BB186" s="31"/>
      <c r="BC186" s="31"/>
      <c r="BD186" s="31"/>
      <c r="BE186" s="31">
        <f>BE185/1000000*3</f>
        <v>16789.819193455776</v>
      </c>
      <c r="BF186" s="31" t="s">
        <v>2052</v>
      </c>
    </row>
    <row r="187" spans="1:58" x14ac:dyDescent="0.25">
      <c r="A187" t="s">
        <v>1891</v>
      </c>
      <c r="B187" s="31">
        <v>515207.16307273798</v>
      </c>
      <c r="C187" s="31">
        <v>9252298.8135304395</v>
      </c>
      <c r="D187" s="31">
        <v>27405136.593463998</v>
      </c>
      <c r="E187" s="31">
        <v>558030.80206102401</v>
      </c>
      <c r="F187" t="s">
        <v>379</v>
      </c>
      <c r="G187">
        <f>SUM(B187:E187)</f>
        <v>37730673.372128196</v>
      </c>
      <c r="L187" s="31" t="s">
        <v>1891</v>
      </c>
      <c r="M187" s="31">
        <v>515207.16307273798</v>
      </c>
      <c r="N187" s="31">
        <v>9252298.8135304395</v>
      </c>
      <c r="O187" s="31">
        <v>27405136.593463998</v>
      </c>
      <c r="P187" s="31">
        <v>558030.80206102401</v>
      </c>
      <c r="Q187" s="31" t="s">
        <v>379</v>
      </c>
      <c r="R187" s="31">
        <f>SUM(M187:P187)</f>
        <v>37730673.372128196</v>
      </c>
      <c r="S187" s="31"/>
      <c r="T187" s="31"/>
      <c r="U187" s="31"/>
      <c r="X187" s="31" t="s">
        <v>1891</v>
      </c>
      <c r="Y187" s="31">
        <v>1545621.4892182101</v>
      </c>
      <c r="Z187" s="31">
        <v>27756896.440591499</v>
      </c>
      <c r="AA187" s="31">
        <v>82215409.780392095</v>
      </c>
      <c r="AB187" s="31">
        <v>1674092.40618307</v>
      </c>
      <c r="AC187" s="31" t="s">
        <v>379</v>
      </c>
      <c r="AD187" s="31">
        <f>SUM(Y187:AB187)</f>
        <v>113192020.11638486</v>
      </c>
      <c r="AE187" s="31"/>
      <c r="AF187" s="31"/>
      <c r="AG187" s="31"/>
      <c r="AJ187" s="31" t="s">
        <v>1891</v>
      </c>
      <c r="AK187" s="31">
        <v>1545621.4892182101</v>
      </c>
      <c r="AL187" s="31">
        <v>27756896.440591499</v>
      </c>
      <c r="AM187" s="31">
        <v>82215409.780392095</v>
      </c>
      <c r="AN187" s="31">
        <v>1674092.40618307</v>
      </c>
      <c r="AO187" s="31" t="s">
        <v>379</v>
      </c>
      <c r="AP187" s="31">
        <f>SUM(AK187:AN187)</f>
        <v>113192020.11638486</v>
      </c>
      <c r="AQ187" s="31"/>
      <c r="AR187" s="31"/>
      <c r="AV187" s="31" t="s">
        <v>1891</v>
      </c>
      <c r="AW187" s="31">
        <v>284290.972933663</v>
      </c>
      <c r="AX187" s="31">
        <v>3981625.0430751499</v>
      </c>
      <c r="AY187" s="31">
        <v>12542313.4393795</v>
      </c>
      <c r="AZ187" s="31">
        <v>219368.95896376099</v>
      </c>
      <c r="BA187" s="31" t="s">
        <v>379</v>
      </c>
      <c r="BB187" s="31">
        <f>SUM(AW187:AZ187)</f>
        <v>17027598.414352074</v>
      </c>
      <c r="BC187" s="31"/>
      <c r="BD187" s="31"/>
      <c r="BE187" s="31">
        <f>14811</f>
        <v>14811</v>
      </c>
      <c r="BF187" s="31" t="s">
        <v>159</v>
      </c>
    </row>
    <row r="188" spans="1:58" x14ac:dyDescent="0.25">
      <c r="A188" t="s">
        <v>1892</v>
      </c>
      <c r="B188" s="31">
        <v>2136447.5990663399</v>
      </c>
      <c r="C188" s="31">
        <v>18564558.481569801</v>
      </c>
      <c r="D188" s="31">
        <v>64844874.759486899</v>
      </c>
      <c r="E188" s="31">
        <v>959437.54159247398</v>
      </c>
      <c r="F188" t="s">
        <v>1034</v>
      </c>
      <c r="L188" s="31" t="s">
        <v>1892</v>
      </c>
      <c r="M188" s="31">
        <v>2136447.5990663399</v>
      </c>
      <c r="N188" s="31">
        <v>18564558.481569801</v>
      </c>
      <c r="O188" s="31">
        <v>64844874.759486899</v>
      </c>
      <c r="P188" s="31">
        <v>959437.54159247398</v>
      </c>
      <c r="Q188" s="31" t="s">
        <v>1034</v>
      </c>
      <c r="R188" s="31"/>
      <c r="S188" s="31"/>
      <c r="T188" s="31"/>
      <c r="U188" s="31"/>
      <c r="X188" s="31" t="s">
        <v>1892</v>
      </c>
      <c r="Y188" s="31">
        <v>6409342.7971990202</v>
      </c>
      <c r="Z188" s="31">
        <v>55693675.444709398</v>
      </c>
      <c r="AA188" s="31">
        <v>194534624.27846101</v>
      </c>
      <c r="AB188" s="31">
        <v>2878312.62477742</v>
      </c>
      <c r="AC188" s="31" t="s">
        <v>1034</v>
      </c>
      <c r="AD188" s="31"/>
      <c r="AE188" s="31"/>
      <c r="AF188" s="31"/>
      <c r="AG188" s="31"/>
      <c r="AJ188" s="31" t="s">
        <v>1892</v>
      </c>
      <c r="AK188" s="31">
        <v>6409342.7971990202</v>
      </c>
      <c r="AL188" s="31">
        <v>55693675.444709398</v>
      </c>
      <c r="AM188" s="31">
        <v>194534624.27846101</v>
      </c>
      <c r="AN188" s="31">
        <v>2878312.62477742</v>
      </c>
      <c r="AO188" s="31" t="s">
        <v>1034</v>
      </c>
      <c r="AP188" s="31"/>
      <c r="AQ188" s="31"/>
      <c r="AR188" s="31"/>
      <c r="AV188" s="31" t="s">
        <v>1892</v>
      </c>
      <c r="AW188" s="31">
        <v>221344.46384374701</v>
      </c>
      <c r="AX188" s="31">
        <v>2760924.87162404</v>
      </c>
      <c r="AY188" s="31">
        <v>10149310.6211411</v>
      </c>
      <c r="AZ188" s="31">
        <v>62904.322663892097</v>
      </c>
      <c r="BA188" s="31" t="s">
        <v>1034</v>
      </c>
      <c r="BB188" s="31"/>
      <c r="BC188" s="31"/>
      <c r="BD188" s="31"/>
      <c r="BE188" s="31">
        <f>BE186/BE187</f>
        <v>1.1336046987681978</v>
      </c>
      <c r="BF188" s="31" t="s">
        <v>1635</v>
      </c>
    </row>
    <row r="189" spans="1:58" x14ac:dyDescent="0.25">
      <c r="A189" t="s">
        <v>1894</v>
      </c>
      <c r="B189" s="31">
        <v>63119778.418212801</v>
      </c>
      <c r="C189" s="31">
        <v>571468183.36441803</v>
      </c>
      <c r="D189" s="31">
        <v>2512740778.8051701</v>
      </c>
      <c r="E189" s="31">
        <v>92940155.938137293</v>
      </c>
      <c r="F189" t="s">
        <v>1034</v>
      </c>
      <c r="L189" s="31" t="s">
        <v>1894</v>
      </c>
      <c r="M189" s="31">
        <v>63119778.418212801</v>
      </c>
      <c r="N189" s="31">
        <v>571468183.36441803</v>
      </c>
      <c r="O189" s="31">
        <v>2512740778.8051701</v>
      </c>
      <c r="P189" s="31">
        <v>92940155.938137293</v>
      </c>
      <c r="Q189" s="31" t="s">
        <v>1034</v>
      </c>
      <c r="R189" s="31"/>
      <c r="S189" s="31"/>
      <c r="T189" s="31"/>
      <c r="U189" s="31"/>
      <c r="X189" s="31" t="s">
        <v>1894</v>
      </c>
      <c r="Y189" s="31">
        <v>189359335.254639</v>
      </c>
      <c r="Z189" s="31">
        <v>1714404550.09326</v>
      </c>
      <c r="AA189" s="31">
        <v>7538222336.4155197</v>
      </c>
      <c r="AB189" s="31">
        <v>278820467.814412</v>
      </c>
      <c r="AC189" s="31" t="s">
        <v>1034</v>
      </c>
      <c r="AD189" s="31"/>
      <c r="AE189" s="31"/>
      <c r="AF189" s="31"/>
      <c r="AG189" s="31"/>
      <c r="AJ189" s="31" t="s">
        <v>1894</v>
      </c>
      <c r="AK189" s="31">
        <v>189359335.254639</v>
      </c>
      <c r="AL189" s="31">
        <v>1714404550.09326</v>
      </c>
      <c r="AM189" s="31">
        <v>7538222336.4155197</v>
      </c>
      <c r="AN189" s="31">
        <v>278820467.814412</v>
      </c>
      <c r="AO189" s="31" t="s">
        <v>1034</v>
      </c>
      <c r="AP189" s="31"/>
      <c r="AQ189" s="31"/>
      <c r="AR189" s="31"/>
      <c r="AV189" s="31" t="s">
        <v>1894</v>
      </c>
      <c r="AW189" s="31">
        <v>28073315.113095298</v>
      </c>
      <c r="AX189" s="31">
        <v>242666606.03051001</v>
      </c>
      <c r="AY189" s="31">
        <v>1165019139.3125401</v>
      </c>
      <c r="AZ189" s="31">
        <v>31385396.699277401</v>
      </c>
      <c r="BA189" s="31" t="s">
        <v>1034</v>
      </c>
      <c r="BB189" s="31"/>
      <c r="BC189" s="31"/>
      <c r="BD189" s="31"/>
      <c r="BE189" s="31">
        <f>1.7</f>
        <v>1.7</v>
      </c>
      <c r="BF189" s="31"/>
    </row>
    <row r="190" spans="1:58" x14ac:dyDescent="0.25">
      <c r="A190" t="s">
        <v>1895</v>
      </c>
      <c r="B190" s="31">
        <v>1297235.2858851601</v>
      </c>
      <c r="C190" s="31">
        <v>8579681.3989907093</v>
      </c>
      <c r="D190" s="31">
        <v>33273126.027866099</v>
      </c>
      <c r="E190" s="31">
        <v>276400.53858033603</v>
      </c>
      <c r="F190" t="s">
        <v>1034</v>
      </c>
      <c r="L190" s="31" t="s">
        <v>1895</v>
      </c>
      <c r="M190" s="31">
        <v>1297235.2858851601</v>
      </c>
      <c r="N190" s="31">
        <v>8579681.3989907093</v>
      </c>
      <c r="O190" s="31">
        <v>33273126.027866099</v>
      </c>
      <c r="P190" s="31">
        <v>276400.53858033603</v>
      </c>
      <c r="Q190" s="31" t="s">
        <v>1034</v>
      </c>
      <c r="R190" s="31"/>
      <c r="S190" s="31"/>
      <c r="T190" s="31"/>
      <c r="U190" s="31"/>
      <c r="X190" s="31" t="s">
        <v>1895</v>
      </c>
      <c r="Y190" s="31">
        <v>3891705.8576554898</v>
      </c>
      <c r="Z190" s="31">
        <v>25739044.196972098</v>
      </c>
      <c r="AA190" s="31">
        <v>99819378.083598301</v>
      </c>
      <c r="AB190" s="31">
        <v>829201.61574100901</v>
      </c>
      <c r="AC190" s="31" t="s">
        <v>1034</v>
      </c>
      <c r="AD190" s="31"/>
      <c r="AE190" s="31"/>
      <c r="AF190" s="31"/>
      <c r="AG190" s="31"/>
      <c r="AJ190" s="31" t="s">
        <v>1895</v>
      </c>
      <c r="AK190" s="31">
        <v>3891705.8576554898</v>
      </c>
      <c r="AL190" s="31">
        <v>25739044.196972098</v>
      </c>
      <c r="AM190" s="31">
        <v>99819378.083598301</v>
      </c>
      <c r="AN190" s="31">
        <v>829201.61574100901</v>
      </c>
      <c r="AO190" s="31" t="s">
        <v>1034</v>
      </c>
      <c r="AP190" s="31"/>
      <c r="AQ190" s="31"/>
      <c r="AR190" s="31"/>
      <c r="AV190" s="31" t="s">
        <v>1895</v>
      </c>
      <c r="AW190" s="31">
        <v>137661.70356556299</v>
      </c>
      <c r="AX190" s="31">
        <v>1389292.7480581901</v>
      </c>
      <c r="AY190" s="31">
        <v>5454626.84521362</v>
      </c>
      <c r="AZ190" s="31">
        <v>33190.218758295101</v>
      </c>
      <c r="BA190" s="31" t="s">
        <v>1034</v>
      </c>
      <c r="BB190" s="31"/>
      <c r="BC190" s="31"/>
      <c r="BD190" s="31"/>
      <c r="BE190" s="31">
        <f>BE189/BE188</f>
        <v>1.4996409258423691</v>
      </c>
      <c r="BF190" s="31"/>
    </row>
    <row r="191" spans="1:58" x14ac:dyDescent="0.25">
      <c r="A191" t="s">
        <v>1898</v>
      </c>
      <c r="B191" s="31">
        <v>28332752.740338001</v>
      </c>
      <c r="C191" s="31">
        <v>390135580.95491701</v>
      </c>
      <c r="D191" s="31">
        <v>1355672857.4151101</v>
      </c>
      <c r="E191" s="31">
        <v>7319058.3963901801</v>
      </c>
      <c r="F191" t="s">
        <v>379</v>
      </c>
      <c r="G191">
        <f>SUM(B191:E191)</f>
        <v>1781460249.5067554</v>
      </c>
      <c r="L191" s="31" t="s">
        <v>1898</v>
      </c>
      <c r="M191" s="31">
        <v>28332752.740338001</v>
      </c>
      <c r="N191" s="31">
        <v>390135580.95491701</v>
      </c>
      <c r="O191" s="31">
        <v>1355672857.4151101</v>
      </c>
      <c r="P191" s="31">
        <v>7319058.3963901801</v>
      </c>
      <c r="Q191" s="31" t="s">
        <v>379</v>
      </c>
      <c r="R191" s="31">
        <f>SUM(M191:P191)</f>
        <v>1781460249.5067554</v>
      </c>
      <c r="S191" s="31"/>
      <c r="T191" s="31"/>
      <c r="U191" s="31"/>
      <c r="X191" s="31" t="s">
        <v>1898</v>
      </c>
      <c r="Y191" s="31">
        <v>28332752.740338001</v>
      </c>
      <c r="Z191" s="31">
        <v>390135580.95491701</v>
      </c>
      <c r="AA191" s="31">
        <v>1355672857.4151101</v>
      </c>
      <c r="AB191" s="31">
        <v>7319058.3963901801</v>
      </c>
      <c r="AC191" s="31" t="s">
        <v>379</v>
      </c>
      <c r="AD191" s="31">
        <f>SUM(Y191:AB191)</f>
        <v>1781460249.5067554</v>
      </c>
      <c r="AE191" s="31"/>
      <c r="AF191" s="31"/>
      <c r="AG191" s="31"/>
      <c r="AJ191" s="31" t="s">
        <v>1898</v>
      </c>
      <c r="AK191" s="31">
        <v>43112612.300121702</v>
      </c>
      <c r="AL191" s="31">
        <v>598445443.79607296</v>
      </c>
      <c r="AM191" s="31">
        <v>1843525183.1017301</v>
      </c>
      <c r="AN191" s="31">
        <v>7319058.3963901801</v>
      </c>
      <c r="AO191" s="31" t="s">
        <v>379</v>
      </c>
      <c r="AP191" s="31">
        <f>SUM(AK191:AN191)</f>
        <v>2492402297.5943146</v>
      </c>
      <c r="AQ191" s="31"/>
      <c r="AR191" s="31"/>
      <c r="AV191" s="31" t="s">
        <v>1898</v>
      </c>
      <c r="AW191" s="31">
        <v>58706020.724312797</v>
      </c>
      <c r="AX191" s="31">
        <v>601199563.87932706</v>
      </c>
      <c r="AY191" s="31">
        <v>1845114555.9590499</v>
      </c>
      <c r="AZ191" s="31">
        <v>9837588.5627346206</v>
      </c>
      <c r="BA191" s="31" t="s">
        <v>379</v>
      </c>
      <c r="BB191" s="31">
        <f>SUM(AW191:AZ191)</f>
        <v>2514857729.1254244</v>
      </c>
      <c r="BC191" s="31"/>
      <c r="BD191" s="31"/>
      <c r="BE191" s="31"/>
      <c r="BF191" s="31"/>
    </row>
    <row r="192" spans="1:58" x14ac:dyDescent="0.25">
      <c r="A192" t="s">
        <v>1900</v>
      </c>
      <c r="B192" s="31">
        <v>17488.548607865101</v>
      </c>
      <c r="C192" s="31">
        <v>233378.35805642401</v>
      </c>
      <c r="D192" s="31">
        <v>782749.93503342394</v>
      </c>
      <c r="E192" s="31">
        <v>0</v>
      </c>
      <c r="F192" t="s">
        <v>379</v>
      </c>
      <c r="G192" s="31">
        <f t="shared" ref="G192:G193" si="9">SUM(B192:E192)</f>
        <v>1033616.8416977131</v>
      </c>
      <c r="L192" s="31" t="s">
        <v>1900</v>
      </c>
      <c r="M192" s="31">
        <v>32577.555935788299</v>
      </c>
      <c r="N192" s="31">
        <v>463100.65828428598</v>
      </c>
      <c r="O192" s="31">
        <v>1577495.13649915</v>
      </c>
      <c r="P192" s="31">
        <v>0</v>
      </c>
      <c r="Q192" s="31" t="s">
        <v>379</v>
      </c>
      <c r="R192" s="31">
        <f t="shared" ref="R192:R193" si="10">SUM(M192:P192)</f>
        <v>2073173.3507192242</v>
      </c>
      <c r="S192" s="31"/>
      <c r="T192" s="31"/>
      <c r="U192" s="31"/>
      <c r="X192" s="31" t="s">
        <v>1900</v>
      </c>
      <c r="Y192" s="31">
        <v>32577.555935788299</v>
      </c>
      <c r="Z192" s="31">
        <v>463100.65828428598</v>
      </c>
      <c r="AA192" s="31">
        <v>1577495.13649915</v>
      </c>
      <c r="AB192" s="31">
        <v>0</v>
      </c>
      <c r="AC192" s="31" t="s">
        <v>379</v>
      </c>
      <c r="AD192" s="31">
        <f t="shared" ref="AD192:AD193" si="11">SUM(Y192:AB192)</f>
        <v>2073173.3507192242</v>
      </c>
      <c r="AE192" s="31"/>
      <c r="AF192" s="31"/>
      <c r="AG192" s="31"/>
      <c r="AJ192" s="31" t="s">
        <v>1900</v>
      </c>
      <c r="AK192" s="31">
        <v>32577.555935788299</v>
      </c>
      <c r="AL192" s="31">
        <v>463100.65828428598</v>
      </c>
      <c r="AM192" s="31">
        <v>1577495.13649915</v>
      </c>
      <c r="AN192" s="31">
        <v>0</v>
      </c>
      <c r="AO192" s="31" t="s">
        <v>379</v>
      </c>
      <c r="AP192" s="31">
        <f t="shared" ref="AP192:AP193" si="12">SUM(AK192:AN192)</f>
        <v>2073173.3507192242</v>
      </c>
      <c r="AQ192" s="31"/>
      <c r="AR192" s="31"/>
      <c r="AS192" s="410"/>
      <c r="AT192" s="410"/>
      <c r="AU192" s="410"/>
      <c r="AV192" s="31" t="s">
        <v>1900</v>
      </c>
      <c r="AW192" s="31">
        <v>765286.23831580405</v>
      </c>
      <c r="AX192" s="31">
        <v>1698153.40472997</v>
      </c>
      <c r="AY192" s="31">
        <v>1971868.92062395</v>
      </c>
      <c r="AZ192" s="31">
        <v>0</v>
      </c>
      <c r="BA192" s="31" t="s">
        <v>379</v>
      </c>
      <c r="BB192" s="31">
        <f t="shared" ref="BB192:BB193" si="13">SUM(AW192:AZ192)</f>
        <v>4435308.5636697244</v>
      </c>
      <c r="BC192" s="31"/>
      <c r="BD192" s="31"/>
      <c r="BE192" s="410"/>
      <c r="BF192" s="410"/>
    </row>
    <row r="193" spans="1:94" x14ac:dyDescent="0.25">
      <c r="A193" t="s">
        <v>1899</v>
      </c>
      <c r="B193" s="31">
        <v>136491.701469005</v>
      </c>
      <c r="C193" s="31">
        <v>98891270.621886194</v>
      </c>
      <c r="D193" s="31">
        <v>238871557.145605</v>
      </c>
      <c r="E193" s="31">
        <v>0</v>
      </c>
      <c r="F193" t="s">
        <v>379</v>
      </c>
      <c r="G193" s="53">
        <f t="shared" si="9"/>
        <v>337899319.46896017</v>
      </c>
      <c r="L193" s="31" t="s">
        <v>1899</v>
      </c>
      <c r="M193" s="31">
        <v>136491.701469005</v>
      </c>
      <c r="N193" s="31">
        <v>100366742.419046</v>
      </c>
      <c r="O193" s="31">
        <v>0</v>
      </c>
      <c r="P193" s="31">
        <v>0</v>
      </c>
      <c r="Q193" s="31" t="s">
        <v>379</v>
      </c>
      <c r="R193" s="53">
        <f t="shared" si="10"/>
        <v>100503234.120515</v>
      </c>
      <c r="S193" s="31"/>
      <c r="T193" s="31"/>
      <c r="U193" s="31"/>
      <c r="X193" s="31" t="s">
        <v>1899</v>
      </c>
      <c r="Y193" s="31">
        <v>17183.598141216899</v>
      </c>
      <c r="Z193" s="31">
        <v>74319947.433433905</v>
      </c>
      <c r="AA193" s="31">
        <v>0</v>
      </c>
      <c r="AB193" s="31">
        <v>0</v>
      </c>
      <c r="AC193" s="31" t="s">
        <v>379</v>
      </c>
      <c r="AD193" s="53">
        <f t="shared" si="11"/>
        <v>74337131.031575128</v>
      </c>
      <c r="AE193" s="31"/>
      <c r="AF193" s="31"/>
      <c r="AG193" s="31"/>
      <c r="AJ193" s="31" t="s">
        <v>1899</v>
      </c>
      <c r="AK193" s="31">
        <v>56254.1764282855</v>
      </c>
      <c r="AL193" s="31">
        <v>-149932.035148633</v>
      </c>
      <c r="AM193" s="31">
        <v>-538852.01523688005</v>
      </c>
      <c r="AN193" s="31">
        <v>28913.806155753198</v>
      </c>
      <c r="AO193" s="31" t="s">
        <v>379</v>
      </c>
      <c r="AP193" s="53">
        <f t="shared" si="12"/>
        <v>-603616.06780147436</v>
      </c>
      <c r="AQ193" s="31"/>
      <c r="AR193" s="31"/>
      <c r="AS193" s="31"/>
      <c r="AT193" s="31"/>
      <c r="AV193" s="31" t="s">
        <v>1899</v>
      </c>
      <c r="AW193" s="31">
        <v>13915156.393524</v>
      </c>
      <c r="AX193" s="31">
        <v>8837127.8543314505</v>
      </c>
      <c r="AY193" s="31">
        <v>235808.086632983</v>
      </c>
      <c r="AZ193" s="31">
        <v>133994.08305345301</v>
      </c>
      <c r="BA193" s="31" t="s">
        <v>379</v>
      </c>
      <c r="BB193" s="53">
        <f t="shared" si="13"/>
        <v>23122086.417541888</v>
      </c>
      <c r="BC193" s="31"/>
      <c r="BD193" s="31"/>
      <c r="BE193" s="31"/>
      <c r="BF193" s="31"/>
    </row>
    <row r="194" spans="1:94" ht="15.75" thickBot="1" x14ac:dyDescent="0.3">
      <c r="A194" t="s">
        <v>1901</v>
      </c>
      <c r="B194" s="31">
        <v>0</v>
      </c>
      <c r="C194" s="31">
        <v>0</v>
      </c>
      <c r="D194" s="31">
        <v>459926512.65219498</v>
      </c>
      <c r="E194" s="31">
        <v>0</v>
      </c>
      <c r="F194" t="s">
        <v>379</v>
      </c>
      <c r="G194" s="47">
        <f>SUM(B194:E194)</f>
        <v>459926512.65219498</v>
      </c>
      <c r="L194" s="31" t="s">
        <v>1901</v>
      </c>
      <c r="M194" s="31">
        <v>0</v>
      </c>
      <c r="N194" s="31">
        <v>0</v>
      </c>
      <c r="O194" s="31">
        <v>1464337738.5780101</v>
      </c>
      <c r="P194" s="31">
        <v>0</v>
      </c>
      <c r="Q194" s="31" t="s">
        <v>379</v>
      </c>
      <c r="R194" s="47">
        <f>SUM(M194:P194)</f>
        <v>1464337738.5780101</v>
      </c>
      <c r="S194" s="31"/>
      <c r="T194" s="31"/>
      <c r="U194" s="31"/>
      <c r="X194" s="31" t="s">
        <v>1901</v>
      </c>
      <c r="Y194" s="31">
        <v>0</v>
      </c>
      <c r="Z194" s="31">
        <v>0</v>
      </c>
      <c r="AA194" s="31">
        <v>0</v>
      </c>
      <c r="AB194" s="31">
        <v>0</v>
      </c>
      <c r="AC194" s="31" t="s">
        <v>379</v>
      </c>
      <c r="AD194" s="47">
        <f>SUM(Y194:AB194)</f>
        <v>0</v>
      </c>
      <c r="AE194" s="31"/>
      <c r="AF194" s="31"/>
      <c r="AG194" s="31"/>
      <c r="AJ194" s="31" t="s">
        <v>1901</v>
      </c>
      <c r="AK194" s="31">
        <v>0</v>
      </c>
      <c r="AL194" s="31">
        <v>0</v>
      </c>
      <c r="AM194" s="31">
        <v>0</v>
      </c>
      <c r="AN194" s="31">
        <v>0</v>
      </c>
      <c r="AO194" s="31" t="s">
        <v>379</v>
      </c>
      <c r="AP194" s="47">
        <f>SUM(AK194:AN194)</f>
        <v>0</v>
      </c>
      <c r="AQ194" s="31"/>
      <c r="AR194" s="31"/>
      <c r="AS194" s="31"/>
      <c r="AT194" s="31"/>
      <c r="AV194" s="31" t="s">
        <v>1901</v>
      </c>
      <c r="AW194" s="31">
        <v>0</v>
      </c>
      <c r="AX194" s="31">
        <v>242569685.07314399</v>
      </c>
      <c r="AY194" s="31">
        <v>1114434469.8665099</v>
      </c>
      <c r="AZ194" s="31">
        <v>0</v>
      </c>
      <c r="BA194" s="31" t="s">
        <v>379</v>
      </c>
      <c r="BB194" s="47">
        <f>SUM(AW194:AZ194)</f>
        <v>1357004154.9396539</v>
      </c>
      <c r="BC194" s="31"/>
      <c r="BD194" s="31"/>
      <c r="BE194" s="31"/>
      <c r="BF194" s="31"/>
    </row>
    <row r="195" spans="1:94" x14ac:dyDescent="0.25">
      <c r="A195" t="s">
        <v>1902</v>
      </c>
      <c r="B195" s="31">
        <v>0</v>
      </c>
      <c r="C195" s="31">
        <v>118846.25454626</v>
      </c>
      <c r="D195" s="31">
        <v>220819.13041516099</v>
      </c>
      <c r="E195" s="31">
        <v>0</v>
      </c>
      <c r="G195">
        <f>SUM(G183:G194)</f>
        <v>2659022349.3145409</v>
      </c>
      <c r="H195" t="s">
        <v>548</v>
      </c>
      <c r="L195" s="31" t="s">
        <v>1902</v>
      </c>
      <c r="M195" s="31">
        <v>0</v>
      </c>
      <c r="N195" s="31">
        <v>118846.25454626</v>
      </c>
      <c r="O195" s="31">
        <v>220819.13041516099</v>
      </c>
      <c r="P195" s="31">
        <v>0</v>
      </c>
      <c r="Q195" s="31"/>
      <c r="R195" s="31">
        <f>SUM(R183:R194)</f>
        <v>3427077046.4009323</v>
      </c>
      <c r="S195" s="31" t="s">
        <v>548</v>
      </c>
      <c r="T195" s="31"/>
      <c r="U195" s="31"/>
      <c r="X195" s="31" t="s">
        <v>1902</v>
      </c>
      <c r="Y195" s="31">
        <v>0</v>
      </c>
      <c r="Z195" s="31">
        <v>118846.25454626</v>
      </c>
      <c r="AA195" s="31">
        <v>220819.13041516099</v>
      </c>
      <c r="AB195" s="31">
        <v>0</v>
      </c>
      <c r="AC195" s="31"/>
      <c r="AD195" s="31">
        <f>SUM(AD183:AD194)</f>
        <v>2182011320.2425275</v>
      </c>
      <c r="AE195" s="31" t="s">
        <v>548</v>
      </c>
      <c r="AF195" s="31"/>
      <c r="AG195" s="31"/>
      <c r="AJ195" s="31" t="s">
        <v>1902</v>
      </c>
      <c r="AK195" s="31">
        <v>0</v>
      </c>
      <c r="AL195" s="31">
        <v>118846.25454626</v>
      </c>
      <c r="AM195" s="31">
        <v>220819.13041516099</v>
      </c>
      <c r="AN195" s="31">
        <v>0</v>
      </c>
      <c r="AO195" s="31"/>
      <c r="AP195" s="31">
        <f>SUM(AP183:AP194)</f>
        <v>2728770273.0479622</v>
      </c>
      <c r="AQ195" s="31" t="s">
        <v>548</v>
      </c>
      <c r="AR195" s="31"/>
      <c r="AS195" s="31"/>
      <c r="AT195" s="31"/>
      <c r="AV195" s="31" t="s">
        <v>1902</v>
      </c>
      <c r="AW195" s="31">
        <v>0</v>
      </c>
      <c r="AX195" s="31">
        <v>427846.51636649499</v>
      </c>
      <c r="AY195" s="31">
        <v>971604.17382675002</v>
      </c>
      <c r="AZ195" s="31">
        <v>0</v>
      </c>
      <c r="BA195" s="31"/>
      <c r="BB195" s="31">
        <f>SUM(BB183:BB194)</f>
        <v>3929872548.4051681</v>
      </c>
      <c r="BC195" s="31" t="s">
        <v>548</v>
      </c>
      <c r="BD195" s="31"/>
      <c r="BE195" s="31"/>
      <c r="BF195" s="31"/>
    </row>
    <row r="196" spans="1:94" x14ac:dyDescent="0.25">
      <c r="A196" t="s">
        <v>1903</v>
      </c>
      <c r="B196" s="31">
        <v>4401.2068515412602</v>
      </c>
      <c r="C196" s="31">
        <v>58732.514144567198</v>
      </c>
      <c r="D196" s="31">
        <v>196988.581177243</v>
      </c>
      <c r="E196" s="31">
        <v>0</v>
      </c>
      <c r="F196" t="s">
        <v>1291</v>
      </c>
      <c r="G196">
        <f>G195/kW_to_W</f>
        <v>2659022.3493145411</v>
      </c>
      <c r="H196" t="s">
        <v>549</v>
      </c>
      <c r="I196">
        <f>G196/A201</f>
        <v>1578.518027616833</v>
      </c>
      <c r="L196" s="31" t="s">
        <v>1903</v>
      </c>
      <c r="M196" s="31">
        <v>4401.2068515412602</v>
      </c>
      <c r="N196" s="31">
        <v>58732.514144567198</v>
      </c>
      <c r="O196" s="31">
        <v>196988.581177243</v>
      </c>
      <c r="P196" s="31">
        <v>0</v>
      </c>
      <c r="Q196" s="31" t="s">
        <v>1291</v>
      </c>
      <c r="R196" s="31">
        <f>R195/kW_to_W</f>
        <v>3427077.0464009321</v>
      </c>
      <c r="S196" s="31" t="s">
        <v>549</v>
      </c>
      <c r="T196" s="31">
        <f>R196/A201</f>
        <v>2034.4706396207116</v>
      </c>
      <c r="U196" s="31"/>
      <c r="X196" s="31" t="s">
        <v>1903</v>
      </c>
      <c r="Y196" s="31">
        <v>8198.5398334643705</v>
      </c>
      <c r="Z196" s="31">
        <v>116544.936683737</v>
      </c>
      <c r="AA196" s="31">
        <v>396995.91765497503</v>
      </c>
      <c r="AB196" s="31">
        <v>0</v>
      </c>
      <c r="AC196" s="31" t="s">
        <v>1291</v>
      </c>
      <c r="AD196" s="31">
        <f>AD195/kW_to_W</f>
        <v>2182011.3202425274</v>
      </c>
      <c r="AE196" s="31" t="s">
        <v>549</v>
      </c>
      <c r="AF196" s="31">
        <f>AD196/A201</f>
        <v>1295.3423299938568</v>
      </c>
      <c r="AG196" s="31"/>
      <c r="AJ196" s="31" t="s">
        <v>1903</v>
      </c>
      <c r="AK196" s="31">
        <v>8198.5398334643705</v>
      </c>
      <c r="AL196" s="31">
        <v>116544.936683737</v>
      </c>
      <c r="AM196" s="31">
        <v>396995.91765497503</v>
      </c>
      <c r="AN196" s="31">
        <v>0</v>
      </c>
      <c r="AO196" s="31" t="s">
        <v>1291</v>
      </c>
      <c r="AP196" s="31">
        <f>AP195/kW_to_W</f>
        <v>2728770.2730479622</v>
      </c>
      <c r="AQ196" s="31" t="s">
        <v>549</v>
      </c>
      <c r="AR196" s="31">
        <f>AP196/A201</f>
        <v>1619.9236047570294</v>
      </c>
      <c r="AS196" s="31"/>
      <c r="AT196" s="31"/>
      <c r="AV196" s="31" t="s">
        <v>1903</v>
      </c>
      <c r="AW196" s="31">
        <v>154074.90288592601</v>
      </c>
      <c r="AX196" s="31">
        <v>341888.83560088603</v>
      </c>
      <c r="AY196" s="31">
        <v>396995.91765497503</v>
      </c>
      <c r="AZ196" s="31">
        <v>0</v>
      </c>
      <c r="BA196" s="31" t="s">
        <v>1291</v>
      </c>
      <c r="BB196" s="31">
        <f>BB195/kW_to_W</f>
        <v>3929872.5484051681</v>
      </c>
      <c r="BC196" s="31" t="s">
        <v>549</v>
      </c>
      <c r="BD196" s="31">
        <f>BB196/A201</f>
        <v>2332.9531869084167</v>
      </c>
      <c r="BE196" s="31"/>
      <c r="BF196" s="31"/>
    </row>
    <row r="197" spans="1:94" x14ac:dyDescent="0.25">
      <c r="A197" t="s">
        <v>1904</v>
      </c>
      <c r="B197" s="31">
        <v>0</v>
      </c>
      <c r="C197" s="31">
        <v>222.16120174668299</v>
      </c>
      <c r="D197" s="31">
        <v>1676.20710371978</v>
      </c>
      <c r="E197" s="31">
        <v>0</v>
      </c>
      <c r="F197" t="s">
        <v>1905</v>
      </c>
      <c r="G197">
        <f>G196/12</f>
        <v>221585.19577621177</v>
      </c>
      <c r="H197" t="s">
        <v>228</v>
      </c>
      <c r="I197" s="470">
        <f>I196/kg_to_lb</f>
        <v>716.00458474332686</v>
      </c>
      <c r="J197" s="470" t="s">
        <v>1914</v>
      </c>
      <c r="L197" s="31" t="s">
        <v>1904</v>
      </c>
      <c r="M197" s="31">
        <v>0</v>
      </c>
      <c r="N197" s="31">
        <v>451.59091569512901</v>
      </c>
      <c r="O197" s="31">
        <v>3453.03640709516</v>
      </c>
      <c r="P197" s="31">
        <v>0</v>
      </c>
      <c r="Q197" s="31" t="s">
        <v>1905</v>
      </c>
      <c r="R197" s="31">
        <f>R196/12</f>
        <v>285589.75386674434</v>
      </c>
      <c r="S197" s="31" t="s">
        <v>228</v>
      </c>
      <c r="T197" s="470">
        <f>T196/kg_to_lb</f>
        <v>922.82145658694549</v>
      </c>
      <c r="U197" s="470" t="s">
        <v>1914</v>
      </c>
      <c r="X197" s="31" t="s">
        <v>1904</v>
      </c>
      <c r="Y197" s="31">
        <v>0</v>
      </c>
      <c r="Z197" s="31">
        <v>451.59091569512901</v>
      </c>
      <c r="AA197" s="31">
        <v>3453.03640709516</v>
      </c>
      <c r="AB197" s="31">
        <v>0</v>
      </c>
      <c r="AC197" s="31" t="s">
        <v>1905</v>
      </c>
      <c r="AD197" s="31">
        <f>AD196/12</f>
        <v>181834.27668687727</v>
      </c>
      <c r="AE197" s="31" t="s">
        <v>228</v>
      </c>
      <c r="AF197" s="470">
        <f>AF196/kg_to_lb</f>
        <v>587.55809617705404</v>
      </c>
      <c r="AG197" s="470" t="s">
        <v>1914</v>
      </c>
      <c r="AJ197" s="31" t="s">
        <v>1904</v>
      </c>
      <c r="AK197" s="31">
        <v>0</v>
      </c>
      <c r="AL197" s="31">
        <v>451.59091569512901</v>
      </c>
      <c r="AM197" s="31">
        <v>3453.03640709516</v>
      </c>
      <c r="AN197" s="31">
        <v>0</v>
      </c>
      <c r="AO197" s="31" t="s">
        <v>1905</v>
      </c>
      <c r="AP197" s="31">
        <f>AP196/12</f>
        <v>227397.52275399686</v>
      </c>
      <c r="AQ197" s="31" t="s">
        <v>228</v>
      </c>
      <c r="AR197" s="470">
        <f>AR196/kg_to_lb</f>
        <v>734.78586094521029</v>
      </c>
      <c r="AS197" s="470" t="s">
        <v>1914</v>
      </c>
      <c r="AT197" s="31"/>
      <c r="AV197" s="31" t="s">
        <v>1904</v>
      </c>
      <c r="AW197" s="31">
        <v>412.08473753062901</v>
      </c>
      <c r="AX197" s="31">
        <v>754.38578228232097</v>
      </c>
      <c r="AY197" s="31">
        <v>4680.0319465934899</v>
      </c>
      <c r="AZ197" s="31">
        <v>60.963057219990098</v>
      </c>
      <c r="BA197" s="31" t="s">
        <v>1905</v>
      </c>
      <c r="BB197" s="31">
        <f>BB196/12</f>
        <v>327489.37903376401</v>
      </c>
      <c r="BC197" s="31" t="s">
        <v>228</v>
      </c>
      <c r="BD197" s="499">
        <f>BD196/kg_to_lb</f>
        <v>1058.2110236269366</v>
      </c>
      <c r="BE197" s="499" t="s">
        <v>1914</v>
      </c>
      <c r="BF197" s="31" t="s">
        <v>379</v>
      </c>
    </row>
    <row r="198" spans="1:94" x14ac:dyDescent="0.25">
      <c r="G198">
        <f>G197*0.1</f>
        <v>22158.519577621177</v>
      </c>
      <c r="H198" t="s">
        <v>1907</v>
      </c>
      <c r="L198" s="31"/>
      <c r="M198" s="31"/>
      <c r="N198" s="31"/>
      <c r="O198" s="31"/>
      <c r="P198" s="31"/>
      <c r="Q198" s="31"/>
      <c r="R198" s="31">
        <f>R197*0.1</f>
        <v>28558.975386674436</v>
      </c>
      <c r="S198" s="31" t="s">
        <v>1907</v>
      </c>
      <c r="T198" s="31"/>
      <c r="U198" s="31"/>
      <c r="X198" s="31"/>
      <c r="Y198" s="31"/>
      <c r="Z198" s="31"/>
      <c r="AA198" s="31"/>
      <c r="AB198" s="31"/>
      <c r="AC198" s="31"/>
      <c r="AD198" s="31">
        <f>AD197*0.1</f>
        <v>18183.427668687727</v>
      </c>
      <c r="AE198" s="31" t="s">
        <v>1907</v>
      </c>
      <c r="AF198" s="31"/>
      <c r="AG198" s="31"/>
      <c r="AJ198" s="31"/>
      <c r="AK198" s="31"/>
      <c r="AL198" s="31"/>
      <c r="AM198" s="31"/>
      <c r="AN198" s="31"/>
      <c r="AO198" s="31"/>
      <c r="AP198" s="31">
        <f>AP197*0.1</f>
        <v>22739.752275399689</v>
      </c>
      <c r="AQ198" s="31" t="s">
        <v>1907</v>
      </c>
      <c r="AR198" s="31"/>
      <c r="AS198" s="31"/>
      <c r="AT198" s="31"/>
      <c r="AV198" s="31"/>
      <c r="AW198" s="31"/>
      <c r="AX198" s="31"/>
      <c r="AY198" s="31"/>
      <c r="AZ198" s="31"/>
      <c r="BA198" s="31"/>
      <c r="BB198" s="31">
        <f>BB197*0.13299</f>
        <v>43552.812517700273</v>
      </c>
      <c r="BC198" s="31" t="s">
        <v>1907</v>
      </c>
      <c r="BD198" s="31"/>
      <c r="BE198" s="31"/>
      <c r="BF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</row>
    <row r="199" spans="1:94" x14ac:dyDescent="0.25">
      <c r="A199" t="s">
        <v>1908</v>
      </c>
      <c r="BB199">
        <f>BB198/14811</f>
        <v>2.9405720422456465</v>
      </c>
      <c r="BD199">
        <f>SUM(AW183:AZ194)/'Indoor Inputs'!G6/kW_to_W*BTU_per_hour_to_W</f>
        <v>1283.1793490721293</v>
      </c>
      <c r="BE199" t="s">
        <v>429</v>
      </c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</row>
    <row r="200" spans="1:94" x14ac:dyDescent="0.25">
      <c r="A200">
        <f>8760/(('Indoor Inputs'!G52*7+'Indoor Inputs'!G54)*24)</f>
        <v>6.1864406779661021</v>
      </c>
      <c r="G200">
        <f>G196/'Indoor Inputs'!K8</f>
        <v>2834.229248300383</v>
      </c>
      <c r="BB200">
        <f>BB199*0.83</f>
        <v>2.4406747950638863</v>
      </c>
      <c r="BD200">
        <f>BD199/74</f>
        <v>17.340261473947692</v>
      </c>
    </row>
    <row r="201" spans="1:94" x14ac:dyDescent="0.25">
      <c r="A201" s="37">
        <f>A200*'Indoor Inputs'!G18*938.18*'Indoor Inputs'!G99</f>
        <v>1684.5055316403316</v>
      </c>
      <c r="B201" t="s">
        <v>1909</v>
      </c>
      <c r="AZ201">
        <f>BB196*0.13299</f>
        <v>522633.75021240331</v>
      </c>
      <c r="BA201" t="s">
        <v>2052</v>
      </c>
    </row>
    <row r="202" spans="1:94" x14ac:dyDescent="0.25">
      <c r="AZ202">
        <f>AZ201/14811</f>
        <v>35.286864506947765</v>
      </c>
      <c r="BA202" t="s">
        <v>1635</v>
      </c>
    </row>
    <row r="203" spans="1:94" x14ac:dyDescent="0.25"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</row>
    <row r="204" spans="1:94" ht="15.75" thickBot="1" x14ac:dyDescent="0.3">
      <c r="A204" s="466" t="s">
        <v>1915</v>
      </c>
      <c r="B204" t="s">
        <v>1917</v>
      </c>
      <c r="C204" t="s">
        <v>1918</v>
      </c>
      <c r="D204" t="s">
        <v>1919</v>
      </c>
      <c r="E204" t="s">
        <v>1939</v>
      </c>
      <c r="F204" s="282" t="s">
        <v>1925</v>
      </c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</row>
    <row r="205" spans="1:94" x14ac:dyDescent="0.25">
      <c r="A205" t="s">
        <v>1916</v>
      </c>
      <c r="AZ205">
        <f>SUM(AX194:AY194)</f>
        <v>1357004154.9396539</v>
      </c>
    </row>
    <row r="206" spans="1:94" x14ac:dyDescent="0.25">
      <c r="A206" t="s">
        <v>1937</v>
      </c>
      <c r="B206">
        <f>G197/3</f>
        <v>73861.731925403918</v>
      </c>
      <c r="C206">
        <f>R197/3</f>
        <v>95196.58462224812</v>
      </c>
      <c r="D206">
        <f>AD197/3</f>
        <v>60611.425562292425</v>
      </c>
      <c r="E206">
        <f>AP197/3</f>
        <v>75799.174251332282</v>
      </c>
      <c r="G206" s="465" t="s">
        <v>1940</v>
      </c>
      <c r="H206" s="335"/>
      <c r="I206" s="31"/>
      <c r="J206" s="31"/>
      <c r="K206" s="31"/>
      <c r="L206" s="31"/>
      <c r="M206" s="31"/>
      <c r="N206" s="31"/>
      <c r="O206" s="31"/>
      <c r="P206" s="31"/>
      <c r="AZ206">
        <f>SUM(AW191:AZ191)</f>
        <v>2514857729.1254244</v>
      </c>
      <c r="BB206">
        <f>1.6</f>
        <v>1.6</v>
      </c>
    </row>
    <row r="207" spans="1:94" x14ac:dyDescent="0.25">
      <c r="A207" t="s">
        <v>1938</v>
      </c>
      <c r="B207" s="467"/>
      <c r="C207" s="467"/>
      <c r="D207" s="467"/>
      <c r="E207" s="467">
        <f>M222</f>
        <v>81328.526550327995</v>
      </c>
      <c r="G207" s="31" t="s">
        <v>1887</v>
      </c>
      <c r="H207" s="31" t="s">
        <v>835</v>
      </c>
      <c r="I207" s="31" t="s">
        <v>893</v>
      </c>
      <c r="J207" s="31" t="s">
        <v>77</v>
      </c>
      <c r="K207" s="31" t="s">
        <v>1889</v>
      </c>
      <c r="L207" s="31" t="s">
        <v>1897</v>
      </c>
      <c r="M207" s="31" t="s">
        <v>1906</v>
      </c>
      <c r="N207" s="31"/>
      <c r="O207" s="31"/>
      <c r="P207" s="31">
        <f>SUM(H221:J221)</f>
        <v>260122.30217335146</v>
      </c>
      <c r="AZ207">
        <f>AZ206/AZ205</f>
        <v>1.8532424679549049</v>
      </c>
      <c r="BB207">
        <f>BB206*28000*4</f>
        <v>179200</v>
      </c>
      <c r="BL207" s="31"/>
    </row>
    <row r="208" spans="1:94" x14ac:dyDescent="0.25">
      <c r="G208" s="31" t="s">
        <v>1888</v>
      </c>
      <c r="H208" s="31">
        <v>59854.251500218401</v>
      </c>
      <c r="I208" s="31">
        <v>2987873.72307355</v>
      </c>
      <c r="J208" s="31">
        <v>4607459.8421366299</v>
      </c>
      <c r="K208" s="31">
        <v>429839.37394167</v>
      </c>
      <c r="L208" s="31" t="s">
        <v>379</v>
      </c>
      <c r="M208" s="31">
        <f>SUM(H208:K208)</f>
        <v>8085027.1906520678</v>
      </c>
      <c r="N208" s="31"/>
      <c r="O208" s="31"/>
      <c r="P208" s="31"/>
      <c r="AZ208">
        <f>AZ205/AZ206</f>
        <v>0.53959480062181109</v>
      </c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</row>
    <row r="209" spans="1:95" x14ac:dyDescent="0.25">
      <c r="G209" s="31" t="s">
        <v>1893</v>
      </c>
      <c r="H209" s="31">
        <v>53023825.465218998</v>
      </c>
      <c r="I209" s="31">
        <v>106432453.091618</v>
      </c>
      <c r="J209" s="31">
        <v>99065807.398814797</v>
      </c>
      <c r="K209" s="31">
        <v>145404983.81133699</v>
      </c>
      <c r="L209" s="31" t="s">
        <v>1034</v>
      </c>
      <c r="M209" s="31"/>
      <c r="N209" s="31"/>
      <c r="O209" s="31"/>
      <c r="P209" s="31"/>
      <c r="AZ209">
        <f>1.6*1.25</f>
        <v>2</v>
      </c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</row>
    <row r="210" spans="1:95" x14ac:dyDescent="0.25">
      <c r="A210" t="s">
        <v>1920</v>
      </c>
      <c r="B210" t="s">
        <v>1921</v>
      </c>
      <c r="G210" s="31" t="s">
        <v>1890</v>
      </c>
      <c r="H210" s="31">
        <v>171602.46219422601</v>
      </c>
      <c r="I210" s="31">
        <v>17011241.653286099</v>
      </c>
      <c r="J210" s="31">
        <v>14908847.717634199</v>
      </c>
      <c r="K210" s="31">
        <v>909419.45329917001</v>
      </c>
      <c r="L210" s="31" t="s">
        <v>379</v>
      </c>
      <c r="M210" s="31">
        <f>SUM(H210:K210)</f>
        <v>33001111.286413696</v>
      </c>
      <c r="N210" s="31"/>
      <c r="O210" s="31"/>
      <c r="P210" s="31"/>
      <c r="BM210" s="478"/>
      <c r="BN210" s="478"/>
      <c r="BO210" s="478"/>
      <c r="BP210" s="478"/>
      <c r="BQ210" s="478"/>
      <c r="BR210" s="478"/>
      <c r="BS210" s="478"/>
      <c r="BT210" s="478"/>
      <c r="BU210" s="478"/>
      <c r="BV210" s="478"/>
      <c r="BW210" s="478"/>
      <c r="BX210" s="478"/>
      <c r="BY210" s="478"/>
      <c r="BZ210" s="478"/>
      <c r="CA210" s="478"/>
      <c r="CB210" s="478"/>
      <c r="CC210" s="478"/>
      <c r="CD210" s="478"/>
      <c r="CE210" s="478"/>
      <c r="CF210" s="478"/>
      <c r="CG210" s="478"/>
      <c r="CH210" s="478"/>
      <c r="CI210" s="478"/>
      <c r="CJ210" s="478"/>
      <c r="CK210" s="478"/>
      <c r="CL210" s="478"/>
      <c r="CM210" s="478"/>
      <c r="CN210" s="478"/>
      <c r="CO210" s="478"/>
      <c r="CP210" s="478"/>
    </row>
    <row r="211" spans="1:95" x14ac:dyDescent="0.25">
      <c r="A211">
        <f>12898/1.5</f>
        <v>8598.6666666666661</v>
      </c>
      <c r="B211">
        <f>R196/'Indoor Inputs'!K8</f>
        <v>3652.8922006211487</v>
      </c>
      <c r="G211" s="31" t="s">
        <v>1896</v>
      </c>
      <c r="H211" s="31">
        <v>188192.06154139599</v>
      </c>
      <c r="I211" s="31">
        <v>38020884.234066397</v>
      </c>
      <c r="J211" s="31">
        <v>35697238.292400002</v>
      </c>
      <c r="K211" s="31">
        <v>1847084.7801256599</v>
      </c>
      <c r="L211" s="31" t="s">
        <v>1034</v>
      </c>
      <c r="M211" s="31"/>
      <c r="N211" s="31"/>
      <c r="O211" s="31"/>
      <c r="P211" s="31"/>
      <c r="BM211" s="478"/>
      <c r="BN211" s="478"/>
      <c r="BO211" s="478"/>
      <c r="BP211" s="478"/>
      <c r="BQ211" s="478"/>
      <c r="BR211" s="478"/>
      <c r="BS211" s="478"/>
      <c r="BT211" s="478"/>
      <c r="BU211" s="478"/>
      <c r="BV211" s="478"/>
      <c r="BW211" s="478"/>
      <c r="BX211" s="478"/>
      <c r="BY211" s="478"/>
      <c r="BZ211" s="478"/>
      <c r="CA211" s="478"/>
      <c r="CB211" s="478"/>
      <c r="CC211" s="478"/>
      <c r="CD211" s="478"/>
      <c r="CE211" s="478"/>
      <c r="CF211" s="478"/>
      <c r="CG211" s="478"/>
      <c r="CH211" s="478"/>
      <c r="CI211" s="478"/>
      <c r="CJ211" s="478"/>
      <c r="CK211" s="478"/>
      <c r="CL211" s="478"/>
      <c r="CM211" s="478"/>
      <c r="CN211" s="478"/>
      <c r="CO211" s="478"/>
      <c r="CP211" s="478"/>
    </row>
    <row r="212" spans="1:95" x14ac:dyDescent="0.25">
      <c r="A212" t="s">
        <v>1922</v>
      </c>
      <c r="B212" t="s">
        <v>1923</v>
      </c>
      <c r="G212" s="31" t="s">
        <v>1891</v>
      </c>
      <c r="H212" s="31">
        <v>521777.15842672699</v>
      </c>
      <c r="I212" s="31">
        <v>9370285.4499274902</v>
      </c>
      <c r="J212" s="31">
        <v>27754610.8108266</v>
      </c>
      <c r="K212" s="31">
        <v>565146.89057784004</v>
      </c>
      <c r="L212" s="31" t="s">
        <v>379</v>
      </c>
      <c r="M212" s="31">
        <f>SUM(H212:K212)</f>
        <v>38211820.309758656</v>
      </c>
      <c r="N212" s="31"/>
      <c r="O212" s="31"/>
      <c r="P212" s="31"/>
    </row>
    <row r="213" spans="1:95" x14ac:dyDescent="0.25">
      <c r="G213" s="31" t="s">
        <v>1892</v>
      </c>
      <c r="H213" s="31">
        <v>2163691.8840956702</v>
      </c>
      <c r="I213" s="31">
        <v>18801296.383747499</v>
      </c>
      <c r="J213" s="31">
        <v>65671785.867164299</v>
      </c>
      <c r="K213" s="31">
        <v>971672.42620298604</v>
      </c>
      <c r="L213" s="31" t="s">
        <v>1034</v>
      </c>
      <c r="M213" s="31"/>
      <c r="N213" s="31"/>
      <c r="O213" s="31"/>
      <c r="P213" s="31"/>
      <c r="BL213" s="31"/>
    </row>
    <row r="214" spans="1:95" x14ac:dyDescent="0.25">
      <c r="G214" s="31" t="s">
        <v>1894</v>
      </c>
      <c r="H214" s="31">
        <v>63924690.850872502</v>
      </c>
      <c r="I214" s="31">
        <v>578755627.28748906</v>
      </c>
      <c r="J214" s="31">
        <v>2544783608.2255802</v>
      </c>
      <c r="K214" s="31">
        <v>94125342.085532099</v>
      </c>
      <c r="L214" s="31" t="s">
        <v>1034</v>
      </c>
      <c r="M214" s="31"/>
      <c r="N214" s="31"/>
      <c r="O214" s="31"/>
      <c r="P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</row>
    <row r="215" spans="1:95" x14ac:dyDescent="0.25">
      <c r="G215" s="31" t="s">
        <v>1895</v>
      </c>
      <c r="H215" s="31">
        <v>1313777.8155939199</v>
      </c>
      <c r="I215" s="31">
        <v>8582351.5958075691</v>
      </c>
      <c r="J215" s="31">
        <v>33697429.684888199</v>
      </c>
      <c r="K215" s="31">
        <v>279925.23773917998</v>
      </c>
      <c r="L215" s="31" t="s">
        <v>1034</v>
      </c>
      <c r="M215" s="31"/>
      <c r="N215" s="31"/>
      <c r="O215" s="31"/>
      <c r="P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</row>
    <row r="216" spans="1:95" x14ac:dyDescent="0.25">
      <c r="A216">
        <f>5.64/(1000*ft3_to_m3)/38.80540845</f>
        <v>5.1326620691200513E-3</v>
      </c>
      <c r="B216" t="s">
        <v>1926</v>
      </c>
      <c r="G216" s="31" t="s">
        <v>1898</v>
      </c>
      <c r="H216" s="31">
        <v>14554130.163969999</v>
      </c>
      <c r="I216" s="31">
        <v>202025635.19948301</v>
      </c>
      <c r="J216" s="31">
        <v>622344693.21045995</v>
      </c>
      <c r="K216" s="31">
        <v>2470797.3582589398</v>
      </c>
      <c r="L216" s="31" t="s">
        <v>379</v>
      </c>
      <c r="M216" s="31">
        <f>SUM(H216:K216)</f>
        <v>841395255.93217194</v>
      </c>
      <c r="N216" s="31"/>
      <c r="O216" s="31"/>
      <c r="P216" s="31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</row>
    <row r="217" spans="1:95" ht="15.75" thickBot="1" x14ac:dyDescent="0.3">
      <c r="A217" s="466" t="s">
        <v>1928</v>
      </c>
      <c r="B217" t="s">
        <v>1924</v>
      </c>
      <c r="C217" s="282" t="s">
        <v>1925</v>
      </c>
      <c r="G217" s="31" t="s">
        <v>1900</v>
      </c>
      <c r="H217" s="31">
        <v>10997.6631945387</v>
      </c>
      <c r="I217" s="31">
        <v>156335.39468149099</v>
      </c>
      <c r="J217" s="31">
        <v>532537.19328840601</v>
      </c>
      <c r="K217" s="31">
        <v>0</v>
      </c>
      <c r="L217" s="31" t="s">
        <v>379</v>
      </c>
      <c r="M217" s="31">
        <f t="shared" ref="M217:M218" si="14">SUM(H217:K217)</f>
        <v>699870.25116443564</v>
      </c>
      <c r="N217" s="31"/>
      <c r="O217" s="31"/>
      <c r="P217" s="31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</row>
    <row r="218" spans="1:95" x14ac:dyDescent="0.25">
      <c r="A218" t="str">
        <f t="shared" ref="A218:A229" si="15">X183</f>
        <v>HVAC cool year</v>
      </c>
      <c r="B218">
        <f t="shared" ref="B218:B229" si="16">SUM(Y183:AB183)</f>
        <v>113192020.11638486</v>
      </c>
      <c r="C218" t="str">
        <f t="shared" ref="C218:C229" si="17">AC183</f>
        <v>electricity</v>
      </c>
      <c r="D218" s="360">
        <f>B218*0.1/1000</f>
        <v>11319.202011638487</v>
      </c>
      <c r="G218" s="31" t="s">
        <v>1899</v>
      </c>
      <c r="H218" s="31">
        <v>12025.778687980201</v>
      </c>
      <c r="I218" s="31">
        <v>54537207.855087101</v>
      </c>
      <c r="J218" s="31">
        <v>0</v>
      </c>
      <c r="K218" s="31">
        <v>0</v>
      </c>
      <c r="L218" s="31" t="s">
        <v>379</v>
      </c>
      <c r="M218" s="53">
        <f t="shared" si="14"/>
        <v>54549233.633775085</v>
      </c>
      <c r="N218" s="31"/>
      <c r="O218" s="31"/>
      <c r="P218" s="31"/>
    </row>
    <row r="219" spans="1:95" ht="15.75" thickBot="1" x14ac:dyDescent="0.3">
      <c r="A219" s="31" t="str">
        <f t="shared" si="15"/>
        <v>HVAC heat year</v>
      </c>
      <c r="B219" s="31">
        <f t="shared" si="16"/>
        <v>2454408199.0013089</v>
      </c>
      <c r="C219" s="31" t="str">
        <f t="shared" si="17"/>
        <v>natural gas</v>
      </c>
      <c r="D219" s="360">
        <f t="shared" ref="D219:D228" si="18">B219*0.1/1000</f>
        <v>245440.81990013091</v>
      </c>
      <c r="G219" s="31" t="s">
        <v>1901</v>
      </c>
      <c r="H219" s="31">
        <v>0</v>
      </c>
      <c r="I219" s="31">
        <v>0</v>
      </c>
      <c r="J219" s="31">
        <v>0</v>
      </c>
      <c r="K219" s="31">
        <v>0</v>
      </c>
      <c r="L219" s="31" t="s">
        <v>379</v>
      </c>
      <c r="M219" s="47">
        <f>SUM(H219:K219)</f>
        <v>0</v>
      </c>
      <c r="N219" s="31"/>
      <c r="O219" s="31"/>
      <c r="P219" s="31"/>
    </row>
    <row r="220" spans="1:95" x14ac:dyDescent="0.25">
      <c r="A220" s="31" t="str">
        <f t="shared" si="15"/>
        <v>HVAC dehumid year</v>
      </c>
      <c r="B220" s="31">
        <f t="shared" si="16"/>
        <v>97756726.120707974</v>
      </c>
      <c r="C220" s="31" t="str">
        <f t="shared" si="17"/>
        <v>electricity</v>
      </c>
      <c r="D220" s="360">
        <f t="shared" si="18"/>
        <v>9775.6726120707972</v>
      </c>
      <c r="G220" s="31" t="s">
        <v>1902</v>
      </c>
      <c r="H220" s="31">
        <v>0</v>
      </c>
      <c r="I220" s="31">
        <v>118846.25454626</v>
      </c>
      <c r="J220" s="31">
        <v>220819.13041516099</v>
      </c>
      <c r="K220" s="31">
        <v>0</v>
      </c>
      <c r="L220" s="31"/>
      <c r="M220" s="31">
        <f>SUM(M208:M219)</f>
        <v>975942318.60393596</v>
      </c>
      <c r="N220" s="31" t="s">
        <v>548</v>
      </c>
      <c r="O220" s="31"/>
      <c r="P220" s="31"/>
    </row>
    <row r="221" spans="1:95" x14ac:dyDescent="0.25">
      <c r="A221" s="31" t="str">
        <f t="shared" si="15"/>
        <v>HVAC reheat year</v>
      </c>
      <c r="B221" s="31">
        <f t="shared" si="16"/>
        <v>224398634.65421972</v>
      </c>
      <c r="C221" s="31" t="str">
        <f t="shared" si="17"/>
        <v>natural gas</v>
      </c>
      <c r="D221" s="360">
        <f t="shared" si="18"/>
        <v>22439.863465421975</v>
      </c>
      <c r="G221" s="31" t="s">
        <v>1903</v>
      </c>
      <c r="H221" s="31">
        <v>4401.2068515412602</v>
      </c>
      <c r="I221" s="31">
        <v>58732.514144567198</v>
      </c>
      <c r="J221" s="31">
        <v>196988.581177243</v>
      </c>
      <c r="K221" s="31">
        <v>0</v>
      </c>
      <c r="L221" s="31" t="s">
        <v>1291</v>
      </c>
      <c r="M221" s="31">
        <f>M220/kW_to_W</f>
        <v>975942.318603936</v>
      </c>
      <c r="N221" s="31" t="s">
        <v>549</v>
      </c>
      <c r="O221" s="31">
        <f>M221/A201</f>
        <v>579.36427056644118</v>
      </c>
      <c r="P221" s="31"/>
    </row>
    <row r="222" spans="1:95" x14ac:dyDescent="0.25">
      <c r="A222" s="31" t="str">
        <f t="shared" si="15"/>
        <v>HVAC hc cool year</v>
      </c>
      <c r="B222" s="31">
        <f t="shared" si="16"/>
        <v>113192020.11638486</v>
      </c>
      <c r="C222" s="31" t="str">
        <f t="shared" si="17"/>
        <v>electricity</v>
      </c>
      <c r="D222" s="360">
        <f t="shared" si="18"/>
        <v>11319.202011638487</v>
      </c>
      <c r="G222" s="31" t="s">
        <v>1904</v>
      </c>
      <c r="H222" s="31">
        <v>0</v>
      </c>
      <c r="I222" s="31">
        <v>451.59091569512901</v>
      </c>
      <c r="J222" s="31">
        <v>3453.03640709516</v>
      </c>
      <c r="K222" s="31">
        <v>0</v>
      </c>
      <c r="L222" s="31" t="s">
        <v>1905</v>
      </c>
      <c r="M222" s="31">
        <f>M221/12</f>
        <v>81328.526550327995</v>
      </c>
      <c r="N222" s="31" t="s">
        <v>228</v>
      </c>
      <c r="O222" s="470">
        <f>O221/kg_to_lb</f>
        <v>262.79552510928926</v>
      </c>
      <c r="P222" s="470" t="s">
        <v>1914</v>
      </c>
    </row>
    <row r="223" spans="1:95" x14ac:dyDescent="0.25">
      <c r="A223" s="31" t="str">
        <f t="shared" si="15"/>
        <v>HVAC hc humid year</v>
      </c>
      <c r="B223" s="31">
        <f t="shared" si="16"/>
        <v>259515955.14514682</v>
      </c>
      <c r="C223" s="31" t="str">
        <f t="shared" si="17"/>
        <v>natural gas</v>
      </c>
      <c r="D223" s="360">
        <f t="shared" si="18"/>
        <v>25951.595514514684</v>
      </c>
      <c r="G223" s="31"/>
      <c r="H223" s="31"/>
      <c r="I223" s="31"/>
      <c r="J223" s="31"/>
      <c r="K223" s="31"/>
      <c r="L223" s="31"/>
      <c r="M223" s="31">
        <f>M222*0.1</f>
        <v>8132.8526550327997</v>
      </c>
      <c r="N223" s="31" t="s">
        <v>1907</v>
      </c>
      <c r="O223" s="31"/>
      <c r="P223" s="31"/>
    </row>
    <row r="224" spans="1:95" x14ac:dyDescent="0.25">
      <c r="A224" s="31" t="str">
        <f t="shared" si="15"/>
        <v>HVAC Hum heat year</v>
      </c>
      <c r="B224" s="31">
        <f t="shared" si="16"/>
        <v>9720806689.5778294</v>
      </c>
      <c r="C224" s="31" t="str">
        <f t="shared" si="17"/>
        <v>natural gas</v>
      </c>
      <c r="D224" s="360">
        <f t="shared" si="18"/>
        <v>972080.66895778303</v>
      </c>
    </row>
    <row r="225" spans="1:6" x14ac:dyDescent="0.25">
      <c r="A225" s="31" t="str">
        <f t="shared" si="15"/>
        <v>HVAC humid year</v>
      </c>
      <c r="B225" s="31">
        <f t="shared" si="16"/>
        <v>130279329.7539669</v>
      </c>
      <c r="C225" s="31" t="str">
        <f t="shared" si="17"/>
        <v>natural gas</v>
      </c>
      <c r="D225" s="360">
        <f t="shared" si="18"/>
        <v>13027.93297539669</v>
      </c>
    </row>
    <row r="226" spans="1:6" x14ac:dyDescent="0.25">
      <c r="A226" s="31" t="str">
        <f t="shared" si="15"/>
        <v>Q light year</v>
      </c>
      <c r="B226" s="31">
        <f t="shared" si="16"/>
        <v>1781460249.5067554</v>
      </c>
      <c r="C226" s="31" t="str">
        <f t="shared" si="17"/>
        <v>electricity</v>
      </c>
      <c r="D226" s="360">
        <f t="shared" si="18"/>
        <v>178146.02495067555</v>
      </c>
    </row>
    <row r="227" spans="1:6" x14ac:dyDescent="0.25">
      <c r="A227" s="31" t="str">
        <f t="shared" si="15"/>
        <v>Q water year</v>
      </c>
      <c r="B227" s="31">
        <f t="shared" si="16"/>
        <v>2073173.3507192242</v>
      </c>
      <c r="C227" s="31" t="str">
        <f t="shared" si="17"/>
        <v>electricity</v>
      </c>
      <c r="D227" s="360">
        <f t="shared" si="18"/>
        <v>207.31733507192243</v>
      </c>
    </row>
    <row r="228" spans="1:6" x14ac:dyDescent="0.25">
      <c r="A228" s="31" t="str">
        <f t="shared" si="15"/>
        <v>AC P year</v>
      </c>
      <c r="B228" s="31">
        <f t="shared" si="16"/>
        <v>74337131.031575128</v>
      </c>
      <c r="C228" s="31" t="str">
        <f t="shared" si="17"/>
        <v>electricity</v>
      </c>
      <c r="D228" s="360">
        <f t="shared" si="18"/>
        <v>7433.7131031575127</v>
      </c>
    </row>
    <row r="229" spans="1:6" x14ac:dyDescent="0.25">
      <c r="A229" s="31" t="str">
        <f t="shared" si="15"/>
        <v>DH P year</v>
      </c>
      <c r="B229" s="31">
        <f t="shared" si="16"/>
        <v>0</v>
      </c>
      <c r="C229" s="31" t="str">
        <f t="shared" si="17"/>
        <v>electricity</v>
      </c>
      <c r="D229" s="360">
        <f>B229*0.1/1000</f>
        <v>0</v>
      </c>
    </row>
    <row r="230" spans="1:6" x14ac:dyDescent="0.25">
      <c r="D230" s="468">
        <f>SUM(D218:D229)</f>
        <v>1497142.0128374998</v>
      </c>
      <c r="E230" t="s">
        <v>1927</v>
      </c>
    </row>
    <row r="231" spans="1:6" x14ac:dyDescent="0.25">
      <c r="D231" s="468">
        <f>D230/A201</f>
        <v>888.77239327294956</v>
      </c>
      <c r="E231" t="s">
        <v>530</v>
      </c>
    </row>
    <row r="232" spans="1:6" s="31" customFormat="1" x14ac:dyDescent="0.25">
      <c r="D232" s="468"/>
    </row>
    <row r="233" spans="1:6" s="31" customFormat="1" x14ac:dyDescent="0.25">
      <c r="D233" s="468"/>
    </row>
    <row r="235" spans="1:6" x14ac:dyDescent="0.25">
      <c r="A235" s="470" t="s">
        <v>1941</v>
      </c>
      <c r="B235" s="467"/>
      <c r="C235" s="467"/>
      <c r="D235" s="467"/>
      <c r="E235" s="467"/>
      <c r="F235" s="467"/>
    </row>
    <row r="253" spans="1:12" s="31" customFormat="1" x14ac:dyDescent="0.25">
      <c r="B253" s="827" t="s">
        <v>1964</v>
      </c>
      <c r="C253" s="827"/>
      <c r="D253" s="827"/>
      <c r="E253" s="827"/>
      <c r="F253" s="827"/>
      <c r="G253" s="827"/>
      <c r="H253" s="827"/>
      <c r="I253" s="827"/>
      <c r="J253" s="827"/>
    </row>
    <row r="254" spans="1:12" x14ac:dyDescent="0.25">
      <c r="B254" s="31" t="s">
        <v>835</v>
      </c>
      <c r="C254" s="31" t="s">
        <v>893</v>
      </c>
      <c r="D254" s="31" t="s">
        <v>77</v>
      </c>
      <c r="E254" s="31" t="s">
        <v>1889</v>
      </c>
      <c r="F254" s="31" t="s">
        <v>1897</v>
      </c>
      <c r="G254" t="s">
        <v>225</v>
      </c>
      <c r="I254" t="s">
        <v>285</v>
      </c>
      <c r="K254" t="s">
        <v>1973</v>
      </c>
      <c r="L254" t="s">
        <v>1974</v>
      </c>
    </row>
    <row r="255" spans="1:12" x14ac:dyDescent="0.25">
      <c r="A255" s="31" t="s">
        <v>1888</v>
      </c>
      <c r="B255" s="31">
        <v>188551.15665622699</v>
      </c>
      <c r="C255" s="31">
        <v>1207905.84732895</v>
      </c>
      <c r="D255" s="31">
        <v>3543435.9948168201</v>
      </c>
      <c r="E255" s="31">
        <v>419820.93474237999</v>
      </c>
      <c r="F255" s="31" t="s">
        <v>379</v>
      </c>
      <c r="G255">
        <f>SUM(B255:E255)</f>
        <v>5359713.9335443769</v>
      </c>
      <c r="K255" s="10">
        <f>G255/$G$267</f>
        <v>3.5434421247467721E-2</v>
      </c>
    </row>
    <row r="256" spans="1:12" x14ac:dyDescent="0.25">
      <c r="A256" s="31" t="s">
        <v>1893</v>
      </c>
      <c r="B256" s="31">
        <v>7523845.6132067796</v>
      </c>
      <c r="C256" s="31">
        <v>48196051.615855999</v>
      </c>
      <c r="D256" s="31">
        <v>141383598.750539</v>
      </c>
      <c r="E256" s="31">
        <v>16733870.7954848</v>
      </c>
      <c r="F256" s="31" t="s">
        <v>1034</v>
      </c>
      <c r="G256" s="31"/>
      <c r="I256">
        <f>SUM(B256:E256)</f>
        <v>213837366.77508661</v>
      </c>
      <c r="K256" s="10"/>
      <c r="L256" s="10">
        <f t="shared" ref="L256:L262" si="19">I256/$I$267</f>
        <v>0.15364484664409131</v>
      </c>
    </row>
    <row r="257" spans="1:12" x14ac:dyDescent="0.25">
      <c r="A257" s="31" t="s">
        <v>1890</v>
      </c>
      <c r="B257" s="31">
        <v>457401.643002895</v>
      </c>
      <c r="C257" s="31">
        <v>2930229.2754873</v>
      </c>
      <c r="D257" s="31">
        <v>8595934.7831520606</v>
      </c>
      <c r="E257" s="31">
        <v>1018433.34574863</v>
      </c>
      <c r="F257" s="31" t="s">
        <v>379</v>
      </c>
      <c r="G257" s="31">
        <f t="shared" ref="G257:G265" si="20">SUM(B257:E257)</f>
        <v>13001999.047390886</v>
      </c>
      <c r="K257" s="10">
        <f t="shared" ref="K257:K265" si="21">G257/$G$267</f>
        <v>8.595949653599326E-2</v>
      </c>
      <c r="L257" s="10"/>
    </row>
    <row r="258" spans="1:12" x14ac:dyDescent="0.25">
      <c r="A258" s="31" t="s">
        <v>1896</v>
      </c>
      <c r="B258" s="31">
        <v>940948.920728161</v>
      </c>
      <c r="C258" s="31">
        <v>6027954.0234147804</v>
      </c>
      <c r="D258" s="31">
        <v>17683223.662590601</v>
      </c>
      <c r="E258" s="31">
        <v>2095081.58130879</v>
      </c>
      <c r="F258" s="31" t="s">
        <v>1034</v>
      </c>
      <c r="G258" s="31"/>
      <c r="I258">
        <f>SUM(B258:E258)</f>
        <v>26747208.188042331</v>
      </c>
      <c r="K258" s="10"/>
      <c r="L258" s="10">
        <f t="shared" si="19"/>
        <v>1.9218206631452673E-2</v>
      </c>
    </row>
    <row r="259" spans="1:12" x14ac:dyDescent="0.25">
      <c r="A259" s="31" t="s">
        <v>1891</v>
      </c>
      <c r="B259" s="31">
        <v>224760.54090318599</v>
      </c>
      <c r="C259" s="31">
        <v>1439872.2151610299</v>
      </c>
      <c r="D259" s="31">
        <v>4223917.8214266598</v>
      </c>
      <c r="E259" s="31">
        <v>500443.391854749</v>
      </c>
      <c r="F259" s="31" t="s">
        <v>379</v>
      </c>
      <c r="G259" s="31">
        <f t="shared" si="20"/>
        <v>6388993.9693456246</v>
      </c>
      <c r="K259" s="10">
        <f t="shared" si="21"/>
        <v>4.2239251285490144E-2</v>
      </c>
      <c r="L259" s="10"/>
    </row>
    <row r="260" spans="1:12" x14ac:dyDescent="0.25">
      <c r="A260" s="31" t="s">
        <v>1892</v>
      </c>
      <c r="B260" s="31">
        <v>670981.68885366805</v>
      </c>
      <c r="C260" s="31">
        <v>4298476.4442188097</v>
      </c>
      <c r="D260" s="31">
        <v>12609737.910449199</v>
      </c>
      <c r="E260" s="31">
        <v>1493982.6665882401</v>
      </c>
      <c r="F260" s="31" t="s">
        <v>1034</v>
      </c>
      <c r="G260" s="31"/>
      <c r="I260">
        <f>SUM(B260:E260)</f>
        <v>19073178.710109916</v>
      </c>
      <c r="K260" s="10"/>
      <c r="L260" s="10">
        <f t="shared" si="19"/>
        <v>1.3704319605714515E-2</v>
      </c>
    </row>
    <row r="261" spans="1:12" x14ac:dyDescent="0.25">
      <c r="A261" s="31" t="s">
        <v>1894</v>
      </c>
      <c r="B261" s="31">
        <v>39829384.596045002</v>
      </c>
      <c r="C261" s="31">
        <v>255156995.068414</v>
      </c>
      <c r="D261" s="31">
        <v>748512380.04520404</v>
      </c>
      <c r="E261" s="31">
        <v>88607489.417839795</v>
      </c>
      <c r="F261" s="31" t="s">
        <v>1034</v>
      </c>
      <c r="G261" s="31"/>
      <c r="I261">
        <f>SUM(B261:E261)</f>
        <v>1132106249.1275029</v>
      </c>
      <c r="K261" s="10"/>
      <c r="L261" s="10">
        <f t="shared" si="19"/>
        <v>0.81343262711874154</v>
      </c>
    </row>
    <row r="262" spans="1:12" x14ac:dyDescent="0.25">
      <c r="A262" s="31" t="s">
        <v>1895</v>
      </c>
      <c r="B262" s="31">
        <v>0</v>
      </c>
      <c r="C262" s="31">
        <v>0</v>
      </c>
      <c r="D262" s="31">
        <v>0</v>
      </c>
      <c r="E262" s="31">
        <v>0</v>
      </c>
      <c r="F262" s="31" t="s">
        <v>1034</v>
      </c>
      <c r="G262" s="31"/>
      <c r="I262">
        <f>SUM(B262:E262)</f>
        <v>0</v>
      </c>
      <c r="K262" s="10"/>
      <c r="L262" s="10">
        <f t="shared" si="19"/>
        <v>0</v>
      </c>
    </row>
    <row r="263" spans="1:12" x14ac:dyDescent="0.25">
      <c r="A263" s="31" t="s">
        <v>1898</v>
      </c>
      <c r="B263" s="31">
        <v>4418285.3895795699</v>
      </c>
      <c r="C263" s="31">
        <v>28304640.776997499</v>
      </c>
      <c r="D263" s="31">
        <v>83032699.2549344</v>
      </c>
      <c r="E263" s="31">
        <v>9837588.5627346206</v>
      </c>
      <c r="F263" s="31" t="s">
        <v>379</v>
      </c>
      <c r="G263" s="31">
        <f t="shared" si="20"/>
        <v>125593213.98424609</v>
      </c>
      <c r="K263" s="10">
        <f t="shared" si="21"/>
        <v>0.83032842896488934</v>
      </c>
      <c r="L263" s="31"/>
    </row>
    <row r="264" spans="1:12" x14ac:dyDescent="0.25">
      <c r="A264" s="31" t="s">
        <v>1900</v>
      </c>
      <c r="B264" s="31">
        <f>SUM(Y228:AB228)</f>
        <v>0</v>
      </c>
      <c r="C264" s="31">
        <f>AC228</f>
        <v>0</v>
      </c>
      <c r="F264" s="31" t="s">
        <v>379</v>
      </c>
      <c r="G264" s="31"/>
      <c r="K264" s="10"/>
      <c r="L264" s="31"/>
    </row>
    <row r="265" spans="1:12" x14ac:dyDescent="0.25">
      <c r="A265" s="31" t="s">
        <v>1899</v>
      </c>
      <c r="B265" s="31">
        <v>46483.328982479303</v>
      </c>
      <c r="C265" s="31">
        <v>215101.221464022</v>
      </c>
      <c r="D265" s="31">
        <v>563854.63246976398</v>
      </c>
      <c r="E265" s="31">
        <v>87913.032669295804</v>
      </c>
      <c r="F265" s="31" t="s">
        <v>379</v>
      </c>
      <c r="G265" s="31">
        <f t="shared" si="20"/>
        <v>913352.215585561</v>
      </c>
      <c r="K265" s="10">
        <f t="shared" si="21"/>
        <v>6.0384019661594793E-3</v>
      </c>
      <c r="L265" s="31"/>
    </row>
    <row r="266" spans="1:12" ht="16.5" customHeight="1" x14ac:dyDescent="0.25">
      <c r="A266" s="31" t="s">
        <v>1901</v>
      </c>
      <c r="B266" s="31">
        <v>0</v>
      </c>
      <c r="C266" s="31">
        <v>0</v>
      </c>
      <c r="D266" s="31">
        <v>0</v>
      </c>
      <c r="E266" s="31">
        <v>0</v>
      </c>
      <c r="F266" s="31" t="s">
        <v>379</v>
      </c>
      <c r="G266" s="31"/>
      <c r="K266" s="10"/>
      <c r="L266" s="31"/>
    </row>
    <row r="267" spans="1:12" x14ac:dyDescent="0.25">
      <c r="G267">
        <f>SUM(G255:G266)</f>
        <v>151257273.15011254</v>
      </c>
      <c r="H267" t="s">
        <v>548</v>
      </c>
      <c r="I267">
        <f>SUM(I255:I266)</f>
        <v>1391764002.8007417</v>
      </c>
      <c r="J267" t="s">
        <v>548</v>
      </c>
      <c r="K267" s="31"/>
      <c r="L267" s="31"/>
    </row>
    <row r="268" spans="1:12" x14ac:dyDescent="0.25">
      <c r="G268">
        <f>G267*BTU_per_hour_to_W</f>
        <v>516089815.98818398</v>
      </c>
      <c r="H268" t="s">
        <v>1962</v>
      </c>
      <c r="I268">
        <f>I267*BTU_per_hour_to_W</f>
        <v>4748698777.5561304</v>
      </c>
      <c r="J268" t="s">
        <v>1962</v>
      </c>
    </row>
    <row r="269" spans="1:12" x14ac:dyDescent="0.25">
      <c r="G269">
        <f>G268/1000</f>
        <v>516089.81598818395</v>
      </c>
      <c r="H269" t="s">
        <v>1963</v>
      </c>
      <c r="I269">
        <f>I268/1000</f>
        <v>4748698.7775561307</v>
      </c>
      <c r="J269" t="s">
        <v>1963</v>
      </c>
    </row>
    <row r="270" spans="1:12" x14ac:dyDescent="0.25">
      <c r="G270">
        <f>'Indoor Inputs'!G6</f>
        <v>14811.126399999999</v>
      </c>
      <c r="H270" t="s">
        <v>159</v>
      </c>
      <c r="I270">
        <f>'Indoor Inputs'!G6</f>
        <v>14811.126399999999</v>
      </c>
      <c r="J270" t="s">
        <v>159</v>
      </c>
    </row>
    <row r="271" spans="1:12" x14ac:dyDescent="0.25">
      <c r="G271" s="472">
        <f>G269/G270</f>
        <v>34.844737803883973</v>
      </c>
      <c r="H271" s="471" t="s">
        <v>799</v>
      </c>
      <c r="I271" s="472">
        <f>I269/I270</f>
        <v>320.61699085601828</v>
      </c>
      <c r="J271" s="471" t="s">
        <v>799</v>
      </c>
    </row>
    <row r="272" spans="1:12" x14ac:dyDescent="0.25">
      <c r="G272" t="s">
        <v>1965</v>
      </c>
      <c r="I272">
        <f>SUM(AK183:AN194)*BTU_per_hour_to_W/1000/'Indoor Inputs'!G6</f>
        <v>3285.1047723850024</v>
      </c>
      <c r="J272" t="s">
        <v>799</v>
      </c>
    </row>
    <row r="274" spans="1:21" x14ac:dyDescent="0.25">
      <c r="A274" s="31"/>
      <c r="B274" s="827" t="s">
        <v>2011</v>
      </c>
      <c r="C274" s="827"/>
      <c r="D274" s="827"/>
      <c r="E274" s="827"/>
      <c r="F274" s="827"/>
      <c r="G274" s="827"/>
      <c r="H274" s="827"/>
      <c r="I274" s="827"/>
      <c r="J274" s="827"/>
    </row>
    <row r="275" spans="1:21" s="31" customFormat="1" x14ac:dyDescent="0.25">
      <c r="A275" s="37" t="s">
        <v>2012</v>
      </c>
      <c r="B275" s="488"/>
      <c r="C275" s="488"/>
      <c r="D275" s="488"/>
      <c r="E275" s="488"/>
      <c r="F275" s="488"/>
      <c r="G275" s="488"/>
      <c r="H275" s="488"/>
      <c r="I275" s="488"/>
      <c r="J275" s="488"/>
    </row>
    <row r="276" spans="1:21" x14ac:dyDescent="0.25">
      <c r="A276" s="31"/>
      <c r="B276" s="31" t="s">
        <v>835</v>
      </c>
      <c r="C276" s="31" t="s">
        <v>893</v>
      </c>
      <c r="D276" s="31" t="s">
        <v>77</v>
      </c>
      <c r="E276" s="31" t="s">
        <v>1889</v>
      </c>
      <c r="F276" s="31" t="s">
        <v>1897</v>
      </c>
      <c r="G276" s="31" t="s">
        <v>225</v>
      </c>
      <c r="H276" s="31"/>
      <c r="I276" s="31" t="s">
        <v>285</v>
      </c>
      <c r="J276" s="31"/>
      <c r="K276" t="s">
        <v>1986</v>
      </c>
      <c r="L276" t="s">
        <v>1987</v>
      </c>
      <c r="M276" t="s">
        <v>1988</v>
      </c>
      <c r="N276" t="s">
        <v>1988</v>
      </c>
      <c r="R276" t="s">
        <v>943</v>
      </c>
      <c r="S276" t="s">
        <v>944</v>
      </c>
      <c r="T276" t="s">
        <v>945</v>
      </c>
      <c r="U276" t="s">
        <v>942</v>
      </c>
    </row>
    <row r="277" spans="1:21" x14ac:dyDescent="0.25">
      <c r="A277" s="31" t="s">
        <v>1888</v>
      </c>
      <c r="B277" s="31">
        <v>39858.099241866403</v>
      </c>
      <c r="C277" s="31">
        <v>255340.948268206</v>
      </c>
      <c r="D277" s="31">
        <v>749052.01348679198</v>
      </c>
      <c r="E277" s="31">
        <v>88746.549093217996</v>
      </c>
      <c r="F277" s="31" t="s">
        <v>379</v>
      </c>
      <c r="G277" s="31">
        <f>SUM(B277:E277)</f>
        <v>1132997.6100900825</v>
      </c>
      <c r="H277" s="31"/>
      <c r="I277" s="31"/>
      <c r="J277" s="31"/>
      <c r="K277" s="10">
        <f>G277/$G$289</f>
        <v>8.7228047041279788E-3</v>
      </c>
      <c r="L277" s="10"/>
      <c r="M277" s="10">
        <f>G277/($G$289+$I$289)</f>
        <v>2.6873691134125877E-3</v>
      </c>
      <c r="N277" s="10"/>
      <c r="Q277" t="s">
        <v>2001</v>
      </c>
      <c r="R277" s="240">
        <v>28232000</v>
      </c>
      <c r="S277" s="240">
        <v>180860000</v>
      </c>
      <c r="T277" s="240">
        <v>530560000</v>
      </c>
      <c r="U277" s="240">
        <v>62808000</v>
      </c>
    </row>
    <row r="278" spans="1:21" x14ac:dyDescent="0.25">
      <c r="A278" s="31" t="s">
        <v>1893</v>
      </c>
      <c r="B278" s="31">
        <v>2123792.5471918001</v>
      </c>
      <c r="C278" s="31">
        <v>13599328.817947499</v>
      </c>
      <c r="D278" s="31">
        <v>39891905.056795701</v>
      </c>
      <c r="E278" s="31">
        <v>4723083.4129020302</v>
      </c>
      <c r="F278" s="31" t="s">
        <v>1034</v>
      </c>
      <c r="G278" s="31"/>
      <c r="H278" s="31"/>
      <c r="I278" s="31">
        <f>SUM(B278:E278)</f>
        <v>60338109.834837027</v>
      </c>
      <c r="J278" s="31"/>
      <c r="K278" s="10"/>
      <c r="L278" s="10">
        <f>I278/$I$289</f>
        <v>0.20684144277540764</v>
      </c>
      <c r="M278" s="10"/>
      <c r="N278" s="10">
        <f>I278/($G$289+$I$289)</f>
        <v>0.14311660614972085</v>
      </c>
      <c r="Q278" t="s">
        <v>2002</v>
      </c>
      <c r="R278" s="240">
        <v>5898900</v>
      </c>
      <c r="S278" s="240">
        <v>37790000</v>
      </c>
      <c r="T278" s="240">
        <v>110860000</v>
      </c>
      <c r="U278" s="240">
        <v>13128000</v>
      </c>
    </row>
    <row r="279" spans="1:21" x14ac:dyDescent="0.25">
      <c r="A279" s="31" t="s">
        <v>1890</v>
      </c>
      <c r="B279" s="31">
        <v>69878.296572021995</v>
      </c>
      <c r="C279" s="31">
        <v>447657.83741451602</v>
      </c>
      <c r="D279" s="31">
        <v>1313220.6437812401</v>
      </c>
      <c r="E279" s="31">
        <v>155588.39471114299</v>
      </c>
      <c r="F279" s="31" t="s">
        <v>379</v>
      </c>
      <c r="G279" s="31">
        <f t="shared" ref="G279" si="22">SUM(B279:E279)</f>
        <v>1986345.1724789212</v>
      </c>
      <c r="H279" s="31"/>
      <c r="I279" s="31"/>
      <c r="J279" s="31"/>
      <c r="K279" s="10">
        <f>G279/$G$289</f>
        <v>1.5292619207858205E-2</v>
      </c>
      <c r="L279" s="10"/>
      <c r="M279" s="10">
        <f>G279/($G$289+$I$289)</f>
        <v>4.7114332965553516E-3</v>
      </c>
      <c r="N279" s="10"/>
      <c r="Q279" t="s">
        <v>2000</v>
      </c>
      <c r="R279" s="240">
        <v>5278200</v>
      </c>
      <c r="S279" s="240">
        <v>33814000</v>
      </c>
      <c r="T279" s="240">
        <v>99193000</v>
      </c>
      <c r="U279" s="240">
        <v>11746000</v>
      </c>
    </row>
    <row r="280" spans="1:21" x14ac:dyDescent="0.25">
      <c r="A280" s="31" t="s">
        <v>1896</v>
      </c>
      <c r="B280" s="31">
        <v>234586.734639528</v>
      </c>
      <c r="C280" s="31">
        <v>1502821.2687844699</v>
      </c>
      <c r="D280" s="31">
        <v>4408581.1732451804</v>
      </c>
      <c r="E280" s="31">
        <v>522322.02634582302</v>
      </c>
      <c r="F280" s="31" t="s">
        <v>1034</v>
      </c>
      <c r="G280" s="31"/>
      <c r="H280" s="31"/>
      <c r="I280" s="31">
        <f>SUM(B280:E280)</f>
        <v>6668311.2030150015</v>
      </c>
      <c r="J280" s="31"/>
      <c r="K280" s="10"/>
      <c r="L280" s="10">
        <f>I280/$I$289</f>
        <v>2.2859236291666023E-2</v>
      </c>
      <c r="M280" s="10"/>
      <c r="N280" s="10">
        <f>I280/($G$289+$I$289)</f>
        <v>1.5816638451850617E-2</v>
      </c>
      <c r="R280" s="10">
        <f>R277/SUM($R$277:$R$279)</f>
        <v>0.71638276438690551</v>
      </c>
      <c r="S280" s="10">
        <f>S277/SUM($S$277:$S$279)</f>
        <v>0.7163793649787692</v>
      </c>
      <c r="T280" s="10">
        <f>T277/SUM($T$277:$T$279)</f>
        <v>0.71637953965161294</v>
      </c>
      <c r="U280" s="10">
        <f>U277/SUM($U$277:$U$279)</f>
        <v>0.71631577746857966</v>
      </c>
    </row>
    <row r="281" spans="1:21" x14ac:dyDescent="0.25">
      <c r="A281" s="31" t="s">
        <v>1891</v>
      </c>
      <c r="B281" s="31">
        <v>27644.938422887299</v>
      </c>
      <c r="C281" s="31">
        <v>177100.386771622</v>
      </c>
      <c r="D281" s="31">
        <v>519530.46387699601</v>
      </c>
      <c r="E281" s="31">
        <v>61553.183207210102</v>
      </c>
      <c r="F281" s="31" t="s">
        <v>379</v>
      </c>
      <c r="G281" s="31">
        <f t="shared" ref="G281" si="23">SUM(B281:E281)</f>
        <v>785828.97227871546</v>
      </c>
      <c r="H281" s="31"/>
      <c r="I281" s="31"/>
      <c r="J281" s="31"/>
      <c r="K281" s="10">
        <f>G281/$G$289</f>
        <v>6.0499974536467344E-3</v>
      </c>
      <c r="L281" s="10"/>
      <c r="M281" s="10">
        <f>G281/($G$289+$I$289)</f>
        <v>1.8639161192570127E-3</v>
      </c>
      <c r="N281" s="10"/>
      <c r="R281" s="10">
        <f t="shared" ref="R281:R282" si="24">R278/SUM($R$277:$R$279)</f>
        <v>0.14968370249510901</v>
      </c>
      <c r="S281" s="10">
        <f t="shared" ref="S281:S282" si="25">S278/SUM($S$277:$S$279)</f>
        <v>0.1496847075226567</v>
      </c>
      <c r="T281" s="10">
        <f t="shared" ref="T281:T282" si="26">T278/SUM($T$277:$T$279)</f>
        <v>0.14968681349098653</v>
      </c>
      <c r="U281" s="10">
        <f t="shared" ref="U281:U282" si="27">U278/SUM($U$277:$U$279)</f>
        <v>0.14972286216099084</v>
      </c>
    </row>
    <row r="282" spans="1:21" x14ac:dyDescent="0.25">
      <c r="A282" s="31" t="s">
        <v>1892</v>
      </c>
      <c r="B282" s="31">
        <v>7420.7766391313398</v>
      </c>
      <c r="C282" s="31">
        <v>47539.350344435101</v>
      </c>
      <c r="D282" s="31">
        <v>139458.423479925</v>
      </c>
      <c r="E282" s="31">
        <v>16522.822985565901</v>
      </c>
      <c r="F282" s="31" t="s">
        <v>1034</v>
      </c>
      <c r="G282" s="31"/>
      <c r="H282" s="31"/>
      <c r="I282" s="31">
        <f>SUM(B282:E282)</f>
        <v>210941.37344905734</v>
      </c>
      <c r="J282" s="31"/>
      <c r="K282" s="10"/>
      <c r="L282" s="10">
        <f>I282/$I$289</f>
        <v>7.2311542646365582E-4</v>
      </c>
      <c r="M282" s="10"/>
      <c r="N282" s="10">
        <f>I282/($G$289+$I$289)</f>
        <v>5.0033409311671492E-4</v>
      </c>
      <c r="R282" s="10">
        <f t="shared" si="24"/>
        <v>0.13393353311798545</v>
      </c>
      <c r="S282" s="10">
        <f t="shared" si="25"/>
        <v>0.13393592749857405</v>
      </c>
      <c r="T282" s="10">
        <f t="shared" si="26"/>
        <v>0.13393364685740056</v>
      </c>
      <c r="U282" s="10">
        <f t="shared" si="27"/>
        <v>0.13396136037042949</v>
      </c>
    </row>
    <row r="283" spans="1:21" x14ac:dyDescent="0.25">
      <c r="A283" s="31" t="s">
        <v>1894</v>
      </c>
      <c r="B283" s="31">
        <v>7881821.1530554099</v>
      </c>
      <c r="C283" s="31">
        <v>50492916.761761099</v>
      </c>
      <c r="D283" s="31">
        <v>148122818.62246001</v>
      </c>
      <c r="E283" s="31">
        <v>17538408.015231799</v>
      </c>
      <c r="F283" s="31" t="s">
        <v>1034</v>
      </c>
      <c r="G283" s="31"/>
      <c r="H283" s="31"/>
      <c r="I283" s="31">
        <f>SUM(B283:E283)</f>
        <v>224035964.55250829</v>
      </c>
      <c r="J283" s="31"/>
      <c r="K283" s="10"/>
      <c r="L283" s="10">
        <f>I283/$I$289</f>
        <v>0.76800420610567277</v>
      </c>
      <c r="M283" s="10"/>
      <c r="N283" s="10">
        <f>I283/($G$289+$I$289)</f>
        <v>0.53139329339285979</v>
      </c>
    </row>
    <row r="284" spans="1:21" x14ac:dyDescent="0.25">
      <c r="A284" s="31" t="s">
        <v>1895</v>
      </c>
      <c r="B284" s="31">
        <v>16132.2190112301</v>
      </c>
      <c r="C284" s="31">
        <v>103347.028040693</v>
      </c>
      <c r="D284" s="31">
        <v>303172.28774620302</v>
      </c>
      <c r="E284" s="31">
        <v>35919.393892191998</v>
      </c>
      <c r="F284" s="31" t="s">
        <v>1034</v>
      </c>
      <c r="G284" s="31"/>
      <c r="H284" s="31"/>
      <c r="I284" s="31">
        <f>SUM(B284:E284)</f>
        <v>458570.92869031808</v>
      </c>
      <c r="J284" s="31"/>
      <c r="K284" s="10"/>
      <c r="L284" s="10"/>
      <c r="M284" s="10"/>
      <c r="N284" s="10">
        <f>I284/($G$289+$I$289)</f>
        <v>1.0876892758611427E-3</v>
      </c>
    </row>
    <row r="285" spans="1:21" x14ac:dyDescent="0.25">
      <c r="A285" s="31" t="s">
        <v>1898</v>
      </c>
      <c r="B285" s="31">
        <v>4418285.3895795699</v>
      </c>
      <c r="C285" s="31">
        <v>28304640.776997499</v>
      </c>
      <c r="D285" s="31">
        <v>83032699.2549344</v>
      </c>
      <c r="E285" s="31">
        <v>9837588.5627346206</v>
      </c>
      <c r="F285" s="31" t="s">
        <v>379</v>
      </c>
      <c r="G285" s="31">
        <f t="shared" ref="G285" si="28">SUM(B285:E285)</f>
        <v>125593213.98424609</v>
      </c>
      <c r="H285" s="31"/>
      <c r="I285" s="31"/>
      <c r="J285" s="31"/>
      <c r="K285" s="10">
        <f>G285/$G$289</f>
        <v>0.96692620354356318</v>
      </c>
      <c r="L285" s="10"/>
      <c r="M285" s="10">
        <f>G285/($G$289+$I$289)</f>
        <v>0.29789588354793234</v>
      </c>
      <c r="N285" s="10"/>
    </row>
    <row r="286" spans="1:21" x14ac:dyDescent="0.25">
      <c r="A286" s="31" t="s">
        <v>1900</v>
      </c>
      <c r="B286" s="31">
        <f>SUM(Y249:AB249)</f>
        <v>0</v>
      </c>
      <c r="C286" s="31">
        <f>AC249</f>
        <v>0</v>
      </c>
      <c r="D286" s="31"/>
      <c r="E286" s="31"/>
      <c r="F286" s="31" t="s">
        <v>379</v>
      </c>
      <c r="G286" s="31"/>
      <c r="H286" s="31"/>
      <c r="I286" s="31"/>
      <c r="J286" s="31"/>
      <c r="K286" s="10"/>
      <c r="L286" s="10"/>
      <c r="M286" s="10"/>
      <c r="N286" s="10"/>
    </row>
    <row r="287" spans="1:21" x14ac:dyDescent="0.25">
      <c r="A287" s="31" t="s">
        <v>1899</v>
      </c>
      <c r="B287" s="31">
        <v>22325.3487916714</v>
      </c>
      <c r="C287" s="31">
        <v>91638.914020849596</v>
      </c>
      <c r="D287" s="31">
        <v>236837.048073507</v>
      </c>
      <c r="E287" s="31">
        <v>39953.945450548301</v>
      </c>
      <c r="F287" s="31" t="s">
        <v>379</v>
      </c>
      <c r="G287" s="31">
        <f t="shared" ref="G287" si="29">SUM(B287:E287)</f>
        <v>390755.25633657631</v>
      </c>
      <c r="H287" s="31"/>
      <c r="I287" s="31"/>
      <c r="J287" s="31"/>
      <c r="K287" s="477">
        <f>G287/$G$289</f>
        <v>3.0083750908039605E-3</v>
      </c>
      <c r="L287" s="10"/>
      <c r="M287" s="478">
        <f>G287/($G$289+$I$289)</f>
        <v>9.2683655943373241E-4</v>
      </c>
      <c r="N287" s="10"/>
    </row>
    <row r="288" spans="1:21" x14ac:dyDescent="0.25">
      <c r="A288" s="31" t="s">
        <v>1901</v>
      </c>
      <c r="B288" s="31">
        <v>0</v>
      </c>
      <c r="C288" s="31">
        <v>0</v>
      </c>
      <c r="D288" s="31">
        <v>0</v>
      </c>
      <c r="E288" s="31">
        <v>0</v>
      </c>
      <c r="F288" s="31" t="s">
        <v>379</v>
      </c>
      <c r="G288" s="31"/>
      <c r="H288" s="31"/>
      <c r="I288" s="31"/>
      <c r="J288" s="31"/>
      <c r="K288" s="10"/>
      <c r="L288" s="10"/>
      <c r="M288" s="10"/>
      <c r="N288" s="10"/>
    </row>
    <row r="289" spans="1:14" ht="15.75" thickBot="1" x14ac:dyDescent="0.3">
      <c r="A289" s="31"/>
      <c r="B289" s="31"/>
      <c r="C289" s="31"/>
      <c r="D289" s="31"/>
      <c r="E289" s="31"/>
      <c r="F289" s="31"/>
      <c r="G289" s="31">
        <f>SUM(G277:G288)</f>
        <v>129889140.99543038</v>
      </c>
      <c r="H289" s="31" t="s">
        <v>548</v>
      </c>
      <c r="I289" s="31">
        <f>SUM(I277:I288)</f>
        <v>291711897.89249969</v>
      </c>
      <c r="J289" s="31" t="s">
        <v>548</v>
      </c>
      <c r="K289" s="31"/>
      <c r="L289" s="31"/>
    </row>
    <row r="290" spans="1:14" x14ac:dyDescent="0.25">
      <c r="A290" s="49">
        <f>'Indoor Inputs'!G6</f>
        <v>14811.126399999999</v>
      </c>
      <c r="B290" s="51" t="s">
        <v>159</v>
      </c>
      <c r="C290" s="31"/>
      <c r="D290" s="31"/>
      <c r="E290" s="31"/>
      <c r="F290" s="31"/>
      <c r="G290" s="31">
        <f>G289*BTU_per_hour_to_W</f>
        <v>443181749.07640845</v>
      </c>
      <c r="H290" s="31" t="s">
        <v>1962</v>
      </c>
      <c r="I290" s="31">
        <f>I289*BTU_per_hour_to_W</f>
        <v>995320995.60920894</v>
      </c>
      <c r="J290" s="31" t="s">
        <v>1962</v>
      </c>
    </row>
    <row r="291" spans="1:14" x14ac:dyDescent="0.25">
      <c r="A291" s="52">
        <v>100</v>
      </c>
      <c r="B291" s="54" t="s">
        <v>2003</v>
      </c>
      <c r="C291" s="31"/>
      <c r="D291" s="31"/>
      <c r="E291" s="31"/>
      <c r="F291" s="31"/>
      <c r="G291" s="31">
        <f>G290/1000</f>
        <v>443181.74907640845</v>
      </c>
      <c r="H291" s="31" t="s">
        <v>1963</v>
      </c>
      <c r="I291" s="31">
        <f>I290/1000</f>
        <v>995320.99560920894</v>
      </c>
      <c r="J291" s="31" t="s">
        <v>1963</v>
      </c>
    </row>
    <row r="292" spans="1:14" x14ac:dyDescent="0.25">
      <c r="A292" s="52">
        <f>A290/A291</f>
        <v>148.11126400000001</v>
      </c>
      <c r="B292" s="54" t="s">
        <v>2004</v>
      </c>
      <c r="E292" s="31"/>
      <c r="F292" s="31"/>
      <c r="G292" s="31">
        <f>'Indoor Inputs'!G6</f>
        <v>14811.126399999999</v>
      </c>
      <c r="H292" s="31" t="s">
        <v>159</v>
      </c>
      <c r="I292" s="31">
        <f>'Indoor Inputs'!G6</f>
        <v>14811.126399999999</v>
      </c>
      <c r="J292" s="31" t="s">
        <v>159</v>
      </c>
    </row>
    <row r="293" spans="1:14" x14ac:dyDescent="0.25">
      <c r="A293" s="52">
        <v>20</v>
      </c>
      <c r="B293" s="54" t="s">
        <v>2005</v>
      </c>
      <c r="E293" s="31"/>
      <c r="F293" s="31"/>
      <c r="G293" s="472">
        <f>G291/G292</f>
        <v>29.922217737363209</v>
      </c>
      <c r="H293" s="471" t="s">
        <v>799</v>
      </c>
      <c r="I293" s="472">
        <f>I291/I292</f>
        <v>67.200898076813999</v>
      </c>
      <c r="J293" s="471" t="s">
        <v>799</v>
      </c>
      <c r="K293">
        <v>296</v>
      </c>
    </row>
    <row r="294" spans="1:14" x14ac:dyDescent="0.25">
      <c r="A294" s="52">
        <f>A293*A292</f>
        <v>2962.2252800000001</v>
      </c>
      <c r="B294" s="54" t="s">
        <v>2006</v>
      </c>
      <c r="E294" s="31"/>
      <c r="F294" s="31"/>
      <c r="G294" s="31" t="str">
        <f>G272</f>
        <v>From above (N = 30, HPS lights, no scaler)</v>
      </c>
      <c r="H294" s="31"/>
      <c r="I294" s="31">
        <f>I272</f>
        <v>3285.1047723850024</v>
      </c>
      <c r="J294" s="31" t="str">
        <f>J272</f>
        <v>kBTU/ft^2</v>
      </c>
    </row>
    <row r="295" spans="1:14" ht="15.75" thickBot="1" x14ac:dyDescent="0.3">
      <c r="A295" s="52">
        <f>4*'Indoor Inputs'!G10/ft3_to_m3/hr_to_min</f>
        <v>14811.165103401516</v>
      </c>
      <c r="B295" s="54" t="s">
        <v>2007</v>
      </c>
      <c r="E295" s="31"/>
    </row>
    <row r="296" spans="1:14" ht="15.75" thickBot="1" x14ac:dyDescent="0.3">
      <c r="A296" s="489">
        <f>A294/A295</f>
        <v>0.19999947737532808</v>
      </c>
      <c r="B296" s="57" t="s">
        <v>2008</v>
      </c>
      <c r="C296" s="31"/>
      <c r="D296" s="31"/>
      <c r="E296" s="31"/>
      <c r="G296" s="479" t="s">
        <v>2009</v>
      </c>
      <c r="H296" s="480">
        <v>30</v>
      </c>
      <c r="I296" s="481" t="s">
        <v>2010</v>
      </c>
    </row>
    <row r="297" spans="1:14" x14ac:dyDescent="0.25">
      <c r="B297" s="31"/>
      <c r="C297" s="31"/>
      <c r="D297" s="31"/>
      <c r="E297" s="31"/>
      <c r="G297" s="482"/>
      <c r="H297" s="483">
        <f>H296*1000</f>
        <v>30000</v>
      </c>
      <c r="I297" s="484" t="s">
        <v>1001</v>
      </c>
    </row>
    <row r="298" spans="1:14" ht="15.75" thickBot="1" x14ac:dyDescent="0.3">
      <c r="C298" s="31"/>
      <c r="D298" s="31"/>
      <c r="E298" s="31"/>
      <c r="G298" s="482"/>
      <c r="H298" s="483">
        <f>H297*BTU_per_hour_to_W</f>
        <v>102360</v>
      </c>
      <c r="I298" s="484" t="s">
        <v>1972</v>
      </c>
    </row>
    <row r="299" spans="1:14" ht="15.75" thickBot="1" x14ac:dyDescent="0.3">
      <c r="C299" s="31"/>
      <c r="D299" s="31"/>
      <c r="E299" s="31"/>
      <c r="F299" s="31"/>
      <c r="G299" s="485"/>
      <c r="H299" s="486">
        <f>H298/1000</f>
        <v>102.36</v>
      </c>
      <c r="I299" s="487" t="s">
        <v>855</v>
      </c>
      <c r="J299" s="31"/>
    </row>
    <row r="301" spans="1:14" x14ac:dyDescent="0.25">
      <c r="A301" s="31"/>
      <c r="B301" s="827" t="s">
        <v>2011</v>
      </c>
      <c r="C301" s="827"/>
      <c r="D301" s="827"/>
      <c r="E301" s="827"/>
      <c r="F301" s="827"/>
      <c r="G301" s="827"/>
      <c r="H301" s="827"/>
      <c r="I301" s="827"/>
      <c r="J301" s="827"/>
      <c r="K301" s="31"/>
      <c r="L301" s="31"/>
      <c r="M301" s="31"/>
      <c r="N301" s="31"/>
    </row>
    <row r="302" spans="1:14" x14ac:dyDescent="0.25">
      <c r="A302" s="37" t="s">
        <v>2013</v>
      </c>
      <c r="B302" s="488"/>
      <c r="C302" s="488"/>
      <c r="D302" s="488"/>
      <c r="E302" s="488"/>
      <c r="F302" s="488"/>
      <c r="G302" s="488"/>
      <c r="H302" s="488"/>
      <c r="I302" s="488"/>
      <c r="J302" s="488"/>
      <c r="K302" s="31"/>
      <c r="L302" s="31"/>
      <c r="M302" s="31"/>
      <c r="N302" s="31"/>
    </row>
    <row r="303" spans="1:14" x14ac:dyDescent="0.25">
      <c r="A303" s="31"/>
      <c r="B303" s="31" t="s">
        <v>835</v>
      </c>
      <c r="C303" s="31" t="s">
        <v>893</v>
      </c>
      <c r="D303" s="31" t="s">
        <v>77</v>
      </c>
      <c r="E303" s="31" t="s">
        <v>1889</v>
      </c>
      <c r="F303" s="31" t="s">
        <v>1897</v>
      </c>
      <c r="G303" s="31" t="s">
        <v>225</v>
      </c>
      <c r="H303" s="31"/>
      <c r="I303" s="31" t="s">
        <v>285</v>
      </c>
      <c r="J303" s="31" t="s">
        <v>1986</v>
      </c>
      <c r="K303" s="31" t="s">
        <v>1987</v>
      </c>
      <c r="L303" s="31" t="s">
        <v>1988</v>
      </c>
      <c r="M303" s="31" t="s">
        <v>1988</v>
      </c>
    </row>
    <row r="304" spans="1:14" x14ac:dyDescent="0.25">
      <c r="A304" s="31" t="s">
        <v>1888</v>
      </c>
      <c r="B304" s="31">
        <v>19929.049620933201</v>
      </c>
      <c r="C304" s="31">
        <v>127670.474134103</v>
      </c>
      <c r="D304" s="31">
        <v>374526.00674339599</v>
      </c>
      <c r="E304" s="31">
        <v>44373.274546608998</v>
      </c>
      <c r="F304" s="31" t="s">
        <v>379</v>
      </c>
      <c r="G304" s="31">
        <f>SUM(B304:E304)</f>
        <v>566498.80504504126</v>
      </c>
      <c r="H304" s="31"/>
      <c r="I304" s="31"/>
      <c r="J304" s="477">
        <f>G304/$G$316</f>
        <v>4.4279666942924345E-3</v>
      </c>
      <c r="K304" s="10"/>
      <c r="L304" s="10"/>
      <c r="M304" s="10">
        <f>I304/($G$316+$I$316)</f>
        <v>0</v>
      </c>
    </row>
    <row r="305" spans="1:14" x14ac:dyDescent="0.25">
      <c r="A305" s="31" t="s">
        <v>1893</v>
      </c>
      <c r="B305" s="31">
        <v>1062471.2735959</v>
      </c>
      <c r="C305" s="31">
        <v>6800239.4089737302</v>
      </c>
      <c r="D305" s="31">
        <v>19946527.528397799</v>
      </c>
      <c r="E305" s="31">
        <v>2362116.2064510202</v>
      </c>
      <c r="F305" s="31" t="s">
        <v>1034</v>
      </c>
      <c r="G305" s="31"/>
      <c r="H305" s="31"/>
      <c r="I305" s="31">
        <f>SUM(B305:E305)</f>
        <v>30171354.41741845</v>
      </c>
      <c r="J305" s="477"/>
      <c r="K305" s="10">
        <f>I305/$I$316</f>
        <v>0.2068539471632069</v>
      </c>
      <c r="L305" s="10">
        <f t="shared" ref="L305:L311" si="30">G305/($G$316+$I$316)</f>
        <v>0</v>
      </c>
      <c r="M305" s="10">
        <f t="shared" ref="M305:M314" si="31">I305/($G$316+$I$316)</f>
        <v>0.11019695781164671</v>
      </c>
    </row>
    <row r="306" spans="1:14" x14ac:dyDescent="0.25">
      <c r="A306" s="31" t="s">
        <v>1890</v>
      </c>
      <c r="B306" s="31">
        <v>34939.148286010997</v>
      </c>
      <c r="C306" s="31">
        <v>223828.91870725801</v>
      </c>
      <c r="D306" s="31">
        <v>656610.32189062098</v>
      </c>
      <c r="E306" s="31">
        <v>77794.197355571407</v>
      </c>
      <c r="F306" s="31" t="s">
        <v>379</v>
      </c>
      <c r="G306" s="31">
        <f t="shared" ref="G306:G308" si="32">SUM(B306:E306)</f>
        <v>993172.58623946144</v>
      </c>
      <c r="H306" s="31"/>
      <c r="I306" s="31"/>
      <c r="J306" s="477">
        <f>G306/$G$316</f>
        <v>7.7630086672521061E-3</v>
      </c>
      <c r="K306" s="10"/>
      <c r="L306" s="10"/>
      <c r="M306" s="10">
        <f t="shared" si="31"/>
        <v>0</v>
      </c>
    </row>
    <row r="307" spans="1:14" x14ac:dyDescent="0.25">
      <c r="A307" s="31" t="s">
        <v>1896</v>
      </c>
      <c r="B307" s="31">
        <v>117293.367319764</v>
      </c>
      <c r="C307" s="31">
        <v>751410.63439223706</v>
      </c>
      <c r="D307" s="31">
        <v>2204290.5866225902</v>
      </c>
      <c r="E307" s="31">
        <v>261161.013172912</v>
      </c>
      <c r="F307" s="31" t="s">
        <v>1034</v>
      </c>
      <c r="G307" s="31"/>
      <c r="H307" s="31"/>
      <c r="I307" s="31">
        <f t="shared" ref="I307:I311" si="33">SUM(B307:E307)</f>
        <v>3334155.6015075031</v>
      </c>
      <c r="J307" s="477"/>
      <c r="K307" s="10">
        <f t="shared" ref="K307:K311" si="34">I307/$I$316</f>
        <v>2.2858875908798353E-2</v>
      </c>
      <c r="L307" s="10">
        <f t="shared" si="30"/>
        <v>0</v>
      </c>
      <c r="M307" s="10">
        <f t="shared" si="31"/>
        <v>1.2177570786967172E-2</v>
      </c>
    </row>
    <row r="308" spans="1:14" x14ac:dyDescent="0.25">
      <c r="A308" s="31" t="s">
        <v>1891</v>
      </c>
      <c r="B308" s="31">
        <v>13822.4692114437</v>
      </c>
      <c r="C308" s="31">
        <v>88550.193385810999</v>
      </c>
      <c r="D308" s="31">
        <v>259765.23193849801</v>
      </c>
      <c r="E308" s="31">
        <v>30776.591603605</v>
      </c>
      <c r="F308" s="31" t="s">
        <v>379</v>
      </c>
      <c r="G308" s="31">
        <f t="shared" si="32"/>
        <v>392914.48613935773</v>
      </c>
      <c r="H308" s="31"/>
      <c r="I308" s="31"/>
      <c r="J308" s="477">
        <f>G308/$G$316</f>
        <v>3.0711666870890811E-3</v>
      </c>
      <c r="K308" s="10"/>
      <c r="L308" s="10"/>
      <c r="M308" s="10">
        <f t="shared" si="31"/>
        <v>0</v>
      </c>
    </row>
    <row r="309" spans="1:14" x14ac:dyDescent="0.25">
      <c r="A309" s="31" t="s">
        <v>1892</v>
      </c>
      <c r="B309" s="31">
        <v>3710.3883195656699</v>
      </c>
      <c r="C309" s="31">
        <v>23769.675172217601</v>
      </c>
      <c r="D309" s="31">
        <v>69729.2117399626</v>
      </c>
      <c r="E309" s="31">
        <v>8261.4114927829305</v>
      </c>
      <c r="F309" s="31" t="s">
        <v>1034</v>
      </c>
      <c r="G309" s="31"/>
      <c r="H309" s="31"/>
      <c r="I309" s="31">
        <f t="shared" si="33"/>
        <v>105470.68672452882</v>
      </c>
      <c r="J309" s="477"/>
      <c r="K309" s="10">
        <f t="shared" si="34"/>
        <v>7.2310402632728608E-4</v>
      </c>
      <c r="L309" s="10">
        <f t="shared" si="30"/>
        <v>0</v>
      </c>
      <c r="M309" s="10">
        <f t="shared" si="31"/>
        <v>3.8521800031086467E-4</v>
      </c>
    </row>
    <row r="310" spans="1:14" x14ac:dyDescent="0.25">
      <c r="A310" s="31" t="s">
        <v>1894</v>
      </c>
      <c r="B310" s="31">
        <v>3940910.5765276998</v>
      </c>
      <c r="C310" s="31">
        <v>25246458.380880602</v>
      </c>
      <c r="D310" s="31">
        <v>74061409.3112299</v>
      </c>
      <c r="E310" s="31">
        <v>8769204.0076159108</v>
      </c>
      <c r="F310" s="31" t="s">
        <v>1034</v>
      </c>
      <c r="G310" s="31"/>
      <c r="H310" s="31"/>
      <c r="I310" s="31">
        <f t="shared" si="33"/>
        <v>112017982.2762541</v>
      </c>
      <c r="J310" s="477"/>
      <c r="K310" s="10">
        <f t="shared" si="34"/>
        <v>0.76799209828392989</v>
      </c>
      <c r="L310" s="10">
        <f t="shared" si="30"/>
        <v>0</v>
      </c>
      <c r="M310" s="10">
        <f t="shared" si="31"/>
        <v>0.40913114791809718</v>
      </c>
    </row>
    <row r="311" spans="1:14" x14ac:dyDescent="0.25">
      <c r="A311" s="31" t="s">
        <v>1895</v>
      </c>
      <c r="B311" s="31">
        <v>8066.1095056150498</v>
      </c>
      <c r="C311" s="31">
        <v>51673.514020346498</v>
      </c>
      <c r="D311" s="31">
        <v>151586.143873102</v>
      </c>
      <c r="E311" s="31">
        <v>17959.696946095999</v>
      </c>
      <c r="F311" s="31" t="s">
        <v>1034</v>
      </c>
      <c r="G311" s="31"/>
      <c r="H311" s="31"/>
      <c r="I311" s="31">
        <f t="shared" si="33"/>
        <v>229285.46434515956</v>
      </c>
      <c r="J311" s="477"/>
      <c r="K311" s="10">
        <f t="shared" si="34"/>
        <v>1.5719746177375329E-3</v>
      </c>
      <c r="L311" s="10">
        <f t="shared" si="30"/>
        <v>0</v>
      </c>
      <c r="M311" s="10"/>
    </row>
    <row r="312" spans="1:14" x14ac:dyDescent="0.25">
      <c r="A312" s="31" t="s">
        <v>1898</v>
      </c>
      <c r="B312" s="31">
        <v>4418285.3895795699</v>
      </c>
      <c r="C312" s="31">
        <v>28304640.776997499</v>
      </c>
      <c r="D312" s="31">
        <v>83032699.2549344</v>
      </c>
      <c r="E312" s="31">
        <v>9837588.5627346206</v>
      </c>
      <c r="F312" s="31" t="s">
        <v>379</v>
      </c>
      <c r="G312" s="31">
        <f t="shared" ref="G312" si="35">SUM(B312:E312)</f>
        <v>125593213.98424609</v>
      </c>
      <c r="H312" s="31"/>
      <c r="I312" s="31"/>
      <c r="J312" s="477">
        <f>G312/$G$316</f>
        <v>0.98168356861259098</v>
      </c>
      <c r="K312" s="10"/>
      <c r="L312" s="10"/>
      <c r="M312" s="10">
        <f t="shared" si="31"/>
        <v>0</v>
      </c>
    </row>
    <row r="313" spans="1:14" x14ac:dyDescent="0.25">
      <c r="A313" s="31" t="s">
        <v>1900</v>
      </c>
      <c r="B313" s="31">
        <f>SUM(Y301:AB301)</f>
        <v>0</v>
      </c>
      <c r="C313" s="31">
        <f>AC301</f>
        <v>0</v>
      </c>
      <c r="D313" s="31"/>
      <c r="E313" s="31"/>
      <c r="F313" s="31" t="s">
        <v>379</v>
      </c>
      <c r="G313" s="31"/>
      <c r="H313" s="31"/>
      <c r="I313" s="31"/>
      <c r="J313" s="477"/>
      <c r="K313" s="10"/>
      <c r="L313" s="10"/>
      <c r="M313" s="10"/>
    </row>
    <row r="314" spans="1:14" x14ac:dyDescent="0.25">
      <c r="A314" s="31" t="s">
        <v>1899</v>
      </c>
      <c r="B314" s="31">
        <v>22325.3487916714</v>
      </c>
      <c r="C314" s="31">
        <v>91638.914020849596</v>
      </c>
      <c r="D314" s="31">
        <v>236837.048073507</v>
      </c>
      <c r="E314" s="31">
        <v>39953.945450548301</v>
      </c>
      <c r="F314" s="31" t="s">
        <v>379</v>
      </c>
      <c r="G314" s="31">
        <f t="shared" ref="G314" si="36">SUM(B314:E314)</f>
        <v>390755.25633657631</v>
      </c>
      <c r="H314" s="31"/>
      <c r="I314" s="31"/>
      <c r="J314" s="477">
        <f>G314/$G$316</f>
        <v>3.0542893387753814E-3</v>
      </c>
      <c r="K314" s="10"/>
      <c r="L314" s="10"/>
      <c r="M314" s="10">
        <f t="shared" si="31"/>
        <v>0</v>
      </c>
    </row>
    <row r="315" spans="1:14" x14ac:dyDescent="0.25">
      <c r="A315" s="31" t="s">
        <v>1901</v>
      </c>
      <c r="B315" s="31">
        <v>0</v>
      </c>
      <c r="C315" s="31">
        <v>0</v>
      </c>
      <c r="D315" s="31">
        <v>0</v>
      </c>
      <c r="E315" s="31">
        <v>0</v>
      </c>
      <c r="F315" s="31" t="s">
        <v>379</v>
      </c>
      <c r="G315" s="31"/>
      <c r="H315" s="31"/>
      <c r="I315" s="31"/>
      <c r="J315" s="31"/>
      <c r="K315" s="477"/>
      <c r="L315" s="10"/>
      <c r="M315" s="10"/>
      <c r="N315" s="10"/>
    </row>
    <row r="316" spans="1:14" x14ac:dyDescent="0.25">
      <c r="G316" s="31">
        <f>SUM(G304:G315)</f>
        <v>127936555.11800653</v>
      </c>
      <c r="H316" s="31" t="s">
        <v>548</v>
      </c>
      <c r="I316" s="31">
        <f>SUM(I304:I315)</f>
        <v>145858248.44624975</v>
      </c>
      <c r="J316" s="31" t="s">
        <v>548</v>
      </c>
      <c r="L316" s="213" t="s">
        <v>2832</v>
      </c>
    </row>
    <row r="317" spans="1:14" x14ac:dyDescent="0.25">
      <c r="G317" s="31">
        <f>G316*BTU_per_hour_to_W</f>
        <v>436519526.06263828</v>
      </c>
      <c r="H317" s="31" t="s">
        <v>1962</v>
      </c>
      <c r="I317" s="31">
        <f>I316*BTU_per_hour_to_W</f>
        <v>497668343.69860417</v>
      </c>
      <c r="J317" s="31" t="s">
        <v>1962</v>
      </c>
    </row>
    <row r="318" spans="1:14" x14ac:dyDescent="0.25">
      <c r="G318" s="31">
        <f>G317/1000</f>
        <v>436519.52606263827</v>
      </c>
      <c r="H318" s="31" t="s">
        <v>1963</v>
      </c>
      <c r="I318" s="31">
        <f>I317/1000</f>
        <v>497668.34369860415</v>
      </c>
      <c r="J318" s="31" t="s">
        <v>1963</v>
      </c>
      <c r="L318">
        <f>(G293+I293)*m2_to_ft2</f>
        <v>1045.4235063122221</v>
      </c>
      <c r="M318">
        <f>472*m2_to_ft2</f>
        <v>5080.5608000000002</v>
      </c>
      <c r="N318" t="s">
        <v>2833</v>
      </c>
    </row>
    <row r="319" spans="1:14" x14ac:dyDescent="0.25">
      <c r="G319" s="31">
        <f>'Indoor Inputs'!G6</f>
        <v>14811.126399999999</v>
      </c>
      <c r="H319" s="31" t="s">
        <v>159</v>
      </c>
      <c r="I319" s="31">
        <f>'Indoor Inputs'!G6</f>
        <v>14811.126399999999</v>
      </c>
      <c r="J319" s="31" t="s">
        <v>159</v>
      </c>
      <c r="L319">
        <f>(G320+I320)*m2_to_ft2</f>
        <v>678.91560302415871</v>
      </c>
      <c r="M319">
        <f>7*m2_to_ft2</f>
        <v>75.34729999999999</v>
      </c>
      <c r="N319" t="s">
        <v>2834</v>
      </c>
    </row>
    <row r="320" spans="1:14" x14ac:dyDescent="0.25">
      <c r="G320" s="472">
        <f>G318/G319</f>
        <v>29.47240569512919</v>
      </c>
      <c r="H320" s="471" t="s">
        <v>799</v>
      </c>
      <c r="I320" s="472">
        <f>I318/I319</f>
        <v>33.600978768137729</v>
      </c>
      <c r="J320" s="471" t="s">
        <v>799</v>
      </c>
      <c r="M320">
        <f>207*m2_to_ft2</f>
        <v>2228.1273000000001</v>
      </c>
    </row>
    <row r="321" spans="1:18" x14ac:dyDescent="0.25">
      <c r="G321" s="31" t="s">
        <v>1965</v>
      </c>
      <c r="H321" s="31"/>
      <c r="I321" s="31">
        <v>3302.3686740085195</v>
      </c>
      <c r="J321" s="31" t="s">
        <v>799</v>
      </c>
    </row>
    <row r="323" spans="1:18" x14ac:dyDescent="0.25">
      <c r="C323" s="31"/>
      <c r="D323" s="31"/>
      <c r="E323" s="31"/>
    </row>
    <row r="324" spans="1:18" x14ac:dyDescent="0.25">
      <c r="B324" s="31"/>
      <c r="C324" s="31"/>
      <c r="D324" s="31"/>
      <c r="E324" s="31"/>
      <c r="L324" s="53"/>
      <c r="M324" s="53"/>
    </row>
    <row r="325" spans="1:18" ht="15.75" thickBot="1" x14ac:dyDescent="0.3">
      <c r="L325" s="53"/>
      <c r="M325" s="53"/>
    </row>
    <row r="326" spans="1:18" x14ac:dyDescent="0.25">
      <c r="A326" s="509" t="s">
        <v>2081</v>
      </c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1"/>
    </row>
    <row r="327" spans="1:18" x14ac:dyDescent="0.25">
      <c r="A327" s="214" t="s">
        <v>2055</v>
      </c>
      <c r="B327" s="53"/>
      <c r="C327" s="53"/>
      <c r="D327" s="53"/>
      <c r="E327" s="53"/>
      <c r="F327" s="53"/>
      <c r="G327" s="77" t="s">
        <v>2057</v>
      </c>
      <c r="H327" s="53"/>
      <c r="I327" s="53"/>
      <c r="J327" s="53"/>
      <c r="K327" s="53"/>
      <c r="L327" s="53"/>
      <c r="M327" s="77" t="s">
        <v>2056</v>
      </c>
      <c r="N327" s="53"/>
      <c r="O327" s="53"/>
      <c r="P327" s="53"/>
      <c r="Q327" s="53"/>
      <c r="R327" s="54"/>
    </row>
    <row r="328" spans="1:18" x14ac:dyDescent="0.25">
      <c r="A328" s="52"/>
      <c r="B328" s="53" t="s">
        <v>835</v>
      </c>
      <c r="C328" s="53" t="s">
        <v>893</v>
      </c>
      <c r="D328" s="53" t="s">
        <v>77</v>
      </c>
      <c r="E328" s="53" t="s">
        <v>1889</v>
      </c>
      <c r="F328" s="53"/>
      <c r="G328" s="53"/>
      <c r="H328" s="53" t="s">
        <v>835</v>
      </c>
      <c r="I328" s="53" t="s">
        <v>893</v>
      </c>
      <c r="J328" s="53" t="s">
        <v>77</v>
      </c>
      <c r="K328" s="53" t="s">
        <v>1889</v>
      </c>
      <c r="L328" s="53"/>
      <c r="M328" s="53"/>
      <c r="N328" s="53" t="s">
        <v>835</v>
      </c>
      <c r="O328" s="53" t="s">
        <v>893</v>
      </c>
      <c r="P328" s="53" t="s">
        <v>77</v>
      </c>
      <c r="Q328" s="53" t="s">
        <v>1889</v>
      </c>
      <c r="R328" s="54"/>
    </row>
    <row r="329" spans="1:18" x14ac:dyDescent="0.25">
      <c r="A329" s="52" t="s">
        <v>1888</v>
      </c>
      <c r="B329" s="295">
        <v>292351.03451024002</v>
      </c>
      <c r="C329" s="295">
        <v>1042730.6195776</v>
      </c>
      <c r="D329" s="295">
        <v>1255779.91526862</v>
      </c>
      <c r="E329" s="295">
        <v>822663.835095432</v>
      </c>
      <c r="F329" s="53"/>
      <c r="G329" s="53" t="s">
        <v>1888</v>
      </c>
      <c r="H329" s="295">
        <v>292351.03451024002</v>
      </c>
      <c r="I329" s="295">
        <v>1042730.6195776</v>
      </c>
      <c r="J329" s="295">
        <v>1255779.91526862</v>
      </c>
      <c r="K329" s="295">
        <v>822663.835095432</v>
      </c>
      <c r="L329" s="53"/>
      <c r="M329" s="53" t="s">
        <v>1888</v>
      </c>
      <c r="N329" s="295">
        <f>(H329-B329)/H329</f>
        <v>0</v>
      </c>
      <c r="O329" s="295">
        <f t="shared" ref="O329:Q340" si="37">(I329-C329)/I329</f>
        <v>0</v>
      </c>
      <c r="P329" s="295">
        <f t="shared" si="37"/>
        <v>0</v>
      </c>
      <c r="Q329" s="295">
        <f t="shared" si="37"/>
        <v>0</v>
      </c>
      <c r="R329" s="54"/>
    </row>
    <row r="330" spans="1:18" x14ac:dyDescent="0.25">
      <c r="A330" s="52" t="s">
        <v>1893</v>
      </c>
      <c r="B330" s="295">
        <v>15622590.7793428</v>
      </c>
      <c r="C330" s="295">
        <v>30168482.6396394</v>
      </c>
      <c r="D330" s="295">
        <v>26302827.537484501</v>
      </c>
      <c r="E330" s="295">
        <v>42903036.431669898</v>
      </c>
      <c r="F330" s="53"/>
      <c r="G330" s="53" t="s">
        <v>1893</v>
      </c>
      <c r="H330" s="295">
        <v>15622590.7793428</v>
      </c>
      <c r="I330" s="295">
        <v>30168482.6396394</v>
      </c>
      <c r="J330" s="295">
        <v>26302827.537484501</v>
      </c>
      <c r="K330" s="295">
        <v>42903036.431669898</v>
      </c>
      <c r="L330" s="53"/>
      <c r="M330" s="53" t="s">
        <v>1893</v>
      </c>
      <c r="N330" s="295">
        <f t="shared" ref="N330:N340" si="38">(H330-B330)/H330</f>
        <v>0</v>
      </c>
      <c r="O330" s="295">
        <f t="shared" si="37"/>
        <v>0</v>
      </c>
      <c r="P330" s="295">
        <f t="shared" si="37"/>
        <v>0</v>
      </c>
      <c r="Q330" s="295">
        <f t="shared" si="37"/>
        <v>0</v>
      </c>
      <c r="R330" s="54"/>
    </row>
    <row r="331" spans="1:18" x14ac:dyDescent="0.25">
      <c r="A331" s="52" t="s">
        <v>1890</v>
      </c>
      <c r="B331" s="295">
        <v>50752.4738377951</v>
      </c>
      <c r="C331" s="295">
        <v>5034049.08233447</v>
      </c>
      <c r="D331" s="295">
        <v>4411383.8311447799</v>
      </c>
      <c r="E331" s="295">
        <v>506303.43697896798</v>
      </c>
      <c r="F331" s="53"/>
      <c r="G331" s="53" t="s">
        <v>1890</v>
      </c>
      <c r="H331" s="295">
        <v>50752.4738377951</v>
      </c>
      <c r="I331" s="295">
        <v>5034049.08233447</v>
      </c>
      <c r="J331" s="295">
        <v>4411383.8311447799</v>
      </c>
      <c r="K331" s="295">
        <v>506303.43697896798</v>
      </c>
      <c r="L331" s="53"/>
      <c r="M331" s="53" t="s">
        <v>1890</v>
      </c>
      <c r="N331" s="295">
        <f t="shared" si="38"/>
        <v>0</v>
      </c>
      <c r="O331" s="295">
        <f t="shared" si="37"/>
        <v>0</v>
      </c>
      <c r="P331" s="295">
        <f t="shared" si="37"/>
        <v>0</v>
      </c>
      <c r="Q331" s="295">
        <f t="shared" si="37"/>
        <v>0</v>
      </c>
      <c r="R331" s="54"/>
    </row>
    <row r="332" spans="1:18" x14ac:dyDescent="0.25">
      <c r="A332" s="52" t="s">
        <v>1896</v>
      </c>
      <c r="B332" s="295">
        <v>49970.856062532599</v>
      </c>
      <c r="C332" s="295">
        <v>9980744.0309772994</v>
      </c>
      <c r="D332" s="295">
        <v>9404364.5478717592</v>
      </c>
      <c r="E332" s="295">
        <v>993621.51148221595</v>
      </c>
      <c r="F332" s="53"/>
      <c r="G332" s="53" t="s">
        <v>1896</v>
      </c>
      <c r="H332" s="295">
        <v>49970.856062532599</v>
      </c>
      <c r="I332" s="295">
        <v>9980744.0309772994</v>
      </c>
      <c r="J332" s="295">
        <v>9404364.5478717592</v>
      </c>
      <c r="K332" s="295">
        <v>993621.51148221595</v>
      </c>
      <c r="L332" s="53"/>
      <c r="M332" s="53" t="s">
        <v>1896</v>
      </c>
      <c r="N332" s="295">
        <f t="shared" si="38"/>
        <v>0</v>
      </c>
      <c r="O332" s="295">
        <f t="shared" si="37"/>
        <v>0</v>
      </c>
      <c r="P332" s="295">
        <f t="shared" si="37"/>
        <v>0</v>
      </c>
      <c r="Q332" s="295">
        <f t="shared" si="37"/>
        <v>0</v>
      </c>
      <c r="R332" s="54"/>
    </row>
    <row r="333" spans="1:18" x14ac:dyDescent="0.25">
      <c r="A333" s="52" t="s">
        <v>1891</v>
      </c>
      <c r="B333" s="295">
        <v>306505.00817102101</v>
      </c>
      <c r="C333" s="295">
        <v>3973788.8945096801</v>
      </c>
      <c r="D333" s="295">
        <v>12517016.491654299</v>
      </c>
      <c r="E333" s="295">
        <v>218956.979983458</v>
      </c>
      <c r="F333" s="53"/>
      <c r="G333" s="53" t="s">
        <v>1891</v>
      </c>
      <c r="H333" s="295">
        <v>306505.00817102101</v>
      </c>
      <c r="I333" s="295">
        <v>3973788.8945096801</v>
      </c>
      <c r="J333" s="295">
        <v>12517016.491654299</v>
      </c>
      <c r="K333" s="295">
        <v>218956.979983458</v>
      </c>
      <c r="L333" s="53"/>
      <c r="M333" s="53" t="s">
        <v>1891</v>
      </c>
      <c r="N333" s="295">
        <f t="shared" si="38"/>
        <v>0</v>
      </c>
      <c r="O333" s="295">
        <f t="shared" si="37"/>
        <v>0</v>
      </c>
      <c r="P333" s="295">
        <f t="shared" si="37"/>
        <v>0</v>
      </c>
      <c r="Q333" s="295">
        <f t="shared" si="37"/>
        <v>0</v>
      </c>
      <c r="R333" s="54"/>
    </row>
    <row r="334" spans="1:18" x14ac:dyDescent="0.25">
      <c r="A334" s="52" t="s">
        <v>1892</v>
      </c>
      <c r="B334" s="295">
        <v>234235.41029178401</v>
      </c>
      <c r="C334" s="295">
        <v>2754265.4890945498</v>
      </c>
      <c r="D334" s="295">
        <v>10124793.0312436</v>
      </c>
      <c r="E334" s="295">
        <v>62753.094531096402</v>
      </c>
      <c r="F334" s="53"/>
      <c r="G334" s="53" t="s">
        <v>1892</v>
      </c>
      <c r="H334" s="295">
        <v>234235.41029178401</v>
      </c>
      <c r="I334" s="295">
        <v>2754265.4890945498</v>
      </c>
      <c r="J334" s="295">
        <v>10124793.0312436</v>
      </c>
      <c r="K334" s="295">
        <v>62753.094531096402</v>
      </c>
      <c r="L334" s="53"/>
      <c r="M334" s="53" t="s">
        <v>1892</v>
      </c>
      <c r="N334" s="295">
        <f t="shared" si="38"/>
        <v>0</v>
      </c>
      <c r="O334" s="295">
        <f t="shared" si="37"/>
        <v>0</v>
      </c>
      <c r="P334" s="295">
        <f t="shared" si="37"/>
        <v>0</v>
      </c>
      <c r="Q334" s="295">
        <f t="shared" si="37"/>
        <v>0</v>
      </c>
      <c r="R334" s="54"/>
    </row>
    <row r="335" spans="1:18" x14ac:dyDescent="0.25">
      <c r="A335" s="52" t="s">
        <v>1894</v>
      </c>
      <c r="B335" s="295">
        <v>26758499.077233199</v>
      </c>
      <c r="C335" s="295">
        <v>242482771.31099701</v>
      </c>
      <c r="D335" s="295">
        <v>1163947546.5797999</v>
      </c>
      <c r="E335" s="295">
        <v>31372242.355818901</v>
      </c>
      <c r="F335" s="53"/>
      <c r="G335" s="53" t="s">
        <v>1894</v>
      </c>
      <c r="H335" s="295">
        <v>26758499.077233199</v>
      </c>
      <c r="I335" s="295">
        <v>242482771.31099701</v>
      </c>
      <c r="J335" s="295">
        <v>1163947546.5797999</v>
      </c>
      <c r="K335" s="295">
        <v>31372242.355818901</v>
      </c>
      <c r="L335" s="53"/>
      <c r="M335" s="53" t="s">
        <v>1894</v>
      </c>
      <c r="N335" s="295">
        <f t="shared" si="38"/>
        <v>0</v>
      </c>
      <c r="O335" s="295">
        <f t="shared" si="37"/>
        <v>0</v>
      </c>
      <c r="P335" s="295">
        <f t="shared" si="37"/>
        <v>0</v>
      </c>
      <c r="Q335" s="295">
        <f t="shared" si="37"/>
        <v>0</v>
      </c>
      <c r="R335" s="54"/>
    </row>
    <row r="336" spans="1:18" x14ac:dyDescent="0.25">
      <c r="A336" s="52" t="s">
        <v>1895</v>
      </c>
      <c r="B336" s="295">
        <v>124366.158695452</v>
      </c>
      <c r="C336" s="295">
        <v>1385944.7561695699</v>
      </c>
      <c r="D336" s="295">
        <v>5441432.8925901903</v>
      </c>
      <c r="E336" s="295">
        <v>33110.627529719299</v>
      </c>
      <c r="F336" s="53"/>
      <c r="G336" s="53" t="s">
        <v>1895</v>
      </c>
      <c r="H336" s="295">
        <v>124366.158695452</v>
      </c>
      <c r="I336" s="295">
        <v>1385944.7561695699</v>
      </c>
      <c r="J336" s="295">
        <v>5441432.8925901903</v>
      </c>
      <c r="K336" s="295">
        <v>33110.627529719299</v>
      </c>
      <c r="L336" s="53"/>
      <c r="M336" s="53" t="s">
        <v>1895</v>
      </c>
      <c r="N336" s="295">
        <f t="shared" si="38"/>
        <v>0</v>
      </c>
      <c r="O336" s="295">
        <f t="shared" si="37"/>
        <v>0</v>
      </c>
      <c r="P336" s="295">
        <f t="shared" si="37"/>
        <v>0</v>
      </c>
      <c r="Q336" s="295">
        <f t="shared" si="37"/>
        <v>0</v>
      </c>
      <c r="R336" s="54"/>
    </row>
    <row r="337" spans="1:18" x14ac:dyDescent="0.25">
      <c r="A337" s="52" t="s">
        <v>1898</v>
      </c>
      <c r="B337" s="295">
        <v>44719494.357496098</v>
      </c>
      <c r="C337" s="295">
        <v>601199563.87932706</v>
      </c>
      <c r="D337" s="295">
        <v>1845114555.9590499</v>
      </c>
      <c r="E337" s="295">
        <v>9837588.5627346206</v>
      </c>
      <c r="F337" s="53"/>
      <c r="G337" s="53" t="s">
        <v>1898</v>
      </c>
      <c r="H337" s="295">
        <v>44719494.357496098</v>
      </c>
      <c r="I337" s="295">
        <v>601199563.87932706</v>
      </c>
      <c r="J337" s="295">
        <v>1845114555.9590499</v>
      </c>
      <c r="K337" s="295">
        <v>9837588.5627346206</v>
      </c>
      <c r="L337" s="53"/>
      <c r="M337" s="53" t="s">
        <v>1898</v>
      </c>
      <c r="N337" s="295">
        <f t="shared" si="38"/>
        <v>0</v>
      </c>
      <c r="O337" s="295">
        <f t="shared" si="37"/>
        <v>0</v>
      </c>
      <c r="P337" s="295">
        <f t="shared" si="37"/>
        <v>0</v>
      </c>
      <c r="Q337" s="295">
        <f t="shared" si="37"/>
        <v>0</v>
      </c>
      <c r="R337" s="54"/>
    </row>
    <row r="338" spans="1:18" x14ac:dyDescent="0.25">
      <c r="A338" s="52" t="s">
        <v>1900</v>
      </c>
      <c r="B338" s="295">
        <v>765286.23831580405</v>
      </c>
      <c r="C338" s="295">
        <v>1698153.40472997</v>
      </c>
      <c r="D338" s="295">
        <v>1971868.92062395</v>
      </c>
      <c r="E338" s="295">
        <v>0</v>
      </c>
      <c r="F338" s="53"/>
      <c r="G338" s="53" t="s">
        <v>1900</v>
      </c>
      <c r="H338" s="295">
        <v>765286.23831580405</v>
      </c>
      <c r="I338" s="295">
        <v>1698153.40472997</v>
      </c>
      <c r="J338" s="295">
        <v>1971868.92062395</v>
      </c>
      <c r="K338" s="295">
        <v>0</v>
      </c>
      <c r="L338" s="53"/>
      <c r="M338" s="53" t="s">
        <v>1900</v>
      </c>
      <c r="N338" s="295">
        <f t="shared" si="38"/>
        <v>0</v>
      </c>
      <c r="O338" s="295">
        <f t="shared" si="37"/>
        <v>0</v>
      </c>
      <c r="P338" s="295">
        <f t="shared" si="37"/>
        <v>0</v>
      </c>
      <c r="Q338" s="295" t="e">
        <f t="shared" si="37"/>
        <v>#DIV/0!</v>
      </c>
      <c r="R338" s="54"/>
    </row>
    <row r="339" spans="1:18" x14ac:dyDescent="0.25">
      <c r="A339" s="52" t="s">
        <v>1899</v>
      </c>
      <c r="B339" s="295">
        <v>10482080.8384935</v>
      </c>
      <c r="C339" s="295">
        <v>8837127.8801290691</v>
      </c>
      <c r="D339" s="295">
        <v>235808.08693462401</v>
      </c>
      <c r="E339" s="295">
        <v>982376.13205560797</v>
      </c>
      <c r="F339" s="53"/>
      <c r="G339" s="53" t="s">
        <v>1899</v>
      </c>
      <c r="H339" s="295">
        <v>10482080.8384935</v>
      </c>
      <c r="I339" s="295">
        <v>8837127.8786417805</v>
      </c>
      <c r="J339" s="295">
        <v>235808.08693462401</v>
      </c>
      <c r="K339" s="295">
        <v>982376.13205560797</v>
      </c>
      <c r="L339" s="53"/>
      <c r="M339" s="53" t="s">
        <v>1899</v>
      </c>
      <c r="N339" s="295">
        <f t="shared" si="38"/>
        <v>0</v>
      </c>
      <c r="O339" s="295">
        <f t="shared" si="37"/>
        <v>-1.6830000023455826E-10</v>
      </c>
      <c r="P339" s="295">
        <f t="shared" si="37"/>
        <v>0</v>
      </c>
      <c r="Q339" s="295">
        <f t="shared" si="37"/>
        <v>0</v>
      </c>
      <c r="R339" s="54"/>
    </row>
    <row r="340" spans="1:18" x14ac:dyDescent="0.25">
      <c r="A340" s="52" t="s">
        <v>1901</v>
      </c>
      <c r="B340" s="295">
        <v>0</v>
      </c>
      <c r="C340" s="295">
        <v>242587725.337062</v>
      </c>
      <c r="D340" s="295">
        <v>1114545178.7195599</v>
      </c>
      <c r="E340" s="295">
        <v>0</v>
      </c>
      <c r="F340" s="53"/>
      <c r="G340" s="53" t="s">
        <v>1901</v>
      </c>
      <c r="H340" s="295">
        <v>0</v>
      </c>
      <c r="I340" s="295">
        <v>242587175.77037001</v>
      </c>
      <c r="J340" s="295">
        <v>1114522341.7539799</v>
      </c>
      <c r="K340" s="295">
        <v>0</v>
      </c>
      <c r="L340" s="53"/>
      <c r="M340" s="53" t="s">
        <v>1901</v>
      </c>
      <c r="N340" s="295" t="e">
        <f t="shared" si="38"/>
        <v>#DIV/0!</v>
      </c>
      <c r="O340" s="295">
        <f t="shared" si="37"/>
        <v>-2.2654400021330066E-6</v>
      </c>
      <c r="P340" s="295">
        <f t="shared" si="37"/>
        <v>-2.0490361408140897E-5</v>
      </c>
      <c r="Q340" s="295" t="e">
        <f t="shared" si="37"/>
        <v>#DIV/0!</v>
      </c>
      <c r="R340" s="54"/>
    </row>
    <row r="341" spans="1:18" ht="15.75" thickBot="1" x14ac:dyDescent="0.3">
      <c r="A341" s="55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57"/>
    </row>
    <row r="342" spans="1:18" ht="15.75" thickBot="1" x14ac:dyDescent="0.3">
      <c r="B342" s="31"/>
      <c r="C342" s="31"/>
      <c r="D342" s="31"/>
      <c r="E342" s="31"/>
      <c r="L342" s="53"/>
      <c r="M342" s="53"/>
    </row>
    <row r="343" spans="1:18" x14ac:dyDescent="0.25">
      <c r="A343" s="509" t="s">
        <v>2082</v>
      </c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1"/>
    </row>
    <row r="344" spans="1:18" x14ac:dyDescent="0.25">
      <c r="A344" s="214" t="s">
        <v>2055</v>
      </c>
      <c r="B344" s="53"/>
      <c r="C344" s="53"/>
      <c r="D344" s="53"/>
      <c r="E344" s="53"/>
      <c r="F344" s="53"/>
      <c r="G344" s="77" t="s">
        <v>2057</v>
      </c>
      <c r="H344" s="53"/>
      <c r="I344" s="53"/>
      <c r="J344" s="53"/>
      <c r="K344" s="53"/>
      <c r="L344" s="53"/>
      <c r="M344" s="77" t="s">
        <v>2056</v>
      </c>
      <c r="N344" s="53"/>
      <c r="O344" s="53"/>
      <c r="P344" s="53"/>
      <c r="Q344" s="53"/>
      <c r="R344" s="54"/>
    </row>
    <row r="345" spans="1:18" x14ac:dyDescent="0.25">
      <c r="A345" s="52"/>
      <c r="B345" s="53" t="s">
        <v>835</v>
      </c>
      <c r="C345" s="53" t="s">
        <v>893</v>
      </c>
      <c r="D345" s="53" t="s">
        <v>77</v>
      </c>
      <c r="E345" s="53" t="s">
        <v>1889</v>
      </c>
      <c r="F345" s="53"/>
      <c r="G345" s="53"/>
      <c r="H345" s="53" t="s">
        <v>835</v>
      </c>
      <c r="I345" s="53" t="s">
        <v>893</v>
      </c>
      <c r="J345" s="53" t="s">
        <v>77</v>
      </c>
      <c r="K345" s="53" t="s">
        <v>1889</v>
      </c>
      <c r="L345" s="53"/>
      <c r="M345" s="53"/>
      <c r="N345" s="53" t="s">
        <v>835</v>
      </c>
      <c r="O345" s="53" t="s">
        <v>893</v>
      </c>
      <c r="P345" s="53" t="s">
        <v>77</v>
      </c>
      <c r="Q345" s="53" t="s">
        <v>1889</v>
      </c>
      <c r="R345" s="54"/>
    </row>
    <row r="346" spans="1:18" x14ac:dyDescent="0.25">
      <c r="A346" s="52" t="s">
        <v>1888</v>
      </c>
      <c r="B346" s="295">
        <v>2912485.16361685</v>
      </c>
      <c r="C346" s="295">
        <v>10427306.195776001</v>
      </c>
      <c r="D346" s="295">
        <v>12557799.152686199</v>
      </c>
      <c r="E346" s="295">
        <v>8226638.3509543203</v>
      </c>
      <c r="F346" s="53"/>
      <c r="G346" s="53" t="s">
        <v>1888</v>
      </c>
      <c r="H346" s="295">
        <v>2912485.16361685</v>
      </c>
      <c r="I346" s="295">
        <v>10427306.195776001</v>
      </c>
      <c r="J346" s="295">
        <v>12557799.152686199</v>
      </c>
      <c r="K346" s="295">
        <v>8226638.3509543203</v>
      </c>
      <c r="L346" s="53"/>
      <c r="M346" s="53" t="s">
        <v>1888</v>
      </c>
      <c r="N346" s="295">
        <f>(H346-B346)/H346</f>
        <v>0</v>
      </c>
      <c r="O346" s="295">
        <f t="shared" ref="O346:O358" si="39">(I346-C346)/I346</f>
        <v>0</v>
      </c>
      <c r="P346" s="295">
        <f t="shared" ref="P346:P358" si="40">(J346-D346)/J346</f>
        <v>0</v>
      </c>
      <c r="Q346" s="295">
        <f t="shared" ref="Q346:Q358" si="41">(K346-E346)/K346</f>
        <v>0</v>
      </c>
      <c r="R346" s="54"/>
    </row>
    <row r="347" spans="1:18" x14ac:dyDescent="0.25">
      <c r="A347" s="52" t="s">
        <v>1893</v>
      </c>
      <c r="B347" s="295">
        <v>155852614.078796</v>
      </c>
      <c r="C347" s="295">
        <v>301684826.396393</v>
      </c>
      <c r="D347" s="295">
        <v>263028275.37484601</v>
      </c>
      <c r="E347" s="295">
        <v>429030364.31670099</v>
      </c>
      <c r="F347" s="53"/>
      <c r="G347" s="53" t="s">
        <v>1893</v>
      </c>
      <c r="H347" s="295">
        <v>155852614.078796</v>
      </c>
      <c r="I347" s="295">
        <v>301684826.396393</v>
      </c>
      <c r="J347" s="295">
        <v>263028275.37484601</v>
      </c>
      <c r="K347" s="295">
        <v>429030364.31670099</v>
      </c>
      <c r="L347" s="53"/>
      <c r="M347" s="53" t="s">
        <v>1893</v>
      </c>
      <c r="N347" s="295">
        <f t="shared" ref="N347:N358" si="42">(H347-B347)/H347</f>
        <v>0</v>
      </c>
      <c r="O347" s="295">
        <f t="shared" si="39"/>
        <v>0</v>
      </c>
      <c r="P347" s="295">
        <f t="shared" si="40"/>
        <v>0</v>
      </c>
      <c r="Q347" s="295">
        <f t="shared" si="41"/>
        <v>0</v>
      </c>
      <c r="R347" s="54"/>
    </row>
    <row r="348" spans="1:18" x14ac:dyDescent="0.25">
      <c r="A348" s="52" t="s">
        <v>1890</v>
      </c>
      <c r="B348" s="295">
        <v>507524.73837795103</v>
      </c>
      <c r="C348" s="295">
        <v>50340490.823344797</v>
      </c>
      <c r="D348" s="295">
        <v>44113838.311447799</v>
      </c>
      <c r="E348" s="295">
        <v>5063034.3697896795</v>
      </c>
      <c r="F348" s="53"/>
      <c r="G348" s="53" t="s">
        <v>1890</v>
      </c>
      <c r="H348" s="295">
        <v>507524.73837795103</v>
      </c>
      <c r="I348" s="295">
        <v>50340490.823344797</v>
      </c>
      <c r="J348" s="295">
        <v>44113838.311447799</v>
      </c>
      <c r="K348" s="295">
        <v>5063034.3697896795</v>
      </c>
      <c r="L348" s="53"/>
      <c r="M348" s="53" t="s">
        <v>1890</v>
      </c>
      <c r="N348" s="295">
        <f t="shared" si="42"/>
        <v>0</v>
      </c>
      <c r="O348" s="295">
        <f t="shared" si="39"/>
        <v>0</v>
      </c>
      <c r="P348" s="295">
        <f t="shared" si="40"/>
        <v>0</v>
      </c>
      <c r="Q348" s="295">
        <f t="shared" si="41"/>
        <v>0</v>
      </c>
      <c r="R348" s="54"/>
    </row>
    <row r="349" spans="1:18" x14ac:dyDescent="0.25">
      <c r="A349" s="52" t="s">
        <v>1896</v>
      </c>
      <c r="B349" s="295">
        <v>499708.560625326</v>
      </c>
      <c r="C349" s="295">
        <v>99807440.309772506</v>
      </c>
      <c r="D349" s="295">
        <v>94043645.478717506</v>
      </c>
      <c r="E349" s="295">
        <v>9936215.1148221903</v>
      </c>
      <c r="F349" s="53"/>
      <c r="G349" s="53" t="s">
        <v>1896</v>
      </c>
      <c r="H349" s="295">
        <v>499708.560625326</v>
      </c>
      <c r="I349" s="295">
        <v>99807440.309772506</v>
      </c>
      <c r="J349" s="295">
        <v>94043645.478717506</v>
      </c>
      <c r="K349" s="295">
        <v>9936215.1148221903</v>
      </c>
      <c r="L349" s="53"/>
      <c r="M349" s="53" t="s">
        <v>1896</v>
      </c>
      <c r="N349" s="295">
        <f t="shared" si="42"/>
        <v>0</v>
      </c>
      <c r="O349" s="295">
        <f t="shared" si="39"/>
        <v>0</v>
      </c>
      <c r="P349" s="295">
        <f t="shared" si="40"/>
        <v>0</v>
      </c>
      <c r="Q349" s="295">
        <f t="shared" si="41"/>
        <v>0</v>
      </c>
      <c r="R349" s="54"/>
    </row>
    <row r="350" spans="1:18" x14ac:dyDescent="0.25">
      <c r="A350" s="52" t="s">
        <v>1891</v>
      </c>
      <c r="B350" s="295">
        <v>2836642.6567400801</v>
      </c>
      <c r="C350" s="295">
        <v>39737888.945096798</v>
      </c>
      <c r="D350" s="295">
        <v>125170164.91654199</v>
      </c>
      <c r="E350" s="295">
        <v>2189569.7998345802</v>
      </c>
      <c r="F350" s="53"/>
      <c r="G350" s="53" t="s">
        <v>1891</v>
      </c>
      <c r="H350" s="295">
        <v>2836642.6567400801</v>
      </c>
      <c r="I350" s="295">
        <v>39737888.945096798</v>
      </c>
      <c r="J350" s="295">
        <v>125170164.91654199</v>
      </c>
      <c r="K350" s="295">
        <v>2189569.7998345802</v>
      </c>
      <c r="L350" s="53"/>
      <c r="M350" s="53" t="s">
        <v>1891</v>
      </c>
      <c r="N350" s="295">
        <f t="shared" si="42"/>
        <v>0</v>
      </c>
      <c r="O350" s="295">
        <f t="shared" si="39"/>
        <v>0</v>
      </c>
      <c r="P350" s="295">
        <f t="shared" si="40"/>
        <v>0</v>
      </c>
      <c r="Q350" s="295">
        <f t="shared" si="41"/>
        <v>0</v>
      </c>
      <c r="R350" s="54"/>
    </row>
    <row r="351" spans="1:18" x14ac:dyDescent="0.25">
      <c r="A351" s="52" t="s">
        <v>1892</v>
      </c>
      <c r="B351" s="295">
        <v>2208088.3131803698</v>
      </c>
      <c r="C351" s="295">
        <v>27542654.890945502</v>
      </c>
      <c r="D351" s="295">
        <v>101247930.312436</v>
      </c>
      <c r="E351" s="295">
        <v>627530.94531096402</v>
      </c>
      <c r="F351" s="53"/>
      <c r="G351" s="53" t="s">
        <v>1892</v>
      </c>
      <c r="H351" s="295">
        <v>2208088.3131803698</v>
      </c>
      <c r="I351" s="295">
        <v>27542654.890945502</v>
      </c>
      <c r="J351" s="295">
        <v>101247930.312436</v>
      </c>
      <c r="K351" s="295">
        <v>627530.94531096402</v>
      </c>
      <c r="L351" s="53"/>
      <c r="M351" s="53" t="s">
        <v>1892</v>
      </c>
      <c r="N351" s="295">
        <f t="shared" si="42"/>
        <v>0</v>
      </c>
      <c r="O351" s="295">
        <f t="shared" si="39"/>
        <v>0</v>
      </c>
      <c r="P351" s="295">
        <f t="shared" si="40"/>
        <v>0</v>
      </c>
      <c r="Q351" s="295">
        <f t="shared" si="41"/>
        <v>0</v>
      </c>
      <c r="R351" s="54"/>
    </row>
    <row r="352" spans="1:18" x14ac:dyDescent="0.25">
      <c r="A352" s="52" t="s">
        <v>2318</v>
      </c>
      <c r="B352" s="570">
        <v>188144282.60482299</v>
      </c>
      <c r="C352" s="570">
        <v>1670571444.28301</v>
      </c>
      <c r="D352" s="570">
        <v>7255684386.0920601</v>
      </c>
      <c r="E352" s="570">
        <v>259787169.82949001</v>
      </c>
      <c r="F352" s="53"/>
      <c r="G352" s="53" t="s">
        <v>1894</v>
      </c>
      <c r="H352" s="295">
        <v>280507705.73139697</v>
      </c>
      <c r="I352" s="295">
        <v>2424827713.1099701</v>
      </c>
      <c r="J352" s="295">
        <v>11639475465.797899</v>
      </c>
      <c r="K352" s="295">
        <v>313722423.55818999</v>
      </c>
      <c r="L352" s="53"/>
      <c r="M352" s="53" t="s">
        <v>1894</v>
      </c>
      <c r="N352" s="295">
        <f t="shared" si="42"/>
        <v>0.32927232029417947</v>
      </c>
      <c r="O352" s="295">
        <f t="shared" si="39"/>
        <v>0.31105561221897554</v>
      </c>
      <c r="P352" s="295">
        <f t="shared" si="40"/>
        <v>0.37663132609260802</v>
      </c>
      <c r="Q352" s="295">
        <f t="shared" si="41"/>
        <v>0.17192030176541059</v>
      </c>
      <c r="R352" s="54"/>
    </row>
    <row r="353" spans="1:18" s="31" customFormat="1" x14ac:dyDescent="0.25">
      <c r="A353" s="52" t="s">
        <v>2319</v>
      </c>
      <c r="B353" s="570">
        <v>92363423.126573905</v>
      </c>
      <c r="C353" s="570">
        <v>754256268.82695699</v>
      </c>
      <c r="D353" s="570">
        <v>4383791079.7058401</v>
      </c>
      <c r="E353" s="570">
        <v>53935253.728698999</v>
      </c>
      <c r="F353" s="53"/>
      <c r="G353" s="53"/>
      <c r="H353" s="295"/>
      <c r="I353" s="295"/>
      <c r="J353" s="295"/>
      <c r="K353" s="295"/>
      <c r="L353" s="53"/>
      <c r="M353" s="53"/>
      <c r="N353" s="295"/>
      <c r="O353" s="295"/>
      <c r="P353" s="295"/>
      <c r="Q353" s="295"/>
      <c r="R353" s="54"/>
    </row>
    <row r="354" spans="1:18" x14ac:dyDescent="0.25">
      <c r="A354" s="52" t="s">
        <v>1895</v>
      </c>
      <c r="B354" s="295">
        <v>1373286.5738959899</v>
      </c>
      <c r="C354" s="295">
        <v>13859447.561695701</v>
      </c>
      <c r="D354" s="295">
        <v>54414328.9259018</v>
      </c>
      <c r="E354" s="295">
        <v>331106.27529719297</v>
      </c>
      <c r="F354" s="53"/>
      <c r="G354" s="53" t="s">
        <v>1895</v>
      </c>
      <c r="H354" s="295">
        <v>1373286.5738959899</v>
      </c>
      <c r="I354" s="295">
        <v>13859447.561695701</v>
      </c>
      <c r="J354" s="295">
        <v>54414328.9259018</v>
      </c>
      <c r="K354" s="295">
        <v>331106.27529719297</v>
      </c>
      <c r="L354" s="53"/>
      <c r="M354" s="53" t="s">
        <v>1895</v>
      </c>
      <c r="N354" s="295">
        <f t="shared" si="42"/>
        <v>0</v>
      </c>
      <c r="O354" s="295">
        <f t="shared" si="39"/>
        <v>0</v>
      </c>
      <c r="P354" s="295">
        <f t="shared" si="40"/>
        <v>0</v>
      </c>
      <c r="Q354" s="295">
        <f t="shared" si="41"/>
        <v>0</v>
      </c>
      <c r="R354" s="54"/>
    </row>
    <row r="355" spans="1:18" x14ac:dyDescent="0.25">
      <c r="A355" s="52" t="s">
        <v>1898</v>
      </c>
      <c r="B355" s="295">
        <v>47866878.331852898</v>
      </c>
      <c r="C355" s="295">
        <v>473973959.055888</v>
      </c>
      <c r="D355" s="295">
        <v>1771585160.9608099</v>
      </c>
      <c r="E355" s="295">
        <v>14484253.5010671</v>
      </c>
      <c r="F355" s="53"/>
      <c r="G355" s="53" t="s">
        <v>1898</v>
      </c>
      <c r="H355" s="295">
        <v>58706020.724312797</v>
      </c>
      <c r="I355" s="295">
        <v>601199563.87932706</v>
      </c>
      <c r="J355" s="295">
        <v>1845114555.9590499</v>
      </c>
      <c r="K355" s="295">
        <v>9837588.5627346206</v>
      </c>
      <c r="L355" s="53"/>
      <c r="M355" s="53" t="s">
        <v>1898</v>
      </c>
      <c r="N355" s="295">
        <f t="shared" si="42"/>
        <v>0.18463425486392956</v>
      </c>
      <c r="O355" s="295">
        <f t="shared" si="39"/>
        <v>0.21161958934650163</v>
      </c>
      <c r="P355" s="295">
        <f t="shared" si="40"/>
        <v>3.9850856284650051E-2</v>
      </c>
      <c r="Q355" s="295">
        <f t="shared" si="41"/>
        <v>-0.47233779992937769</v>
      </c>
      <c r="R355" s="54"/>
    </row>
    <row r="356" spans="1:18" x14ac:dyDescent="0.25">
      <c r="A356" s="52" t="s">
        <v>1900</v>
      </c>
      <c r="B356" s="295">
        <v>113577.479176579</v>
      </c>
      <c r="C356" s="295">
        <v>2520259.3919474301</v>
      </c>
      <c r="D356" s="295">
        <v>2926485.4123600102</v>
      </c>
      <c r="E356" s="295">
        <v>0</v>
      </c>
      <c r="F356" s="53"/>
      <c r="G356" s="53" t="s">
        <v>1900</v>
      </c>
      <c r="H356" s="295">
        <v>50478.8796340357</v>
      </c>
      <c r="I356" s="295">
        <v>1120115.2853099899</v>
      </c>
      <c r="J356" s="295">
        <v>1300660.1832711401</v>
      </c>
      <c r="K356" s="295">
        <v>0</v>
      </c>
      <c r="L356" s="53"/>
      <c r="M356" s="53" t="s">
        <v>1900</v>
      </c>
      <c r="N356" s="295">
        <f t="shared" si="42"/>
        <v>-1.2499999999999738</v>
      </c>
      <c r="O356" s="295">
        <f t="shared" si="39"/>
        <v>-1.2499999999999578</v>
      </c>
      <c r="P356" s="295">
        <f t="shared" si="40"/>
        <v>-1.2499999999999578</v>
      </c>
      <c r="Q356" s="295" t="e">
        <f t="shared" si="41"/>
        <v>#DIV/0!</v>
      </c>
      <c r="R356" s="54"/>
    </row>
    <row r="357" spans="1:18" x14ac:dyDescent="0.25">
      <c r="A357" s="52" t="s">
        <v>1899</v>
      </c>
      <c r="B357" s="295">
        <v>8376778.2365108803</v>
      </c>
      <c r="C357" s="295">
        <v>120481499.963847</v>
      </c>
      <c r="D357" s="295">
        <v>0</v>
      </c>
      <c r="E357" s="295">
        <v>0</v>
      </c>
      <c r="F357" s="53"/>
      <c r="G357" s="53" t="s">
        <v>1899</v>
      </c>
      <c r="H357" s="295">
        <v>13803381.5506282</v>
      </c>
      <c r="I357" s="295">
        <v>164952519.41973299</v>
      </c>
      <c r="J357" s="295">
        <v>0</v>
      </c>
      <c r="K357" s="295">
        <v>0</v>
      </c>
      <c r="L357" s="53"/>
      <c r="M357" s="53" t="s">
        <v>1899</v>
      </c>
      <c r="N357" s="295">
        <f t="shared" si="42"/>
        <v>0.39313579025643552</v>
      </c>
      <c r="O357" s="295">
        <f t="shared" si="39"/>
        <v>0.26959891011259085</v>
      </c>
      <c r="P357" s="295" t="e">
        <f t="shared" si="40"/>
        <v>#DIV/0!</v>
      </c>
      <c r="Q357" s="295" t="e">
        <f t="shared" si="41"/>
        <v>#DIV/0!</v>
      </c>
      <c r="R357" s="54"/>
    </row>
    <row r="358" spans="1:18" x14ac:dyDescent="0.25">
      <c r="A358" s="52" t="s">
        <v>1901</v>
      </c>
      <c r="B358" s="295">
        <v>0</v>
      </c>
      <c r="C358" s="295">
        <v>0</v>
      </c>
      <c r="D358" s="295">
        <v>0</v>
      </c>
      <c r="E358" s="295">
        <v>0</v>
      </c>
      <c r="F358" s="53"/>
      <c r="G358" s="53" t="s">
        <v>1901</v>
      </c>
      <c r="H358" s="295">
        <v>0</v>
      </c>
      <c r="I358" s="295">
        <v>0</v>
      </c>
      <c r="J358" s="295">
        <v>0</v>
      </c>
      <c r="K358" s="295">
        <v>0</v>
      </c>
      <c r="L358" s="53"/>
      <c r="M358" s="53" t="s">
        <v>1901</v>
      </c>
      <c r="N358" s="295" t="e">
        <f t="shared" si="42"/>
        <v>#DIV/0!</v>
      </c>
      <c r="O358" s="295" t="e">
        <f t="shared" si="39"/>
        <v>#DIV/0!</v>
      </c>
      <c r="P358" s="295" t="e">
        <f t="shared" si="40"/>
        <v>#DIV/0!</v>
      </c>
      <c r="Q358" s="295" t="e">
        <f t="shared" si="41"/>
        <v>#DIV/0!</v>
      </c>
      <c r="R358" s="54"/>
    </row>
    <row r="359" spans="1:18" s="31" customFormat="1" x14ac:dyDescent="0.25">
      <c r="A359" s="52" t="s">
        <v>2083</v>
      </c>
      <c r="B359" s="295">
        <v>8401774.0854247306</v>
      </c>
      <c r="C359" s="295">
        <v>11486974.3590097</v>
      </c>
      <c r="D359" s="295">
        <v>0</v>
      </c>
      <c r="E359" s="295">
        <v>16564934.820473</v>
      </c>
      <c r="F359" s="53"/>
      <c r="G359" s="148" t="s">
        <v>2083</v>
      </c>
      <c r="H359" s="295">
        <v>11446079.3398303</v>
      </c>
      <c r="I359" s="295">
        <v>15991026.959352801</v>
      </c>
      <c r="J359" s="295">
        <v>0</v>
      </c>
      <c r="K359" s="295">
        <v>23815070.659790698</v>
      </c>
      <c r="L359" s="53"/>
      <c r="M359" s="148" t="s">
        <v>2083</v>
      </c>
      <c r="N359" s="295">
        <f t="shared" ref="N359" si="43">(H359-B359)/H359</f>
        <v>0.26596926021750816</v>
      </c>
      <c r="O359" s="510">
        <f t="shared" ref="O359" si="44">(I359-C359)/I359</f>
        <v>0.28166124738528936</v>
      </c>
      <c r="P359" s="295" t="e">
        <f t="shared" ref="P359" si="45">(J359-D359)/J359</f>
        <v>#DIV/0!</v>
      </c>
      <c r="Q359" s="295">
        <f t="shared" ref="Q359" si="46">(K359-E359)/K359</f>
        <v>0.30443478177702021</v>
      </c>
      <c r="R359" s="54"/>
    </row>
    <row r="360" spans="1:18" s="31" customFormat="1" x14ac:dyDescent="0.25">
      <c r="A360" s="52" t="s">
        <v>2084</v>
      </c>
      <c r="B360" s="295">
        <v>85724.414772728007</v>
      </c>
      <c r="C360" s="295">
        <v>1902205.9920371899</v>
      </c>
      <c r="D360" s="295">
        <v>2208811.56312213</v>
      </c>
      <c r="E360" s="295">
        <v>0</v>
      </c>
      <c r="F360" s="53"/>
      <c r="G360" s="53" t="s">
        <v>2084</v>
      </c>
      <c r="H360" s="295">
        <v>38099.739898990199</v>
      </c>
      <c r="I360" s="295">
        <v>845424.88534985902</v>
      </c>
      <c r="J360" s="295">
        <v>981694.02805427904</v>
      </c>
      <c r="K360" s="295">
        <v>0</v>
      </c>
      <c r="L360" s="53"/>
      <c r="M360" s="53" t="s">
        <v>2084</v>
      </c>
      <c r="N360" s="295">
        <f t="shared" ref="N360:N363" si="47">(H360-B360)/H360</f>
        <v>-1.2500000000000016</v>
      </c>
      <c r="O360" s="510">
        <f t="shared" ref="O360:O363" si="48">(I360-C360)/I360</f>
        <v>-1.2500000000000084</v>
      </c>
      <c r="P360" s="295">
        <f t="shared" ref="P360:P363" si="49">(J360-D360)/J360</f>
        <v>-1.2500000000000022</v>
      </c>
      <c r="Q360" s="295" t="e">
        <f t="shared" ref="Q360:Q363" si="50">(K360-E360)/K360</f>
        <v>#DIV/0!</v>
      </c>
      <c r="R360" s="54"/>
    </row>
    <row r="361" spans="1:18" s="31" customFormat="1" x14ac:dyDescent="0.25">
      <c r="A361" s="52" t="s">
        <v>2085</v>
      </c>
      <c r="B361" s="295">
        <v>22866.527840186402</v>
      </c>
      <c r="C361" s="295">
        <v>507403.24550486298</v>
      </c>
      <c r="D361" s="295">
        <v>589188.63705005404</v>
      </c>
      <c r="E361" s="295">
        <v>0</v>
      </c>
      <c r="F361" s="53"/>
      <c r="G361" s="53" t="s">
        <v>2085</v>
      </c>
      <c r="H361" s="295">
        <v>10162.9012623051</v>
      </c>
      <c r="I361" s="295">
        <v>225512.55355771701</v>
      </c>
      <c r="J361" s="295">
        <v>261861.61646669099</v>
      </c>
      <c r="K361" s="295">
        <v>0</v>
      </c>
      <c r="L361" s="53"/>
      <c r="M361" s="53" t="s">
        <v>2085</v>
      </c>
      <c r="N361" s="295">
        <f t="shared" si="47"/>
        <v>-1.2499999999999927</v>
      </c>
      <c r="O361" s="510">
        <f t="shared" si="48"/>
        <v>-1.2499999999999987</v>
      </c>
      <c r="P361" s="295">
        <f t="shared" si="49"/>
        <v>-1.2499999999999973</v>
      </c>
      <c r="Q361" s="295" t="e">
        <f t="shared" si="50"/>
        <v>#DIV/0!</v>
      </c>
      <c r="R361" s="54"/>
    </row>
    <row r="362" spans="1:18" s="31" customFormat="1" x14ac:dyDescent="0.25">
      <c r="A362" s="52" t="s">
        <v>2086</v>
      </c>
      <c r="B362" s="295">
        <v>323.78612879998599</v>
      </c>
      <c r="C362" s="295">
        <v>592.74132191991703</v>
      </c>
      <c r="D362" s="295">
        <v>4491.8554590001204</v>
      </c>
      <c r="E362" s="295">
        <v>80.712000000000401</v>
      </c>
      <c r="F362" s="53"/>
      <c r="G362" s="53" t="s">
        <v>2086</v>
      </c>
      <c r="H362" s="295">
        <v>412.08473753062901</v>
      </c>
      <c r="I362" s="295">
        <v>754.38578228232097</v>
      </c>
      <c r="J362" s="295">
        <v>4680.0319465934899</v>
      </c>
      <c r="K362" s="295">
        <v>60.963057219990098</v>
      </c>
      <c r="L362" s="53"/>
      <c r="M362" s="53" t="s">
        <v>2086</v>
      </c>
      <c r="N362" s="295">
        <f t="shared" si="47"/>
        <v>0.21427294119108223</v>
      </c>
      <c r="O362" s="510">
        <f t="shared" si="48"/>
        <v>0.21427294119112944</v>
      </c>
      <c r="P362" s="295">
        <f t="shared" si="49"/>
        <v>4.0208376724936629E-2</v>
      </c>
      <c r="Q362" s="295">
        <f t="shared" si="50"/>
        <v>-0.32394935032120609</v>
      </c>
      <c r="R362" s="54"/>
    </row>
    <row r="363" spans="1:18" s="31" customFormat="1" ht="15.75" thickBot="1" x14ac:dyDescent="0.3">
      <c r="A363" s="52" t="s">
        <v>2087</v>
      </c>
      <c r="B363" s="299">
        <v>0</v>
      </c>
      <c r="C363" s="299">
        <v>128353.954909957</v>
      </c>
      <c r="D363" s="299">
        <v>971604.17382675002</v>
      </c>
      <c r="E363" s="299">
        <v>0</v>
      </c>
      <c r="F363" s="53"/>
      <c r="G363" s="53" t="s">
        <v>2087</v>
      </c>
      <c r="H363" s="295">
        <v>0</v>
      </c>
      <c r="I363" s="295">
        <v>427846.51636649499</v>
      </c>
      <c r="J363" s="295">
        <v>971604.17382675002</v>
      </c>
      <c r="K363" s="295">
        <v>0</v>
      </c>
      <c r="L363" s="53"/>
      <c r="M363" s="53" t="s">
        <v>2087</v>
      </c>
      <c r="N363" s="295" t="e">
        <f t="shared" si="47"/>
        <v>#DIV/0!</v>
      </c>
      <c r="O363" s="510">
        <f t="shared" si="48"/>
        <v>0.69999999999998008</v>
      </c>
      <c r="P363" s="295">
        <f t="shared" si="49"/>
        <v>0</v>
      </c>
      <c r="Q363" s="295" t="e">
        <f t="shared" si="50"/>
        <v>#DIV/0!</v>
      </c>
      <c r="R363" s="54"/>
    </row>
    <row r="364" spans="1:18" ht="15.75" thickBot="1" x14ac:dyDescent="0.3">
      <c r="A364" s="55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57"/>
    </row>
    <row r="367" spans="1:18" s="75" customFormat="1" x14ac:dyDescent="0.25"/>
    <row r="369" spans="1:12" x14ac:dyDescent="0.25">
      <c r="B369" t="s">
        <v>2571</v>
      </c>
      <c r="F369" t="s">
        <v>2574</v>
      </c>
    </row>
    <row r="370" spans="1:12" x14ac:dyDescent="0.25">
      <c r="B370" t="s">
        <v>2566</v>
      </c>
      <c r="C370" t="s">
        <v>1921</v>
      </c>
      <c r="F370">
        <v>1256</v>
      </c>
      <c r="G370">
        <f>1817.3118</f>
        <v>1817.3117999999999</v>
      </c>
      <c r="H370" s="31">
        <f>G370/'Indoor Inputs'!K29</f>
        <v>293.75724986301367</v>
      </c>
      <c r="I370" s="31"/>
      <c r="J370" s="31"/>
      <c r="K370" s="31"/>
    </row>
    <row r="371" spans="1:12" ht="13.5" customHeight="1" x14ac:dyDescent="0.25">
      <c r="A371" t="s">
        <v>2567</v>
      </c>
      <c r="B371" s="360">
        <f>1202*0.1*'Indoor Inputs'!$K$18*kg_to_lb/m2_to_ft2</f>
        <v>10.807643046869792</v>
      </c>
      <c r="F371">
        <v>1202</v>
      </c>
      <c r="G371">
        <f>5317.376</f>
        <v>5317.3760000000002</v>
      </c>
      <c r="H371">
        <f>G371/'Indoor Inputs'!K29</f>
        <v>859.5210520547945</v>
      </c>
    </row>
    <row r="372" spans="1:12" x14ac:dyDescent="0.25">
      <c r="A372" s="31" t="s">
        <v>2567</v>
      </c>
      <c r="B372" s="360">
        <f>1256*0.1*'Indoor Inputs'!$K$18*kg_to_lb/m2_to_ft2</f>
        <v>11.293177759457953</v>
      </c>
      <c r="C372" s="468">
        <f>B372*m2_to_ft2</f>
        <v>121.55863608502945</v>
      </c>
      <c r="F372">
        <v>1136</v>
      </c>
      <c r="G372" s="171"/>
      <c r="H372" s="171"/>
      <c r="I372" s="171"/>
      <c r="J372" s="171"/>
      <c r="K372" s="171"/>
      <c r="L372" s="171"/>
    </row>
    <row r="373" spans="1:12" x14ac:dyDescent="0.25">
      <c r="A373" s="31" t="s">
        <v>2567</v>
      </c>
      <c r="B373" s="360">
        <f>1136*0.1*'Indoor Inputs'!$K$18*kg_to_lb/m2_to_ft2</f>
        <v>10.214211731484264</v>
      </c>
      <c r="G373" s="171"/>
      <c r="H373" s="171"/>
      <c r="I373" s="171"/>
      <c r="J373" s="171"/>
      <c r="K373" s="171"/>
      <c r="L373" s="171"/>
    </row>
    <row r="374" spans="1:12" x14ac:dyDescent="0.25">
      <c r="A374" t="s">
        <v>2572</v>
      </c>
      <c r="B374" s="360">
        <f>1817.3118*indoor_annual_bud_yield/'Indoor Inputs'!G6/'Indoor Inputs'!K29*0.1</f>
        <v>3.3409793284830438</v>
      </c>
      <c r="C374" s="468">
        <f>B374*m2_to_ft2</f>
        <v>35.961967393858636</v>
      </c>
      <c r="G374" s="171"/>
      <c r="H374" s="171"/>
      <c r="I374" s="171"/>
      <c r="J374" s="171"/>
      <c r="K374" s="171"/>
      <c r="L374" s="171"/>
    </row>
    <row r="375" spans="1:12" x14ac:dyDescent="0.25">
      <c r="A375" t="s">
        <v>2573</v>
      </c>
      <c r="B375" s="360">
        <f>5317.376*indoor_annual_bud_yield*0.1/'Indoor Inputs'!G6/'Indoor Inputs'!K29</f>
        <v>9.7755615177163619</v>
      </c>
      <c r="C375" s="468">
        <f>B375*m2_to_ft2</f>
        <v>105.22316662054715</v>
      </c>
      <c r="G375" s="171"/>
      <c r="H375" s="171"/>
      <c r="I375" s="171"/>
      <c r="J375" s="171"/>
      <c r="K375" s="171"/>
      <c r="L375" s="171"/>
    </row>
    <row r="376" spans="1:12" x14ac:dyDescent="0.25">
      <c r="A376" t="s">
        <v>1239</v>
      </c>
      <c r="B376">
        <f>2756/1.5/m2_to_ft2*0.1</f>
        <v>17.069401734811112</v>
      </c>
      <c r="C376" t="s">
        <v>2575</v>
      </c>
      <c r="G376" s="171"/>
      <c r="H376" s="171"/>
      <c r="I376" s="171"/>
      <c r="J376" s="171"/>
      <c r="K376" s="171"/>
      <c r="L376" s="171"/>
    </row>
    <row r="377" spans="1:12" x14ac:dyDescent="0.25">
      <c r="A377" t="s">
        <v>2578</v>
      </c>
      <c r="B377">
        <f>360/25*0.1</f>
        <v>1.4400000000000002</v>
      </c>
      <c r="C377">
        <f>B377*m2_to_ft2</f>
        <v>15.500016</v>
      </c>
      <c r="G377" s="171"/>
      <c r="H377" s="171"/>
      <c r="I377" s="171"/>
      <c r="J377" s="171"/>
      <c r="K377" s="171"/>
      <c r="L377" s="171"/>
    </row>
    <row r="378" spans="1:12" x14ac:dyDescent="0.25">
      <c r="A378" s="31"/>
      <c r="G378" s="171"/>
      <c r="H378" s="171"/>
      <c r="I378" s="171"/>
      <c r="J378" s="171"/>
      <c r="K378" s="171"/>
      <c r="L378" s="171"/>
    </row>
    <row r="379" spans="1:12" x14ac:dyDescent="0.25">
      <c r="G379" s="171"/>
      <c r="H379" s="171"/>
      <c r="I379" s="171"/>
      <c r="J379" s="171"/>
      <c r="K379" s="171"/>
      <c r="L379" s="171"/>
    </row>
    <row r="380" spans="1:12" x14ac:dyDescent="0.25">
      <c r="A380" s="37" t="s">
        <v>2583</v>
      </c>
    </row>
    <row r="381" spans="1:12" x14ac:dyDescent="0.25">
      <c r="A381" s="246">
        <f>2307910251.84962/1000</f>
        <v>2307910.2518496197</v>
      </c>
      <c r="B381" s="53" t="s">
        <v>2586</v>
      </c>
    </row>
    <row r="382" spans="1:12" x14ac:dyDescent="0.25">
      <c r="A382" s="647"/>
      <c r="B382" s="53"/>
    </row>
    <row r="383" spans="1:12" x14ac:dyDescent="0.25">
      <c r="A383" s="618">
        <f>A381/'Indoor Inputs'!K8</f>
        <v>2459.9818575916488</v>
      </c>
      <c r="B383" s="53" t="s">
        <v>429</v>
      </c>
      <c r="C383" t="s">
        <v>2209</v>
      </c>
    </row>
    <row r="384" spans="1:12" x14ac:dyDescent="0.25">
      <c r="A384" s="618">
        <f>3369/1.5</f>
        <v>2246</v>
      </c>
      <c r="B384" s="53" t="s">
        <v>378</v>
      </c>
      <c r="C384" t="s">
        <v>2584</v>
      </c>
    </row>
    <row r="385" spans="1:8" x14ac:dyDescent="0.25">
      <c r="B385" t="s">
        <v>2585</v>
      </c>
    </row>
    <row r="386" spans="1:8" x14ac:dyDescent="0.25">
      <c r="A386" t="s">
        <v>2516</v>
      </c>
      <c r="B386" s="31">
        <v>47866878.331852898</v>
      </c>
      <c r="C386" s="31">
        <v>473973959.055888</v>
      </c>
      <c r="D386" s="31">
        <v>1771585160.9608099</v>
      </c>
      <c r="E386" s="31">
        <v>14484253.5010671</v>
      </c>
      <c r="F386" s="37">
        <f>SUM(B386:E386)</f>
        <v>2307910251.849618</v>
      </c>
    </row>
    <row r="387" spans="1:8" x14ac:dyDescent="0.25">
      <c r="A387" t="s">
        <v>2492</v>
      </c>
      <c r="B387" s="31">
        <v>47866878.331852898</v>
      </c>
      <c r="C387" s="31">
        <v>473973959.055888</v>
      </c>
      <c r="D387" s="31">
        <v>1771585160.9608099</v>
      </c>
      <c r="E387" s="31">
        <v>14484253.5010671</v>
      </c>
      <c r="F387" s="37">
        <f>SUM(B387:E387)</f>
        <v>2307910251.849618</v>
      </c>
    </row>
    <row r="390" spans="1:8" x14ac:dyDescent="0.25">
      <c r="A390" t="s">
        <v>2835</v>
      </c>
    </row>
    <row r="391" spans="1:8" x14ac:dyDescent="0.25">
      <c r="B391" t="s">
        <v>2838</v>
      </c>
      <c r="C391" t="s">
        <v>2428</v>
      </c>
    </row>
    <row r="392" spans="1:8" x14ac:dyDescent="0.25">
      <c r="A392" t="s">
        <v>2836</v>
      </c>
      <c r="B392">
        <v>30.8</v>
      </c>
      <c r="C392" t="s">
        <v>2839</v>
      </c>
    </row>
    <row r="393" spans="1:8" x14ac:dyDescent="0.25">
      <c r="A393" t="s">
        <v>2837</v>
      </c>
      <c r="B393">
        <v>21.5</v>
      </c>
      <c r="C393" t="s">
        <v>2840</v>
      </c>
    </row>
    <row r="395" spans="1:8" x14ac:dyDescent="0.25">
      <c r="A395" t="s">
        <v>2841</v>
      </c>
      <c r="B395">
        <v>5744</v>
      </c>
      <c r="C395" t="s">
        <v>2842</v>
      </c>
      <c r="F395" t="s">
        <v>2511</v>
      </c>
      <c r="G395" t="s">
        <v>2851</v>
      </c>
      <c r="H395" t="s">
        <v>2852</v>
      </c>
    </row>
    <row r="396" spans="1:8" x14ac:dyDescent="0.25">
      <c r="B396">
        <f>B395*tonnes_to_tons</f>
        <v>6331.674355285857</v>
      </c>
      <c r="C396" t="s">
        <v>2843</v>
      </c>
      <c r="F396" t="s">
        <v>2850</v>
      </c>
      <c r="G396" t="s">
        <v>2852</v>
      </c>
      <c r="H396" t="s">
        <v>1504</v>
      </c>
    </row>
    <row r="397" spans="1:8" x14ac:dyDescent="0.25">
      <c r="B397">
        <f>B396/tonnes_to_kgs</f>
        <v>6.3316743552858572</v>
      </c>
      <c r="C397" t="s">
        <v>2844</v>
      </c>
    </row>
    <row r="398" spans="1:8" x14ac:dyDescent="0.25">
      <c r="B398">
        <f>36000/15</f>
        <v>2400</v>
      </c>
      <c r="C398" t="s">
        <v>2845</v>
      </c>
    </row>
    <row r="399" spans="1:8" x14ac:dyDescent="0.25">
      <c r="B399">
        <f>B395*B398</f>
        <v>13785600</v>
      </c>
      <c r="C399" t="s">
        <v>2846</v>
      </c>
    </row>
    <row r="400" spans="1:8" x14ac:dyDescent="0.25">
      <c r="B400">
        <f>B399/hectare_to_m2</f>
        <v>1378.56</v>
      </c>
      <c r="C400" t="s">
        <v>2849</v>
      </c>
    </row>
    <row r="402" spans="2:8" x14ac:dyDescent="0.25">
      <c r="B402" s="32">
        <f>Figures!R45</f>
        <v>5480.2204379093791</v>
      </c>
      <c r="C402" t="s">
        <v>2853</v>
      </c>
      <c r="F402" t="s">
        <v>2855</v>
      </c>
      <c r="G402" t="s">
        <v>2856</v>
      </c>
      <c r="H402" t="s">
        <v>1002</v>
      </c>
    </row>
    <row r="403" spans="2:8" x14ac:dyDescent="0.25">
      <c r="B403">
        <f>B402*indoor_annual_bud_yield</f>
        <v>9231479.5327309612</v>
      </c>
      <c r="C403" t="s">
        <v>2854</v>
      </c>
      <c r="F403" t="s">
        <v>2856</v>
      </c>
      <c r="G403" t="s">
        <v>1002</v>
      </c>
      <c r="H403" t="s">
        <v>1504</v>
      </c>
    </row>
    <row r="404" spans="2:8" x14ac:dyDescent="0.25">
      <c r="B404">
        <f>B403/'Indoor Inputs'!K8</f>
        <v>9839.7553158954051</v>
      </c>
      <c r="C404" t="s">
        <v>2857</v>
      </c>
    </row>
  </sheetData>
  <mergeCells count="11">
    <mergeCell ref="B301:J301"/>
    <mergeCell ref="B274:J274"/>
    <mergeCell ref="B118:C118"/>
    <mergeCell ref="D118:E118"/>
    <mergeCell ref="H118:I118"/>
    <mergeCell ref="F118:G118"/>
    <mergeCell ref="H36:H37"/>
    <mergeCell ref="H38:H39"/>
    <mergeCell ref="H40:H41"/>
    <mergeCell ref="H42:H43"/>
    <mergeCell ref="B253:J253"/>
  </mergeCells>
  <hyperlinks>
    <hyperlink ref="A64" r:id="rId1"/>
    <hyperlink ref="O53" r:id="rId2"/>
    <hyperlink ref="B145" r:id="rId3"/>
    <hyperlink ref="B154" r:id="rId4"/>
    <hyperlink ref="F204" r:id="rId5"/>
    <hyperlink ref="C217" r:id="rId6"/>
  </hyperlinks>
  <pageMargins left="0.7" right="0.7" top="0.75" bottom="0.75" header="0.3" footer="0.3"/>
  <pageSetup orientation="portrait" horizontalDpi="1200" verticalDpi="1200" r:id="rId7"/>
  <drawing r:id="rId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-0.249977111117893"/>
  </sheetPr>
  <dimension ref="B1:K299"/>
  <sheetViews>
    <sheetView zoomScaleNormal="100" workbookViewId="0">
      <selection activeCell="I28" sqref="I28:K31"/>
    </sheetView>
  </sheetViews>
  <sheetFormatPr defaultRowHeight="15" x14ac:dyDescent="0.25"/>
  <cols>
    <col min="2" max="2" width="62.85546875" bestFit="1" customWidth="1"/>
    <col min="3" max="3" width="38.85546875" customWidth="1"/>
    <col min="4" max="4" width="15.85546875" customWidth="1"/>
    <col min="5" max="5" width="17.5703125" customWidth="1"/>
    <col min="9" max="9" width="32.85546875" bestFit="1" customWidth="1"/>
    <col min="11" max="11" width="120" bestFit="1" customWidth="1"/>
  </cols>
  <sheetData>
    <row r="1" spans="2:11" ht="15.75" thickBot="1" x14ac:dyDescent="0.3"/>
    <row r="2" spans="2:11" x14ac:dyDescent="0.25">
      <c r="B2" s="230" t="s">
        <v>2547</v>
      </c>
      <c r="C2" s="231" t="s">
        <v>1248</v>
      </c>
      <c r="D2" s="231" t="s">
        <v>194</v>
      </c>
      <c r="E2" s="648" t="s">
        <v>2628</v>
      </c>
      <c r="F2" s="51"/>
    </row>
    <row r="3" spans="2:11" x14ac:dyDescent="0.25">
      <c r="B3" s="52" t="str">
        <f>'Indoor Inputs'!E21</f>
        <v>Biofungicide (Folpet)</v>
      </c>
      <c r="C3" s="79">
        <f>'Indoor Inputs'!K21*'Indoor Inputs'!K29</f>
        <v>3020.4871487400428</v>
      </c>
      <c r="D3" s="53" t="s">
        <v>836</v>
      </c>
      <c r="E3" s="79">
        <f>C3/tonnes_to_kgs</f>
        <v>3.0204871487400426</v>
      </c>
      <c r="F3" s="54"/>
      <c r="H3">
        <v>23</v>
      </c>
      <c r="I3" s="31">
        <v>3020.4871487400401</v>
      </c>
      <c r="J3">
        <f t="shared" ref="J3:J11" si="0">E3*tonnes_to_kgs</f>
        <v>3020.4871487400428</v>
      </c>
      <c r="K3" s="680">
        <f>J3/I3</f>
        <v>1.0000000000000009</v>
      </c>
    </row>
    <row r="4" spans="2:11" x14ac:dyDescent="0.25">
      <c r="B4" s="52" t="str">
        <f>'Indoor Inputs'!E22</f>
        <v>Soil Amendments (Perlite)</v>
      </c>
      <c r="C4" s="79">
        <f>'Indoor Inputs'!K22*'Indoor Inputs'!K29</f>
        <v>156397.27993832726</v>
      </c>
      <c r="D4" s="53" t="s">
        <v>836</v>
      </c>
      <c r="E4" s="79">
        <f>C4/tonnes_to_kgs</f>
        <v>156.39727993832727</v>
      </c>
      <c r="F4" s="54"/>
      <c r="H4">
        <v>19</v>
      </c>
      <c r="I4" s="31">
        <v>156397.279938327</v>
      </c>
      <c r="J4" s="31">
        <f t="shared" si="0"/>
        <v>156397.27993832726</v>
      </c>
      <c r="K4" s="680">
        <f t="shared" ref="K4:K11" si="1">J4/I4</f>
        <v>1.0000000000000018</v>
      </c>
    </row>
    <row r="5" spans="2:11" x14ac:dyDescent="0.25">
      <c r="B5" s="52" t="str">
        <f>'Indoor Inputs'!E23</f>
        <v>Ammonium Nitrate (N)</v>
      </c>
      <c r="C5" s="79">
        <f>'Indoor Inputs'!K23*'Indoor Inputs'!K29*'Indoor Inputs'!K17</f>
        <v>401.39819144465417</v>
      </c>
      <c r="D5" s="53" t="s">
        <v>836</v>
      </c>
      <c r="E5" s="79">
        <f>C5/tonnes_to_kgs</f>
        <v>0.40139819144465416</v>
      </c>
      <c r="F5" s="54"/>
      <c r="H5">
        <v>15</v>
      </c>
      <c r="I5" s="31">
        <v>401.398191444654</v>
      </c>
      <c r="J5" s="31">
        <f t="shared" si="0"/>
        <v>401.39819144465417</v>
      </c>
      <c r="K5" s="680">
        <f t="shared" si="1"/>
        <v>1.0000000000000004</v>
      </c>
    </row>
    <row r="6" spans="2:11" x14ac:dyDescent="0.25">
      <c r="B6" s="52" t="str">
        <f>'Indoor Inputs'!E24</f>
        <v>Triple Superphosphate (P)</v>
      </c>
      <c r="C6" s="79">
        <f>'Indoor Inputs'!K24*'Indoor Inputs'!K17*'Indoor Inputs'!K29</f>
        <v>893.42001594490227</v>
      </c>
      <c r="D6" s="53" t="s">
        <v>836</v>
      </c>
      <c r="E6" s="79">
        <f>C6/tonnes_to_kgs</f>
        <v>0.89342001594490228</v>
      </c>
      <c r="F6" s="54"/>
      <c r="H6">
        <v>16</v>
      </c>
      <c r="I6" s="31">
        <v>893.42001594490205</v>
      </c>
      <c r="J6" s="31">
        <f t="shared" si="0"/>
        <v>893.42001594490227</v>
      </c>
      <c r="K6" s="680">
        <f t="shared" si="1"/>
        <v>1.0000000000000002</v>
      </c>
    </row>
    <row r="7" spans="2:11" x14ac:dyDescent="0.25">
      <c r="B7" s="52" t="str">
        <f>'Indoor Inputs'!E25</f>
        <v>Potassium Chloride (K)</v>
      </c>
      <c r="C7" s="79">
        <f>'Indoor Inputs'!K25*'Indoor Inputs'!K29*'Indoor Inputs'!K17</f>
        <v>610.09880506170578</v>
      </c>
      <c r="D7" s="53" t="s">
        <v>836</v>
      </c>
      <c r="E7" s="79">
        <f>C7/tonnes_to_kgs</f>
        <v>0.61009880506170577</v>
      </c>
      <c r="F7" s="54"/>
      <c r="H7">
        <v>17</v>
      </c>
      <c r="I7" s="31">
        <v>610.098805061706</v>
      </c>
      <c r="J7" s="31">
        <f t="shared" si="0"/>
        <v>610.09880506170578</v>
      </c>
      <c r="K7" s="680">
        <f t="shared" si="1"/>
        <v>0.99999999999999967</v>
      </c>
    </row>
    <row r="8" spans="2:11" x14ac:dyDescent="0.25">
      <c r="B8" s="52" t="str">
        <f>'Indoor Inputs'!E26</f>
        <v>Neem oil for insecticide</v>
      </c>
      <c r="C8" s="79">
        <f>'Indoor Inputs'!K26*'Indoor Inputs'!K17*'Indoor Inputs'!K29</f>
        <v>2839.5740838286642</v>
      </c>
      <c r="D8" s="53" t="s">
        <v>916</v>
      </c>
      <c r="E8" s="679">
        <f>C8/m3_to_liters*prop_neem_density/tonnes_to_kgs</f>
        <v>2.5840124162840845</v>
      </c>
      <c r="F8" s="54"/>
      <c r="H8">
        <v>20</v>
      </c>
      <c r="I8" s="257">
        <v>2584.0124162840798</v>
      </c>
      <c r="J8" s="31">
        <f t="shared" si="0"/>
        <v>2584.0124162840843</v>
      </c>
      <c r="K8" s="680">
        <f t="shared" si="1"/>
        <v>1.0000000000000018</v>
      </c>
    </row>
    <row r="9" spans="2:11" x14ac:dyDescent="0.25">
      <c r="B9" s="52" t="str">
        <f>'Indoor Inputs'!E28</f>
        <v>Surfactant mixed with neem oil application</v>
      </c>
      <c r="C9" s="79">
        <f>'Indoor Inputs'!K28*'Indoor Inputs'!K29*'Indoor Inputs'!K17</f>
        <v>559.84133973059102</v>
      </c>
      <c r="D9" s="53" t="s">
        <v>916</v>
      </c>
      <c r="E9" s="679">
        <f>C9/m3_to_liters*prop_soap_density/tonnes_to_kgs</f>
        <v>0.52177212862891087</v>
      </c>
      <c r="F9" s="54"/>
      <c r="H9">
        <v>22</v>
      </c>
      <c r="I9" s="257">
        <v>521.77212862891099</v>
      </c>
      <c r="J9" s="31">
        <f t="shared" si="0"/>
        <v>521.77212862891088</v>
      </c>
      <c r="K9" s="680">
        <f t="shared" si="1"/>
        <v>0.99999999999999978</v>
      </c>
    </row>
    <row r="10" spans="2:11" x14ac:dyDescent="0.25">
      <c r="B10" s="52" t="str">
        <f>'Indoor Inputs'!E47</f>
        <v xml:space="preserve">Carbon Dioxide </v>
      </c>
      <c r="C10" s="79">
        <f>'Indoor Inputs'!K47/kg_to_lb</f>
        <v>1099958.1287367069</v>
      </c>
      <c r="D10" s="53" t="s">
        <v>1064</v>
      </c>
      <c r="E10" s="79">
        <f>C10/tonnes_to_kgs</f>
        <v>1099.9581287367068</v>
      </c>
      <c r="F10" s="54"/>
      <c r="H10">
        <v>14</v>
      </c>
      <c r="I10" s="257">
        <v>1399450.6901932401</v>
      </c>
      <c r="J10" s="31">
        <f t="shared" si="0"/>
        <v>1099958.1287367069</v>
      </c>
      <c r="K10" s="680">
        <f t="shared" si="1"/>
        <v>0.78599277305356263</v>
      </c>
    </row>
    <row r="11" spans="2:11" x14ac:dyDescent="0.25">
      <c r="B11" s="52" t="str">
        <f>'Indoor Inputs'!E91</f>
        <v>Coco Coir as Soil</v>
      </c>
      <c r="C11" s="79">
        <f>'Indoor Inputs'!K91*'Indoor Inputs'!K29</f>
        <v>110800.42815845241</v>
      </c>
      <c r="D11" s="53" t="s">
        <v>836</v>
      </c>
      <c r="E11" s="79">
        <f>C11/tonnes_to_kgs</f>
        <v>110.80042815845242</v>
      </c>
      <c r="F11" s="54"/>
      <c r="H11">
        <v>18</v>
      </c>
      <c r="I11" s="31">
        <v>110800.42815845201</v>
      </c>
      <c r="J11" s="31">
        <f t="shared" si="0"/>
        <v>110800.42815845241</v>
      </c>
      <c r="K11" s="680">
        <f t="shared" si="1"/>
        <v>1.0000000000000038</v>
      </c>
    </row>
    <row r="12" spans="2:11" x14ac:dyDescent="0.25">
      <c r="B12" s="52"/>
      <c r="C12" s="53"/>
      <c r="D12" s="53"/>
      <c r="E12" s="53"/>
      <c r="F12" s="54"/>
    </row>
    <row r="13" spans="2:11" x14ac:dyDescent="0.25">
      <c r="B13" s="52"/>
      <c r="C13" s="53"/>
      <c r="D13" s="53"/>
      <c r="E13" s="53"/>
      <c r="F13" s="54"/>
      <c r="I13" s="31"/>
      <c r="J13" s="31"/>
    </row>
    <row r="14" spans="2:11" x14ac:dyDescent="0.25">
      <c r="B14" s="649" t="s">
        <v>2587</v>
      </c>
      <c r="C14" s="185" t="s">
        <v>2603</v>
      </c>
      <c r="D14" s="185" t="s">
        <v>2591</v>
      </c>
      <c r="E14" s="53"/>
      <c r="F14" s="54"/>
      <c r="I14" s="32"/>
      <c r="J14" s="31"/>
    </row>
    <row r="15" spans="2:11" x14ac:dyDescent="0.25">
      <c r="B15" s="52" t="s">
        <v>2589</v>
      </c>
      <c r="C15" s="609">
        <f>'Indoor Inputs'!G119</f>
        <v>500</v>
      </c>
      <c r="D15" s="609">
        <f>'Indoor Inputs'!K119</f>
        <v>804.67</v>
      </c>
      <c r="E15" s="53"/>
      <c r="F15" s="54"/>
      <c r="I15" s="31"/>
      <c r="J15" s="31"/>
    </row>
    <row r="16" spans="2:11" x14ac:dyDescent="0.25">
      <c r="B16" s="52" t="s">
        <v>2588</v>
      </c>
      <c r="C16" s="609">
        <f>'Indoor Inputs'!G120</f>
        <v>50</v>
      </c>
      <c r="D16" s="609">
        <f>'Indoor Inputs'!K120</f>
        <v>80.466999999999999</v>
      </c>
      <c r="E16" s="53"/>
      <c r="F16" s="54"/>
    </row>
    <row r="17" spans="2:11" x14ac:dyDescent="0.25">
      <c r="B17" s="52" t="s">
        <v>2590</v>
      </c>
      <c r="C17" s="609">
        <f>'Indoor Inputs'!G121</f>
        <v>10</v>
      </c>
      <c r="D17" s="609">
        <f>'Indoor Inputs'!K121</f>
        <v>16.093399999999999</v>
      </c>
      <c r="E17" s="53"/>
      <c r="F17" s="54"/>
    </row>
    <row r="18" spans="2:11" ht="15.75" thickBot="1" x14ac:dyDescent="0.3">
      <c r="B18" s="52"/>
      <c r="C18" s="53"/>
      <c r="D18" s="53"/>
      <c r="E18" s="53"/>
      <c r="F18" s="54"/>
      <c r="I18" s="31">
        <v>67378.2211634087</v>
      </c>
    </row>
    <row r="19" spans="2:11" ht="15.75" thickBot="1" x14ac:dyDescent="0.3">
      <c r="B19" s="52"/>
      <c r="C19" s="829" t="s">
        <v>2600</v>
      </c>
      <c r="D19" s="830"/>
      <c r="E19" s="831"/>
      <c r="F19" s="54"/>
      <c r="I19" s="32">
        <f>SUM(E3:E11)</f>
        <v>1375.1870255395909</v>
      </c>
    </row>
    <row r="20" spans="2:11" x14ac:dyDescent="0.25">
      <c r="B20" s="232"/>
      <c r="C20" s="185" t="s">
        <v>2596</v>
      </c>
      <c r="D20" s="185" t="s">
        <v>2597</v>
      </c>
      <c r="E20" s="185" t="s">
        <v>2598</v>
      </c>
      <c r="F20" s="54"/>
    </row>
    <row r="21" spans="2:11" x14ac:dyDescent="0.25">
      <c r="B21" s="52" t="str">
        <f t="shared" ref="B21:B29" si="2">B3</f>
        <v>Biofungicide (Folpet)</v>
      </c>
      <c r="C21" s="53">
        <f>LCI!$G$38*E3/indoor_annual_bud_yield*$D$15</f>
        <v>0.2440356718424668</v>
      </c>
      <c r="D21" s="53">
        <f>E3*$D$16*LCI!$G$39/indoor_annual_bud_yield</f>
        <v>0.28006594490411951</v>
      </c>
      <c r="E21" s="53">
        <f>E3*$D$17*LCI!$G$40/indoor_annual_bud_yield</f>
        <v>1.6216094095589335E-2</v>
      </c>
      <c r="F21" s="54"/>
    </row>
    <row r="22" spans="2:11" x14ac:dyDescent="0.25">
      <c r="B22" s="52" t="str">
        <f t="shared" si="2"/>
        <v>Soil Amendments (Perlite)</v>
      </c>
      <c r="C22" s="53">
        <f>LCI!$G$38*E4/indoor_annual_bud_yield*$D$15</f>
        <v>12.635880705536101</v>
      </c>
      <c r="D22" s="53">
        <f>E4*$D$16*LCI!$G$39/indoor_annual_bud_yield</f>
        <v>14.501485962167717</v>
      </c>
      <c r="E22" s="53">
        <f>E4*$D$17*LCI!$G$40/indoor_annual_bud_yield</f>
        <v>0.83965032224423308</v>
      </c>
      <c r="F22" s="54"/>
    </row>
    <row r="23" spans="2:11" x14ac:dyDescent="0.25">
      <c r="B23" s="52" t="str">
        <f t="shared" si="2"/>
        <v>Ammonium Nitrate (N)</v>
      </c>
      <c r="C23" s="53">
        <f>LCI!$G$38*E5/indoor_annual_bud_yield*$D$15</f>
        <v>3.2430357257572894E-2</v>
      </c>
      <c r="D23" s="53">
        <f>E5*$D$16*LCI!$G$39/indoor_annual_bud_yield</f>
        <v>3.7218487692174236E-2</v>
      </c>
      <c r="E23" s="53">
        <f>E5*$D$17*LCI!$G$40/indoor_annual_bud_yield</f>
        <v>2.1549871003361449E-3</v>
      </c>
      <c r="F23" s="54"/>
    </row>
    <row r="24" spans="2:11" x14ac:dyDescent="0.25">
      <c r="B24" s="52" t="str">
        <f t="shared" si="2"/>
        <v>Triple Superphosphate (P)</v>
      </c>
      <c r="C24" s="53">
        <f>LCI!$G$38*E6/indoor_annual_bud_yield*$D$15</f>
        <v>7.2182513313976043E-2</v>
      </c>
      <c r="D24" s="53">
        <f>E6*$D$16*LCI!$G$39/indoor_annual_bud_yield</f>
        <v>8.2839789954490345E-2</v>
      </c>
      <c r="E24" s="53">
        <f>E6*$D$17*LCI!$G$40/indoor_annual_bud_yield</f>
        <v>4.7965054416764701E-3</v>
      </c>
      <c r="F24" s="54"/>
    </row>
    <row r="25" spans="2:11" x14ac:dyDescent="0.25">
      <c r="B25" s="52" t="str">
        <f t="shared" si="2"/>
        <v>Potassium Chloride (K)</v>
      </c>
      <c r="C25" s="53">
        <f>LCI!$G$38*E7/indoor_annual_bud_yield*$D$15</f>
        <v>4.9292006372424202E-2</v>
      </c>
      <c r="D25" s="53">
        <f>E7*$D$16*LCI!$G$39/indoor_annual_bud_yield</f>
        <v>5.6569649169259398E-2</v>
      </c>
      <c r="E25" s="53">
        <f>E7*$D$17*LCI!$G$40/indoor_annual_bud_yield</f>
        <v>3.2754384121826672E-3</v>
      </c>
      <c r="F25" s="54"/>
    </row>
    <row r="26" spans="2:11" x14ac:dyDescent="0.25">
      <c r="B26" s="52" t="str">
        <f t="shared" si="2"/>
        <v>Neem oil for insecticide</v>
      </c>
      <c r="C26" s="53">
        <f>LCI!$G$38*E8/indoor_annual_bud_yield*$D$15</f>
        <v>0.20877135872609348</v>
      </c>
      <c r="D26" s="53">
        <f>E8*$D$16*LCI!$G$39/indoor_annual_bud_yield</f>
        <v>0.23959508628019119</v>
      </c>
      <c r="E26" s="53">
        <f>E8*$D$17*LCI!$G$40/indoor_annual_bud_yield</f>
        <v>1.3872791514479049E-2</v>
      </c>
      <c r="F26" s="54"/>
    </row>
    <row r="27" spans="2:11" x14ac:dyDescent="0.25">
      <c r="B27" s="52" t="str">
        <f t="shared" si="2"/>
        <v>Surfactant mixed with neem oil application</v>
      </c>
      <c r="C27" s="53">
        <f>LCI!$G$38*E9/indoor_annual_bud_yield*$D$15</f>
        <v>4.2155786695449039E-2</v>
      </c>
      <c r="D27" s="53">
        <f>E9*$D$16*LCI!$G$39/indoor_annual_bud_yield</f>
        <v>4.837981326622965E-2</v>
      </c>
      <c r="E27" s="53">
        <f>E9*$D$17*LCI!$G$40/indoor_annual_bud_yield</f>
        <v>2.8012388458039969E-3</v>
      </c>
      <c r="F27" s="54"/>
    </row>
    <row r="28" spans="2:11" x14ac:dyDescent="0.25">
      <c r="B28" s="52" t="str">
        <f t="shared" si="2"/>
        <v xml:space="preserve">Carbon Dioxide </v>
      </c>
      <c r="C28" s="53">
        <f>LCI!$G$38*E10/indoor_annual_bud_yield*$D$15</f>
        <v>88.869446458931833</v>
      </c>
      <c r="D28" s="53">
        <f>E10*$D$16*LCI!$G$39/indoor_annual_bud_yield</f>
        <v>101.99043978985858</v>
      </c>
      <c r="E28" s="53">
        <f>E10*$D$17*LCI!$G$40/indoor_annual_bud_yield</f>
        <v>5.9053469319488059</v>
      </c>
      <c r="F28" s="54"/>
      <c r="I28" s="733" t="s">
        <v>2587</v>
      </c>
      <c r="J28" s="733" t="s">
        <v>2603</v>
      </c>
      <c r="K28" s="69"/>
    </row>
    <row r="29" spans="2:11" x14ac:dyDescent="0.25">
      <c r="B29" s="232" t="str">
        <f t="shared" si="2"/>
        <v>Coco Coir as Soil</v>
      </c>
      <c r="C29" s="73">
        <f>LCI!$G$38*E11/indoor_annual_bud_yield*$D$15</f>
        <v>8.9519523158242844</v>
      </c>
      <c r="D29" s="73">
        <f>E11*$D$16*LCI!$G$39/indoor_annual_bud_yield</f>
        <v>10.273649606793509</v>
      </c>
      <c r="E29" s="73">
        <f>E11*$D$17*LCI!$G$40/indoor_annual_bud_yield</f>
        <v>0.59485443253699721</v>
      </c>
      <c r="F29" s="54"/>
      <c r="I29" s="69" t="s">
        <v>2589</v>
      </c>
      <c r="J29" s="388">
        <v>500</v>
      </c>
      <c r="K29" s="69" t="s">
        <v>2592</v>
      </c>
    </row>
    <row r="30" spans="2:11" x14ac:dyDescent="0.25">
      <c r="B30" s="52"/>
      <c r="C30" s="77">
        <f>SUM(C21:C29)</f>
        <v>111.10614717450019</v>
      </c>
      <c r="D30" s="77">
        <f t="shared" ref="D30:E30" si="3">SUM(D21:D29)</f>
        <v>127.51024413008628</v>
      </c>
      <c r="E30" s="77">
        <f t="shared" si="3"/>
        <v>7.382968742140104</v>
      </c>
      <c r="F30" s="54"/>
      <c r="I30" s="69" t="s">
        <v>2588</v>
      </c>
      <c r="J30" s="388">
        <v>50</v>
      </c>
      <c r="K30" s="69" t="s">
        <v>2599</v>
      </c>
    </row>
    <row r="31" spans="2:11" ht="15.75" thickBot="1" x14ac:dyDescent="0.3">
      <c r="B31" s="55"/>
      <c r="C31" s="226"/>
      <c r="D31" s="47"/>
      <c r="E31" s="47"/>
      <c r="F31" s="57"/>
      <c r="I31" s="69" t="s">
        <v>2590</v>
      </c>
      <c r="J31" s="388">
        <v>10</v>
      </c>
      <c r="K31" s="69" t="s">
        <v>1159</v>
      </c>
    </row>
    <row r="33" spans="2:10" ht="15.75" thickBot="1" x14ac:dyDescent="0.3"/>
    <row r="34" spans="2:10" x14ac:dyDescent="0.25">
      <c r="B34" s="230" t="s">
        <v>2601</v>
      </c>
      <c r="C34" s="231" t="s">
        <v>1248</v>
      </c>
      <c r="D34" s="231" t="s">
        <v>194</v>
      </c>
      <c r="E34" s="265"/>
      <c r="F34" s="51"/>
    </row>
    <row r="35" spans="2:10" x14ac:dyDescent="0.25">
      <c r="B35" s="652" t="str">
        <f>'Indoor Inputs'!E112</f>
        <v>Waste from Plants</v>
      </c>
      <c r="C35" s="79">
        <f>'Indoor Inputs'!K112</f>
        <v>13022.548770563259</v>
      </c>
      <c r="D35" s="79" t="str">
        <f>'Indoor Inputs'!L112</f>
        <v>kg waste/yr</v>
      </c>
      <c r="E35" s="53">
        <f>C35/tonnes_to_kgs</f>
        <v>13.022548770563258</v>
      </c>
      <c r="F35" s="54"/>
    </row>
    <row r="36" spans="2:10" x14ac:dyDescent="0.25">
      <c r="B36" s="652" t="str">
        <f>'Indoor Inputs'!E113</f>
        <v>Clone Soil Waste</v>
      </c>
      <c r="C36" s="79">
        <f>'Indoor Inputs'!K113</f>
        <v>3908.7738859123851</v>
      </c>
      <c r="D36" s="79" t="str">
        <f>'Indoor Inputs'!L113</f>
        <v>kg/yr</v>
      </c>
      <c r="E36" s="53">
        <f>C36/tonnes_to_kgs</f>
        <v>3.9087738859123853</v>
      </c>
      <c r="F36" s="54"/>
    </row>
    <row r="37" spans="2:10" x14ac:dyDescent="0.25">
      <c r="B37" s="652" t="str">
        <f>'Indoor Inputs'!E114</f>
        <v>Veg Soil Waste</v>
      </c>
      <c r="C37" s="79">
        <f>'Indoor Inputs'!K114</f>
        <v>156348.394656958</v>
      </c>
      <c r="D37" s="79" t="str">
        <f>'Indoor Inputs'!L114</f>
        <v>kg/yr</v>
      </c>
      <c r="E37" s="53">
        <f>C37/tonnes_to_kgs</f>
        <v>156.34839465695799</v>
      </c>
      <c r="F37" s="54"/>
    </row>
    <row r="38" spans="2:10" x14ac:dyDescent="0.25">
      <c r="B38" s="652" t="str">
        <f>'Indoor Inputs'!E115</f>
        <v>Flower Soil Waste</v>
      </c>
      <c r="C38" s="79">
        <f>'Indoor Inputs'!K115</f>
        <v>218887.75251974116</v>
      </c>
      <c r="D38" s="79" t="str">
        <f>'Indoor Inputs'!L115</f>
        <v>kg/yr</v>
      </c>
      <c r="E38" s="53">
        <f>C38/tonnes_to_kgs</f>
        <v>218.88775251974116</v>
      </c>
      <c r="F38" s="54"/>
    </row>
    <row r="39" spans="2:10" s="31" customFormat="1" x14ac:dyDescent="0.25">
      <c r="B39" s="652"/>
      <c r="C39" s="79"/>
      <c r="D39" s="79"/>
      <c r="E39" s="53"/>
      <c r="F39" s="54"/>
    </row>
    <row r="40" spans="2:10" s="31" customFormat="1" x14ac:dyDescent="0.25">
      <c r="B40" s="653" t="s">
        <v>2587</v>
      </c>
      <c r="C40" s="185" t="s">
        <v>2603</v>
      </c>
      <c r="D40" s="185" t="s">
        <v>2591</v>
      </c>
      <c r="E40" s="53"/>
      <c r="F40" s="54"/>
    </row>
    <row r="41" spans="2:10" s="31" customFormat="1" x14ac:dyDescent="0.25">
      <c r="B41" s="652" t="s">
        <v>2602</v>
      </c>
      <c r="C41" s="79">
        <f>'Indoor Inputs'!G125</f>
        <v>25</v>
      </c>
      <c r="D41" s="79">
        <f>'Indoor Inputs'!K125</f>
        <v>40.233499999999999</v>
      </c>
      <c r="E41" s="53"/>
      <c r="F41" s="54"/>
    </row>
    <row r="42" spans="2:10" ht="15.75" thickBot="1" x14ac:dyDescent="0.3">
      <c r="B42" s="52"/>
      <c r="C42" s="53"/>
      <c r="D42" s="53"/>
      <c r="E42" s="53"/>
      <c r="F42" s="54"/>
      <c r="H42" t="s">
        <v>2609</v>
      </c>
      <c r="I42" t="s">
        <v>2608</v>
      </c>
      <c r="J42" t="s">
        <v>2607</v>
      </c>
    </row>
    <row r="43" spans="2:10" ht="15.75" thickBot="1" x14ac:dyDescent="0.3">
      <c r="B43" s="52"/>
      <c r="C43" s="651" t="s">
        <v>2600</v>
      </c>
      <c r="D43" s="650"/>
      <c r="E43" s="650"/>
      <c r="F43" s="54"/>
      <c r="H43">
        <v>2200</v>
      </c>
      <c r="I43">
        <f>H43+$C$49+SUM($C$30:$E$30)</f>
        <v>2464.1806578955357</v>
      </c>
      <c r="J43" s="10">
        <f>(I43-H43)/I43</f>
        <v>0.10720831569271051</v>
      </c>
    </row>
    <row r="44" spans="2:10" x14ac:dyDescent="0.25">
      <c r="B44" s="232"/>
      <c r="C44" s="185" t="s">
        <v>2597</v>
      </c>
      <c r="D44" s="185"/>
      <c r="E44" s="185"/>
      <c r="F44" s="54"/>
      <c r="H44">
        <v>5020</v>
      </c>
      <c r="I44" s="31">
        <f>H44+$C$49+SUM($C$30:$E$30)</f>
        <v>5284.1806578955357</v>
      </c>
      <c r="J44" s="10">
        <f>(I44-H44)/I44</f>
        <v>4.9994630198875067E-2</v>
      </c>
    </row>
    <row r="45" spans="2:10" x14ac:dyDescent="0.25">
      <c r="B45" s="652" t="str">
        <f>B35</f>
        <v>Waste from Plants</v>
      </c>
      <c r="C45" s="53">
        <f>E35*$D$41*LCI!$G$39/indoor_annual_bud_yield</f>
        <v>0.60373910678765008</v>
      </c>
      <c r="D45" s="53"/>
      <c r="E45" s="53"/>
      <c r="F45" s="54"/>
    </row>
    <row r="46" spans="2:10" x14ac:dyDescent="0.25">
      <c r="B46" s="652" t="str">
        <f t="shared" ref="B46:B48" si="4">B36</f>
        <v>Clone Soil Waste</v>
      </c>
      <c r="C46" s="53">
        <f>E36*$D$41*LCI!$G$39/indoor_annual_bud_yield</f>
        <v>0.18121488320704246</v>
      </c>
      <c r="D46" s="53"/>
      <c r="E46" s="53"/>
      <c r="F46" s="54"/>
    </row>
    <row r="47" spans="2:10" x14ac:dyDescent="0.25">
      <c r="B47" s="652" t="str">
        <f t="shared" si="4"/>
        <v>Veg Soil Waste</v>
      </c>
      <c r="C47" s="53">
        <f>E37*$D$41*LCI!$G$39/indoor_annual_bud_yield</f>
        <v>7.248476607839347</v>
      </c>
      <c r="D47" s="53"/>
      <c r="E47" s="53"/>
      <c r="F47" s="54"/>
    </row>
    <row r="48" spans="2:10" x14ac:dyDescent="0.25">
      <c r="B48" s="654" t="str">
        <f t="shared" si="4"/>
        <v>Flower Soil Waste</v>
      </c>
      <c r="C48" s="73">
        <f>E38*$D$41*LCI!$G$39/indoor_annual_bud_yield</f>
        <v>10.147867250975082</v>
      </c>
      <c r="D48" s="73"/>
      <c r="E48" s="73"/>
      <c r="F48" s="54"/>
      <c r="I48" s="31">
        <v>392167.46983317501</v>
      </c>
    </row>
    <row r="49" spans="2:6" x14ac:dyDescent="0.25">
      <c r="B49" s="52"/>
      <c r="C49" s="77">
        <f>SUM(C45:C48)</f>
        <v>18.181297848809123</v>
      </c>
      <c r="D49" s="53"/>
      <c r="E49" s="53"/>
      <c r="F49" s="54"/>
    </row>
    <row r="50" spans="2:6" ht="15.75" thickBot="1" x14ac:dyDescent="0.3">
      <c r="B50" s="55"/>
      <c r="C50" s="47"/>
      <c r="D50" s="47"/>
      <c r="E50" s="47"/>
      <c r="F50" s="57"/>
    </row>
    <row r="151" spans="2:11" x14ac:dyDescent="0.25">
      <c r="C151" s="31"/>
      <c r="D151" s="101"/>
      <c r="E151" s="31"/>
      <c r="F151" s="31"/>
    </row>
    <row r="152" spans="2:11" x14ac:dyDescent="0.25">
      <c r="C152" s="31"/>
      <c r="D152" s="101"/>
      <c r="E152" s="31"/>
      <c r="F152" s="31"/>
    </row>
    <row r="153" spans="2:11" x14ac:dyDescent="0.25">
      <c r="C153" s="31"/>
      <c r="D153" s="31"/>
      <c r="E153" s="31"/>
      <c r="F153" s="31"/>
    </row>
    <row r="154" spans="2:11" ht="15.75" thickBot="1" x14ac:dyDescent="0.3">
      <c r="B154" s="31"/>
      <c r="C154" s="31"/>
      <c r="D154" s="31"/>
      <c r="E154" s="31"/>
    </row>
    <row r="155" spans="2:11" x14ac:dyDescent="0.25">
      <c r="B155" s="230" t="s">
        <v>92</v>
      </c>
      <c r="C155" s="231" t="s">
        <v>669</v>
      </c>
      <c r="D155" s="231" t="s">
        <v>670</v>
      </c>
      <c r="E155" s="231" t="s">
        <v>671</v>
      </c>
      <c r="F155" s="50"/>
      <c r="G155" s="51"/>
      <c r="I155" t="s">
        <v>1143</v>
      </c>
      <c r="J155">
        <f>'Indoor Inputs'!K18*'Indoor Inputs'!K8*'Indoor Inputs'!K29</f>
        <v>2547.9464788798778</v>
      </c>
      <c r="K155" t="s">
        <v>331</v>
      </c>
    </row>
    <row r="156" spans="2:11" x14ac:dyDescent="0.25">
      <c r="B156" s="52" t="s">
        <v>672</v>
      </c>
      <c r="C156" s="53">
        <v>16</v>
      </c>
      <c r="D156" s="53">
        <v>3</v>
      </c>
      <c r="E156" s="53">
        <f>E190</f>
        <v>50.85</v>
      </c>
      <c r="F156" s="53"/>
      <c r="G156" s="54"/>
      <c r="I156" t="s">
        <v>1148</v>
      </c>
      <c r="J156">
        <f>J155/'Indoor Inputs'!K108</f>
        <v>44.184069846850583</v>
      </c>
      <c r="K156" t="s">
        <v>1151</v>
      </c>
    </row>
    <row r="157" spans="2:11" x14ac:dyDescent="0.25">
      <c r="B157" s="52" t="s">
        <v>673</v>
      </c>
      <c r="C157" s="53">
        <v>16</v>
      </c>
      <c r="D157" s="53" t="s">
        <v>674</v>
      </c>
      <c r="E157" s="53">
        <v>100.08</v>
      </c>
      <c r="F157" s="53"/>
      <c r="G157" s="54"/>
    </row>
    <row r="158" spans="2:11" x14ac:dyDescent="0.25">
      <c r="B158" s="52" t="s">
        <v>160</v>
      </c>
      <c r="C158" s="53">
        <v>10</v>
      </c>
      <c r="D158" s="53">
        <v>1</v>
      </c>
      <c r="E158" s="53">
        <v>100</v>
      </c>
      <c r="F158" s="53"/>
      <c r="G158" s="54"/>
      <c r="I158" t="s">
        <v>1144</v>
      </c>
      <c r="J158">
        <v>319</v>
      </c>
      <c r="K158" t="s">
        <v>1142</v>
      </c>
    </row>
    <row r="159" spans="2:11" x14ac:dyDescent="0.25">
      <c r="B159" s="232"/>
      <c r="C159" s="73"/>
      <c r="D159" s="73"/>
      <c r="E159" s="185"/>
      <c r="F159" s="53"/>
      <c r="G159" s="54"/>
      <c r="I159" t="s">
        <v>1145</v>
      </c>
      <c r="J159" s="10">
        <v>0.05</v>
      </c>
      <c r="K159" t="s">
        <v>1147</v>
      </c>
    </row>
    <row r="160" spans="2:11" x14ac:dyDescent="0.25">
      <c r="B160" s="233" t="s">
        <v>675</v>
      </c>
      <c r="C160" s="234"/>
      <c r="D160" s="234"/>
      <c r="E160" s="234">
        <f>AVERAGE(E156:E158)</f>
        <v>83.643333333333331</v>
      </c>
      <c r="F160" s="53"/>
      <c r="G160" s="54"/>
      <c r="I160" t="s">
        <v>1146</v>
      </c>
      <c r="J160">
        <f>J158*J159</f>
        <v>15.950000000000001</v>
      </c>
      <c r="K160" t="s">
        <v>1142</v>
      </c>
    </row>
    <row r="161" spans="2:11" ht="15.75" thickBot="1" x14ac:dyDescent="0.3">
      <c r="B161" s="55"/>
      <c r="C161" s="47"/>
      <c r="D161" s="47"/>
      <c r="E161" s="47"/>
      <c r="F161" s="47"/>
      <c r="G161" s="57"/>
      <c r="I161" t="s">
        <v>1150</v>
      </c>
      <c r="J161">
        <f>J156/ft3_to_m3/J160</f>
        <v>97.827477643123572</v>
      </c>
      <c r="K161" t="s">
        <v>1152</v>
      </c>
    </row>
    <row r="162" spans="2:11" x14ac:dyDescent="0.25">
      <c r="B162" s="229" t="s">
        <v>676</v>
      </c>
      <c r="C162" s="53"/>
      <c r="D162" s="53"/>
      <c r="E162" s="53"/>
      <c r="F162" s="54"/>
    </row>
    <row r="163" spans="2:11" x14ac:dyDescent="0.25">
      <c r="B163" s="52"/>
      <c r="C163" s="53"/>
      <c r="D163" s="53"/>
      <c r="E163" s="53"/>
      <c r="F163" s="54"/>
    </row>
    <row r="164" spans="2:11" x14ac:dyDescent="0.25">
      <c r="B164" s="52"/>
      <c r="C164" s="77" t="s">
        <v>623</v>
      </c>
      <c r="D164" s="53"/>
      <c r="E164" s="53"/>
      <c r="F164" s="54"/>
      <c r="I164" t="s">
        <v>1162</v>
      </c>
      <c r="J164">
        <f>'Indoor Inputs'!K96*'Indoor Inputs'!K109/'Indoor Inputs'!K107</f>
        <v>341.55575244400552</v>
      </c>
      <c r="K164" t="s">
        <v>1291</v>
      </c>
    </row>
    <row r="165" spans="2:11" ht="15.75" thickBot="1" x14ac:dyDescent="0.3">
      <c r="B165" s="52"/>
      <c r="C165" s="53"/>
      <c r="D165" s="53"/>
      <c r="E165" s="53"/>
      <c r="F165" s="54"/>
      <c r="J165">
        <f>J164*gals_to_liters/m3_to_liters</f>
        <v>1.292928560859063</v>
      </c>
      <c r="K165" t="s">
        <v>1292</v>
      </c>
    </row>
    <row r="166" spans="2:11" x14ac:dyDescent="0.25">
      <c r="B166" s="52"/>
      <c r="C166" s="188" t="s">
        <v>624</v>
      </c>
      <c r="D166" s="51" t="s">
        <v>625</v>
      </c>
      <c r="E166" s="53"/>
      <c r="F166" s="54"/>
      <c r="J166">
        <f>J165*Properties!I13</f>
        <v>968.27419922735226</v>
      </c>
      <c r="K166" t="s">
        <v>836</v>
      </c>
    </row>
    <row r="167" spans="2:11" x14ac:dyDescent="0.25">
      <c r="B167" s="52"/>
      <c r="C167" s="214" t="s">
        <v>92</v>
      </c>
      <c r="D167" s="54" t="s">
        <v>677</v>
      </c>
      <c r="E167" s="53"/>
      <c r="F167" s="54"/>
      <c r="J167">
        <f>J166*Properties!I12</f>
        <v>43572.338965230854</v>
      </c>
      <c r="K167" t="s">
        <v>1293</v>
      </c>
    </row>
    <row r="168" spans="2:11" ht="15.75" thickBot="1" x14ac:dyDescent="0.3">
      <c r="B168" s="52"/>
      <c r="C168" s="215" t="s">
        <v>433</v>
      </c>
      <c r="D168" s="57" t="s">
        <v>180</v>
      </c>
      <c r="E168" s="53"/>
      <c r="F168" s="54"/>
      <c r="J168">
        <f>J167/kWh_to_MJ</f>
        <v>12103.427490341905</v>
      </c>
      <c r="K168" t="s">
        <v>1294</v>
      </c>
    </row>
    <row r="169" spans="2:11" x14ac:dyDescent="0.25">
      <c r="B169" s="52"/>
      <c r="C169" s="53"/>
      <c r="D169" s="53"/>
      <c r="E169" s="53"/>
      <c r="F169" s="54"/>
    </row>
    <row r="170" spans="2:11" x14ac:dyDescent="0.25">
      <c r="B170" s="52"/>
      <c r="C170" s="77" t="s">
        <v>627</v>
      </c>
      <c r="D170" s="77" t="s">
        <v>624</v>
      </c>
      <c r="E170" s="77" t="s">
        <v>628</v>
      </c>
      <c r="F170" s="54"/>
    </row>
    <row r="171" spans="2:11" x14ac:dyDescent="0.25">
      <c r="B171" s="52">
        <v>1</v>
      </c>
      <c r="C171" s="53" t="s">
        <v>678</v>
      </c>
      <c r="D171" s="53" t="s">
        <v>679</v>
      </c>
      <c r="E171" s="53">
        <v>38.299999999999997</v>
      </c>
      <c r="F171" s="54"/>
    </row>
    <row r="172" spans="2:11" x14ac:dyDescent="0.25">
      <c r="B172" s="52">
        <v>2</v>
      </c>
      <c r="C172" s="53" t="s">
        <v>680</v>
      </c>
      <c r="D172" s="53" t="s">
        <v>681</v>
      </c>
      <c r="E172" s="53">
        <v>28.9</v>
      </c>
      <c r="F172" s="54"/>
    </row>
    <row r="173" spans="2:11" x14ac:dyDescent="0.25">
      <c r="B173" s="52">
        <v>3</v>
      </c>
      <c r="C173" s="53" t="s">
        <v>682</v>
      </c>
      <c r="D173" s="53" t="s">
        <v>625</v>
      </c>
      <c r="E173" s="53">
        <v>0</v>
      </c>
      <c r="F173" s="54"/>
    </row>
    <row r="174" spans="2:11" x14ac:dyDescent="0.25">
      <c r="B174" s="52">
        <v>4</v>
      </c>
      <c r="C174" s="53" t="s">
        <v>683</v>
      </c>
      <c r="D174" s="53" t="s">
        <v>625</v>
      </c>
      <c r="E174" s="53">
        <v>0</v>
      </c>
      <c r="F174" s="54"/>
    </row>
    <row r="175" spans="2:11" x14ac:dyDescent="0.25">
      <c r="B175" s="52">
        <v>5</v>
      </c>
      <c r="C175" s="53" t="s">
        <v>684</v>
      </c>
      <c r="D175" s="53" t="s">
        <v>625</v>
      </c>
      <c r="E175" s="53">
        <v>0</v>
      </c>
      <c r="F175" s="54"/>
      <c r="J175">
        <v>22</v>
      </c>
      <c r="K175" t="s">
        <v>126</v>
      </c>
    </row>
    <row r="176" spans="2:11" x14ac:dyDescent="0.25">
      <c r="B176" s="52">
        <v>6</v>
      </c>
      <c r="C176" s="53" t="s">
        <v>685</v>
      </c>
      <c r="D176" s="53" t="s">
        <v>654</v>
      </c>
      <c r="E176" s="53">
        <v>5.0999999999999996</v>
      </c>
      <c r="F176" s="54"/>
      <c r="J176">
        <v>10</v>
      </c>
      <c r="K176" t="s">
        <v>1640</v>
      </c>
    </row>
    <row r="177" spans="2:11" x14ac:dyDescent="0.25">
      <c r="B177" s="52">
        <v>7</v>
      </c>
      <c r="C177" s="53" t="s">
        <v>686</v>
      </c>
      <c r="D177" s="53" t="s">
        <v>625</v>
      </c>
      <c r="E177" s="53">
        <v>0</v>
      </c>
      <c r="F177" s="54"/>
      <c r="J177">
        <v>10</v>
      </c>
      <c r="K177" t="s">
        <v>1641</v>
      </c>
    </row>
    <row r="178" spans="2:11" x14ac:dyDescent="0.25">
      <c r="B178" s="52">
        <v>8</v>
      </c>
      <c r="C178" s="53" t="s">
        <v>687</v>
      </c>
      <c r="D178" s="53" t="s">
        <v>625</v>
      </c>
      <c r="E178" s="53">
        <v>0</v>
      </c>
      <c r="F178" s="54"/>
      <c r="J178">
        <f>J176/J177</f>
        <v>1</v>
      </c>
      <c r="K178" t="s">
        <v>1642</v>
      </c>
    </row>
    <row r="179" spans="2:11" x14ac:dyDescent="0.25">
      <c r="B179" s="52">
        <v>9</v>
      </c>
      <c r="C179" s="53" t="s">
        <v>688</v>
      </c>
      <c r="D179" s="53" t="s">
        <v>625</v>
      </c>
      <c r="E179" s="53">
        <v>0</v>
      </c>
      <c r="F179" s="54"/>
      <c r="J179">
        <f>J178*100</f>
        <v>100</v>
      </c>
    </row>
    <row r="180" spans="2:11" x14ac:dyDescent="0.25">
      <c r="B180" s="52">
        <v>10</v>
      </c>
      <c r="C180" s="53" t="s">
        <v>689</v>
      </c>
      <c r="D180" s="53" t="s">
        <v>690</v>
      </c>
      <c r="E180" s="53">
        <v>11.3</v>
      </c>
      <c r="F180" s="54"/>
    </row>
    <row r="181" spans="2:11" x14ac:dyDescent="0.25">
      <c r="B181" s="52">
        <v>11</v>
      </c>
      <c r="C181" s="53" t="s">
        <v>691</v>
      </c>
      <c r="D181" s="53" t="s">
        <v>692</v>
      </c>
      <c r="E181" s="53">
        <v>97.1</v>
      </c>
      <c r="F181" s="54"/>
    </row>
    <row r="182" spans="2:11" x14ac:dyDescent="0.25">
      <c r="B182" s="52">
        <v>12</v>
      </c>
      <c r="C182" s="53" t="s">
        <v>693</v>
      </c>
      <c r="D182" s="53" t="s">
        <v>694</v>
      </c>
      <c r="E182" s="53">
        <v>198</v>
      </c>
      <c r="F182" s="54"/>
    </row>
    <row r="183" spans="2:11" x14ac:dyDescent="0.25">
      <c r="B183" s="52">
        <v>13</v>
      </c>
      <c r="C183" s="53" t="s">
        <v>695</v>
      </c>
      <c r="D183" s="53" t="s">
        <v>696</v>
      </c>
      <c r="E183" s="53">
        <v>67.2</v>
      </c>
      <c r="F183" s="54"/>
    </row>
    <row r="184" spans="2:11" x14ac:dyDescent="0.25">
      <c r="B184" s="52">
        <v>14</v>
      </c>
      <c r="C184" s="53" t="s">
        <v>697</v>
      </c>
      <c r="D184" s="53" t="s">
        <v>698</v>
      </c>
      <c r="E184" s="53">
        <v>71.599999999999994</v>
      </c>
      <c r="F184" s="54"/>
    </row>
    <row r="185" spans="2:11" x14ac:dyDescent="0.25">
      <c r="B185" s="52">
        <v>15</v>
      </c>
      <c r="C185" s="53" t="s">
        <v>699</v>
      </c>
      <c r="D185" s="53" t="s">
        <v>642</v>
      </c>
      <c r="E185" s="53">
        <v>199</v>
      </c>
      <c r="F185" s="54"/>
    </row>
    <row r="186" spans="2:11" x14ac:dyDescent="0.25">
      <c r="B186" s="52">
        <v>16</v>
      </c>
      <c r="C186" s="53" t="s">
        <v>700</v>
      </c>
      <c r="D186" s="53" t="s">
        <v>692</v>
      </c>
      <c r="E186" s="53">
        <v>97.1</v>
      </c>
      <c r="F186" s="54"/>
    </row>
    <row r="187" spans="2:11" x14ac:dyDescent="0.25">
      <c r="B187" s="52"/>
      <c r="C187" s="53"/>
      <c r="D187" s="53"/>
      <c r="E187" s="53"/>
      <c r="F187" s="54"/>
    </row>
    <row r="188" spans="2:11" x14ac:dyDescent="0.25">
      <c r="B188" s="52"/>
      <c r="C188" s="73"/>
      <c r="D188" s="73"/>
      <c r="E188" s="73"/>
      <c r="F188" s="54"/>
    </row>
    <row r="189" spans="2:11" x14ac:dyDescent="0.25">
      <c r="B189" s="52"/>
      <c r="C189" s="53"/>
      <c r="D189" s="148" t="s">
        <v>182</v>
      </c>
      <c r="E189" s="53">
        <f>SUM(E171:E186)</f>
        <v>813.6</v>
      </c>
      <c r="F189" s="54"/>
    </row>
    <row r="190" spans="2:11" ht="15.75" thickBot="1" x14ac:dyDescent="0.3">
      <c r="B190" s="55"/>
      <c r="C190" s="47"/>
      <c r="D190" s="226" t="s">
        <v>307</v>
      </c>
      <c r="E190" s="47">
        <f>AVERAGE(E171:E186)</f>
        <v>50.85</v>
      </c>
      <c r="F190" s="57"/>
    </row>
    <row r="191" spans="2:11" ht="15.75" thickBot="1" x14ac:dyDescent="0.3">
      <c r="B191" s="31"/>
      <c r="C191" s="31"/>
      <c r="D191" s="31"/>
      <c r="E191" s="31"/>
    </row>
    <row r="192" spans="2:11" x14ac:dyDescent="0.25">
      <c r="B192" s="225" t="s">
        <v>673</v>
      </c>
      <c r="C192" s="50"/>
      <c r="D192" s="50"/>
      <c r="E192" s="50"/>
      <c r="F192" s="50"/>
      <c r="G192" s="51"/>
    </row>
    <row r="193" spans="2:7" x14ac:dyDescent="0.25">
      <c r="B193" s="52"/>
      <c r="C193" s="53"/>
      <c r="D193" s="53"/>
      <c r="E193" s="53"/>
      <c r="F193" s="53"/>
      <c r="G193" s="54"/>
    </row>
    <row r="194" spans="2:7" x14ac:dyDescent="0.25">
      <c r="B194" s="52"/>
      <c r="C194" s="53"/>
      <c r="D194" s="77" t="s">
        <v>623</v>
      </c>
      <c r="E194" s="53"/>
      <c r="F194" s="53"/>
      <c r="G194" s="54"/>
    </row>
    <row r="195" spans="2:7" ht="15.75" thickBot="1" x14ac:dyDescent="0.3">
      <c r="B195" s="52"/>
      <c r="C195" s="53"/>
      <c r="D195" s="53"/>
      <c r="E195" s="53"/>
      <c r="F195" s="53"/>
      <c r="G195" s="54"/>
    </row>
    <row r="196" spans="2:7" x14ac:dyDescent="0.25">
      <c r="B196" s="52"/>
      <c r="C196" s="53"/>
      <c r="D196" s="188" t="s">
        <v>624</v>
      </c>
      <c r="E196" s="51" t="s">
        <v>643</v>
      </c>
      <c r="F196" s="53"/>
      <c r="G196" s="54"/>
    </row>
    <row r="197" spans="2:7" x14ac:dyDescent="0.25">
      <c r="B197" s="52"/>
      <c r="C197" s="53"/>
      <c r="D197" s="214" t="s">
        <v>92</v>
      </c>
      <c r="E197" s="54" t="s">
        <v>644</v>
      </c>
      <c r="F197" s="53"/>
      <c r="G197" s="54"/>
    </row>
    <row r="198" spans="2:7" ht="15.75" thickBot="1" x14ac:dyDescent="0.3">
      <c r="B198" s="52"/>
      <c r="C198" s="53"/>
      <c r="D198" s="215" t="s">
        <v>433</v>
      </c>
      <c r="E198" s="57" t="s">
        <v>645</v>
      </c>
      <c r="F198" s="53"/>
      <c r="G198" s="54"/>
    </row>
    <row r="199" spans="2:7" x14ac:dyDescent="0.25">
      <c r="B199" s="52"/>
      <c r="C199" s="53"/>
      <c r="D199" s="53"/>
      <c r="E199" s="53"/>
      <c r="F199" s="53"/>
      <c r="G199" s="54"/>
    </row>
    <row r="200" spans="2:7" x14ac:dyDescent="0.25">
      <c r="B200" s="52"/>
      <c r="C200" s="53"/>
      <c r="D200" s="77" t="s">
        <v>627</v>
      </c>
      <c r="E200" s="77" t="s">
        <v>624</v>
      </c>
      <c r="F200" s="77" t="s">
        <v>628</v>
      </c>
      <c r="G200" s="54"/>
    </row>
    <row r="201" spans="2:7" x14ac:dyDescent="0.25">
      <c r="B201" s="52"/>
      <c r="C201" s="53">
        <v>1</v>
      </c>
      <c r="D201" s="101" t="s">
        <v>646</v>
      </c>
      <c r="E201" s="53" t="s">
        <v>647</v>
      </c>
      <c r="F201" s="53">
        <v>122</v>
      </c>
      <c r="G201" s="54"/>
    </row>
    <row r="202" spans="2:7" x14ac:dyDescent="0.25">
      <c r="B202" s="52"/>
      <c r="C202" s="53">
        <v>2</v>
      </c>
      <c r="D202" s="101" t="s">
        <v>648</v>
      </c>
      <c r="E202" s="53" t="s">
        <v>649</v>
      </c>
      <c r="F202" s="53">
        <v>216</v>
      </c>
      <c r="G202" s="54"/>
    </row>
    <row r="203" spans="2:7" x14ac:dyDescent="0.25">
      <c r="B203" s="52"/>
      <c r="C203" s="53">
        <v>3</v>
      </c>
      <c r="D203" s="101" t="s">
        <v>650</v>
      </c>
      <c r="E203" s="53" t="s">
        <v>651</v>
      </c>
      <c r="F203" s="53">
        <v>164</v>
      </c>
      <c r="G203" s="54"/>
    </row>
    <row r="204" spans="2:7" x14ac:dyDescent="0.25">
      <c r="B204" s="52"/>
      <c r="C204" s="53">
        <v>4</v>
      </c>
      <c r="D204" s="101" t="s">
        <v>652</v>
      </c>
      <c r="E204" s="53" t="s">
        <v>625</v>
      </c>
      <c r="F204" s="53">
        <v>156</v>
      </c>
      <c r="G204" s="54"/>
    </row>
    <row r="205" spans="2:7" x14ac:dyDescent="0.25">
      <c r="B205" s="52"/>
      <c r="C205" s="53">
        <v>5</v>
      </c>
      <c r="D205" s="101" t="s">
        <v>653</v>
      </c>
      <c r="E205" s="53" t="s">
        <v>654</v>
      </c>
      <c r="F205" s="53">
        <v>153</v>
      </c>
      <c r="G205" s="54"/>
    </row>
    <row r="206" spans="2:7" x14ac:dyDescent="0.25">
      <c r="B206" s="52"/>
      <c r="C206" s="53">
        <v>6</v>
      </c>
      <c r="D206" s="101" t="s">
        <v>655</v>
      </c>
      <c r="E206" s="53" t="s">
        <v>625</v>
      </c>
      <c r="F206" s="53">
        <v>156</v>
      </c>
      <c r="G206" s="54"/>
    </row>
    <row r="207" spans="2:7" x14ac:dyDescent="0.25">
      <c r="B207" s="52"/>
      <c r="C207" s="53">
        <v>7</v>
      </c>
      <c r="D207" s="101" t="s">
        <v>656</v>
      </c>
      <c r="E207" s="53" t="s">
        <v>625</v>
      </c>
      <c r="F207" s="53">
        <v>156</v>
      </c>
      <c r="G207" s="54"/>
    </row>
    <row r="208" spans="2:7" x14ac:dyDescent="0.25">
      <c r="B208" s="52"/>
      <c r="C208" s="53">
        <v>8</v>
      </c>
      <c r="D208" s="101" t="s">
        <v>657</v>
      </c>
      <c r="E208" s="53" t="s">
        <v>658</v>
      </c>
      <c r="F208" s="53">
        <v>158</v>
      </c>
      <c r="G208" s="54"/>
    </row>
    <row r="209" spans="2:7" x14ac:dyDescent="0.25">
      <c r="B209" s="52"/>
      <c r="C209" s="53">
        <v>9</v>
      </c>
      <c r="D209" s="101" t="s">
        <v>659</v>
      </c>
      <c r="E209" s="53" t="s">
        <v>625</v>
      </c>
      <c r="F209" s="53">
        <v>156</v>
      </c>
      <c r="G209" s="54"/>
    </row>
    <row r="210" spans="2:7" x14ac:dyDescent="0.25">
      <c r="B210" s="52"/>
      <c r="C210" s="53">
        <v>10</v>
      </c>
      <c r="D210" s="101" t="s">
        <v>660</v>
      </c>
      <c r="E210" s="53" t="s">
        <v>661</v>
      </c>
      <c r="F210" s="53">
        <v>161</v>
      </c>
      <c r="G210" s="54"/>
    </row>
    <row r="211" spans="2:7" x14ac:dyDescent="0.25">
      <c r="B211" s="52"/>
      <c r="C211" s="53">
        <v>11</v>
      </c>
      <c r="D211" s="101" t="s">
        <v>662</v>
      </c>
      <c r="E211" s="53" t="s">
        <v>663</v>
      </c>
      <c r="F211" s="53">
        <v>172</v>
      </c>
      <c r="G211" s="54"/>
    </row>
    <row r="212" spans="2:7" x14ac:dyDescent="0.25">
      <c r="B212" s="52"/>
      <c r="C212" s="53">
        <v>12</v>
      </c>
      <c r="D212" s="101" t="s">
        <v>664</v>
      </c>
      <c r="E212" s="53" t="s">
        <v>663</v>
      </c>
      <c r="F212" s="53">
        <v>172</v>
      </c>
      <c r="G212" s="54"/>
    </row>
    <row r="213" spans="2:7" x14ac:dyDescent="0.25">
      <c r="B213" s="52"/>
      <c r="C213" s="53">
        <v>13</v>
      </c>
      <c r="D213" s="101" t="s">
        <v>665</v>
      </c>
      <c r="E213" s="53" t="s">
        <v>663</v>
      </c>
      <c r="F213" s="53">
        <v>172</v>
      </c>
      <c r="G213" s="54"/>
    </row>
    <row r="214" spans="2:7" x14ac:dyDescent="0.25">
      <c r="B214" s="52"/>
      <c r="C214" s="53">
        <v>14</v>
      </c>
      <c r="D214" s="101" t="s">
        <v>666</v>
      </c>
      <c r="E214" s="53" t="s">
        <v>663</v>
      </c>
      <c r="F214" s="53">
        <v>172</v>
      </c>
      <c r="G214" s="54"/>
    </row>
    <row r="215" spans="2:7" x14ac:dyDescent="0.25">
      <c r="B215" s="52"/>
      <c r="C215" s="53">
        <v>15</v>
      </c>
      <c r="D215" s="101" t="s">
        <v>667</v>
      </c>
      <c r="E215" s="53" t="s">
        <v>663</v>
      </c>
      <c r="F215" s="53">
        <v>172</v>
      </c>
      <c r="G215" s="54"/>
    </row>
    <row r="216" spans="2:7" x14ac:dyDescent="0.25">
      <c r="B216" s="52"/>
      <c r="C216" s="53">
        <v>16</v>
      </c>
      <c r="D216" s="101" t="s">
        <v>668</v>
      </c>
      <c r="E216" s="53" t="s">
        <v>642</v>
      </c>
      <c r="F216" s="53">
        <v>350</v>
      </c>
      <c r="G216" s="54"/>
    </row>
    <row r="217" spans="2:7" x14ac:dyDescent="0.25">
      <c r="B217" s="52"/>
      <c r="C217" s="53"/>
      <c r="D217" s="53"/>
      <c r="E217" s="53"/>
      <c r="F217" s="53"/>
      <c r="G217" s="54"/>
    </row>
    <row r="218" spans="2:7" x14ac:dyDescent="0.25">
      <c r="B218" s="52"/>
      <c r="C218" s="53"/>
      <c r="D218" s="73"/>
      <c r="E218" s="73"/>
      <c r="F218" s="73"/>
      <c r="G218" s="54"/>
    </row>
    <row r="219" spans="2:7" x14ac:dyDescent="0.25">
      <c r="B219" s="52"/>
      <c r="C219" s="53"/>
      <c r="D219" s="53"/>
      <c r="E219" s="148" t="s">
        <v>182</v>
      </c>
      <c r="F219" s="53">
        <f>SUM(F201:F216)</f>
        <v>2808</v>
      </c>
      <c r="G219" s="54"/>
    </row>
    <row r="220" spans="2:7" x14ac:dyDescent="0.25">
      <c r="B220" s="52"/>
      <c r="C220" s="53"/>
      <c r="D220" s="53"/>
      <c r="E220" s="148" t="s">
        <v>307</v>
      </c>
      <c r="F220" s="53">
        <f>F219/C216</f>
        <v>175.5</v>
      </c>
      <c r="G220" s="54"/>
    </row>
    <row r="221" spans="2:7" x14ac:dyDescent="0.25">
      <c r="B221" s="52"/>
      <c r="C221" s="53"/>
      <c r="D221" s="53"/>
      <c r="E221" s="53"/>
      <c r="F221" s="53"/>
      <c r="G221" s="54"/>
    </row>
    <row r="222" spans="2:7" ht="15.75" thickBot="1" x14ac:dyDescent="0.3">
      <c r="B222" s="52"/>
      <c r="C222" s="53"/>
      <c r="D222" s="53" t="s">
        <v>701</v>
      </c>
      <c r="E222" s="53"/>
      <c r="F222" s="53"/>
      <c r="G222" s="54"/>
    </row>
    <row r="223" spans="2:7" x14ac:dyDescent="0.25">
      <c r="B223" s="52"/>
      <c r="C223" s="53"/>
      <c r="D223" s="188" t="s">
        <v>624</v>
      </c>
      <c r="E223" s="51" t="s">
        <v>625</v>
      </c>
      <c r="F223" s="53"/>
      <c r="G223" s="54"/>
    </row>
    <row r="224" spans="2:7" x14ac:dyDescent="0.25">
      <c r="B224" s="52"/>
      <c r="C224" s="53"/>
      <c r="D224" s="214" t="s">
        <v>92</v>
      </c>
      <c r="E224" s="54" t="s">
        <v>673</v>
      </c>
      <c r="F224" s="53"/>
      <c r="G224" s="54"/>
    </row>
    <row r="225" spans="2:7" ht="15.75" thickBot="1" x14ac:dyDescent="0.3">
      <c r="B225" s="52"/>
      <c r="C225" s="53"/>
      <c r="D225" s="215" t="s">
        <v>433</v>
      </c>
      <c r="E225" s="57" t="s">
        <v>180</v>
      </c>
      <c r="F225" s="53"/>
      <c r="G225" s="54"/>
    </row>
    <row r="226" spans="2:7" x14ac:dyDescent="0.25">
      <c r="B226" s="52"/>
      <c r="C226" s="53"/>
      <c r="D226" s="53"/>
      <c r="E226" s="53"/>
      <c r="F226" s="53"/>
      <c r="G226" s="54"/>
    </row>
    <row r="227" spans="2:7" x14ac:dyDescent="0.25">
      <c r="B227" s="52"/>
      <c r="C227" s="53"/>
      <c r="D227" s="77" t="s">
        <v>627</v>
      </c>
      <c r="E227" s="77" t="s">
        <v>624</v>
      </c>
      <c r="F227" s="77" t="s">
        <v>628</v>
      </c>
      <c r="G227" s="54"/>
    </row>
    <row r="228" spans="2:7" x14ac:dyDescent="0.25">
      <c r="B228" s="52"/>
      <c r="C228" s="53">
        <v>1</v>
      </c>
      <c r="D228" s="101" t="s">
        <v>646</v>
      </c>
      <c r="E228" s="53" t="s">
        <v>647</v>
      </c>
      <c r="F228" s="53">
        <v>51</v>
      </c>
      <c r="G228" s="54"/>
    </row>
    <row r="229" spans="2:7" x14ac:dyDescent="0.25">
      <c r="B229" s="52"/>
      <c r="C229" s="53">
        <v>2</v>
      </c>
      <c r="D229" s="101" t="s">
        <v>648</v>
      </c>
      <c r="E229" s="53" t="s">
        <v>649</v>
      </c>
      <c r="F229" s="53">
        <v>65.599999999999994</v>
      </c>
      <c r="G229" s="54"/>
    </row>
    <row r="230" spans="2:7" x14ac:dyDescent="0.25">
      <c r="B230" s="52"/>
      <c r="C230" s="53">
        <v>3</v>
      </c>
      <c r="D230" s="101" t="s">
        <v>650</v>
      </c>
      <c r="E230" s="53" t="s">
        <v>651</v>
      </c>
      <c r="F230" s="53">
        <v>13.3</v>
      </c>
      <c r="G230" s="54"/>
    </row>
    <row r="231" spans="2:7" x14ac:dyDescent="0.25">
      <c r="B231" s="52"/>
      <c r="C231" s="53">
        <v>4</v>
      </c>
      <c r="D231" s="101" t="s">
        <v>652</v>
      </c>
      <c r="E231" s="53" t="s">
        <v>625</v>
      </c>
      <c r="F231" s="53">
        <v>0</v>
      </c>
      <c r="G231" s="54"/>
    </row>
    <row r="232" spans="2:7" x14ac:dyDescent="0.25">
      <c r="B232" s="52"/>
      <c r="C232" s="53">
        <v>5</v>
      </c>
      <c r="D232" s="101" t="s">
        <v>653</v>
      </c>
      <c r="E232" s="53" t="s">
        <v>654</v>
      </c>
      <c r="F232" s="53">
        <v>5.0999999999999996</v>
      </c>
      <c r="G232" s="54"/>
    </row>
    <row r="233" spans="2:7" x14ac:dyDescent="0.25">
      <c r="B233" s="52"/>
      <c r="C233" s="53">
        <v>6</v>
      </c>
      <c r="D233" s="101" t="s">
        <v>655</v>
      </c>
      <c r="E233" s="53" t="s">
        <v>625</v>
      </c>
      <c r="F233" s="53">
        <v>0</v>
      </c>
      <c r="G233" s="54"/>
    </row>
    <row r="234" spans="2:7" x14ac:dyDescent="0.25">
      <c r="B234" s="52"/>
      <c r="C234" s="53">
        <v>7</v>
      </c>
      <c r="D234" s="101" t="s">
        <v>656</v>
      </c>
      <c r="E234" s="53" t="s">
        <v>625</v>
      </c>
      <c r="F234" s="53">
        <v>0</v>
      </c>
      <c r="G234" s="54"/>
    </row>
    <row r="235" spans="2:7" x14ac:dyDescent="0.25">
      <c r="B235" s="52"/>
      <c r="C235" s="53">
        <v>8</v>
      </c>
      <c r="D235" s="101" t="s">
        <v>657</v>
      </c>
      <c r="E235" s="53" t="s">
        <v>658</v>
      </c>
      <c r="F235" s="53">
        <v>9.8000000000000007</v>
      </c>
      <c r="G235" s="54"/>
    </row>
    <row r="236" spans="2:7" x14ac:dyDescent="0.25">
      <c r="B236" s="52"/>
      <c r="C236" s="53">
        <v>9</v>
      </c>
      <c r="D236" s="101" t="s">
        <v>659</v>
      </c>
      <c r="E236" s="53" t="s">
        <v>625</v>
      </c>
      <c r="F236" s="53">
        <v>0</v>
      </c>
      <c r="G236" s="54"/>
    </row>
    <row r="237" spans="2:7" x14ac:dyDescent="0.25">
      <c r="B237" s="52"/>
      <c r="C237" s="53">
        <v>10</v>
      </c>
      <c r="D237" s="101" t="s">
        <v>660</v>
      </c>
      <c r="E237" s="53" t="s">
        <v>661</v>
      </c>
      <c r="F237" s="53">
        <v>4.8</v>
      </c>
      <c r="G237" s="54"/>
    </row>
    <row r="238" spans="2:7" x14ac:dyDescent="0.25">
      <c r="B238" s="52"/>
      <c r="C238" s="53">
        <v>11</v>
      </c>
      <c r="D238" s="101" t="s">
        <v>662</v>
      </c>
      <c r="E238" s="53" t="s">
        <v>663</v>
      </c>
      <c r="F238" s="53">
        <v>9.1999999999999993</v>
      </c>
      <c r="G238" s="54"/>
    </row>
    <row r="239" spans="2:7" x14ac:dyDescent="0.25">
      <c r="B239" s="52"/>
      <c r="C239" s="53">
        <v>12</v>
      </c>
      <c r="D239" s="101" t="s">
        <v>664</v>
      </c>
      <c r="E239" s="53" t="s">
        <v>663</v>
      </c>
      <c r="F239" s="53">
        <v>9.1999999999999993</v>
      </c>
      <c r="G239" s="54"/>
    </row>
    <row r="240" spans="2:7" x14ac:dyDescent="0.25">
      <c r="B240" s="52"/>
      <c r="C240" s="53">
        <v>13</v>
      </c>
      <c r="D240" s="101" t="s">
        <v>665</v>
      </c>
      <c r="E240" s="53" t="s">
        <v>663</v>
      </c>
      <c r="F240" s="53">
        <v>9.1999999999999993</v>
      </c>
      <c r="G240" s="54"/>
    </row>
    <row r="241" spans="2:7" x14ac:dyDescent="0.25">
      <c r="B241" s="52"/>
      <c r="C241" s="53">
        <v>14</v>
      </c>
      <c r="D241" s="101" t="s">
        <v>666</v>
      </c>
      <c r="E241" s="53" t="s">
        <v>663</v>
      </c>
      <c r="F241" s="53">
        <v>9.1999999999999993</v>
      </c>
      <c r="G241" s="54"/>
    </row>
    <row r="242" spans="2:7" x14ac:dyDescent="0.25">
      <c r="B242" s="52"/>
      <c r="C242" s="53">
        <v>15</v>
      </c>
      <c r="D242" s="101" t="s">
        <v>667</v>
      </c>
      <c r="E242" s="53" t="s">
        <v>663</v>
      </c>
      <c r="F242" s="53">
        <v>9.1999999999999993</v>
      </c>
      <c r="G242" s="54"/>
    </row>
    <row r="243" spans="2:7" x14ac:dyDescent="0.25">
      <c r="B243" s="52"/>
      <c r="C243" s="53">
        <v>16</v>
      </c>
      <c r="D243" s="101" t="s">
        <v>668</v>
      </c>
      <c r="E243" s="53" t="s">
        <v>642</v>
      </c>
      <c r="F243" s="53">
        <v>199</v>
      </c>
      <c r="G243" s="54"/>
    </row>
    <row r="244" spans="2:7" x14ac:dyDescent="0.25">
      <c r="B244" s="52"/>
      <c r="C244" s="53"/>
      <c r="D244" s="53"/>
      <c r="E244" s="53"/>
      <c r="F244" s="53"/>
      <c r="G244" s="54"/>
    </row>
    <row r="245" spans="2:7" x14ac:dyDescent="0.25">
      <c r="B245" s="52"/>
      <c r="C245" s="53"/>
      <c r="D245" s="73"/>
      <c r="E245" s="73"/>
      <c r="F245" s="73"/>
      <c r="G245" s="54"/>
    </row>
    <row r="246" spans="2:7" x14ac:dyDescent="0.25">
      <c r="B246" s="52"/>
      <c r="C246" s="53"/>
      <c r="D246" s="53"/>
      <c r="E246" s="148" t="s">
        <v>182</v>
      </c>
      <c r="F246" s="53">
        <f>SUM(F228:F243)</f>
        <v>394.59999999999997</v>
      </c>
      <c r="G246" s="54"/>
    </row>
    <row r="247" spans="2:7" x14ac:dyDescent="0.25">
      <c r="B247" s="52"/>
      <c r="C247" s="53"/>
      <c r="D247" s="53"/>
      <c r="E247" s="148" t="s">
        <v>307</v>
      </c>
      <c r="F247" s="53">
        <f>F246/C243</f>
        <v>24.662499999999998</v>
      </c>
      <c r="G247" s="54"/>
    </row>
    <row r="248" spans="2:7" x14ac:dyDescent="0.25">
      <c r="B248" s="52"/>
      <c r="C248" s="53"/>
      <c r="D248" s="53"/>
      <c r="E248" s="53"/>
      <c r="F248" s="53"/>
      <c r="G248" s="54"/>
    </row>
    <row r="249" spans="2:7" ht="15.75" thickBot="1" x14ac:dyDescent="0.3">
      <c r="B249" s="52"/>
      <c r="C249" s="224"/>
      <c r="D249" s="224" t="s">
        <v>702</v>
      </c>
      <c r="E249" s="224"/>
      <c r="F249" s="224"/>
      <c r="G249" s="219"/>
    </row>
    <row r="250" spans="2:7" x14ac:dyDescent="0.25">
      <c r="B250" s="52"/>
      <c r="C250" s="224"/>
      <c r="D250" s="216" t="s">
        <v>624</v>
      </c>
      <c r="E250" s="217" t="s">
        <v>674</v>
      </c>
      <c r="F250" s="224"/>
      <c r="G250" s="219"/>
    </row>
    <row r="251" spans="2:7" x14ac:dyDescent="0.25">
      <c r="B251" s="52"/>
      <c r="C251" s="224"/>
      <c r="D251" s="218" t="s">
        <v>92</v>
      </c>
      <c r="E251" s="219" t="s">
        <v>703</v>
      </c>
      <c r="F251" s="224"/>
      <c r="G251" s="219"/>
    </row>
    <row r="252" spans="2:7" ht="15.75" thickBot="1" x14ac:dyDescent="0.3">
      <c r="B252" s="52"/>
      <c r="C252" s="224"/>
      <c r="D252" s="220" t="s">
        <v>433</v>
      </c>
      <c r="E252" s="221" t="s">
        <v>704</v>
      </c>
      <c r="F252" s="224"/>
      <c r="G252" s="219"/>
    </row>
    <row r="253" spans="2:7" x14ac:dyDescent="0.25">
      <c r="B253" s="52"/>
      <c r="C253" s="224"/>
      <c r="D253" s="224"/>
      <c r="E253" s="224"/>
      <c r="F253" s="224"/>
      <c r="G253" s="219"/>
    </row>
    <row r="254" spans="2:7" x14ac:dyDescent="0.25">
      <c r="B254" s="52"/>
      <c r="C254" s="224"/>
      <c r="D254" s="227" t="s">
        <v>627</v>
      </c>
      <c r="E254" s="227" t="s">
        <v>624</v>
      </c>
      <c r="F254" s="227" t="s">
        <v>628</v>
      </c>
      <c r="G254" s="219"/>
    </row>
    <row r="255" spans="2:7" x14ac:dyDescent="0.25">
      <c r="B255" s="52"/>
      <c r="C255" s="224">
        <v>1</v>
      </c>
      <c r="D255" s="222" t="s">
        <v>646</v>
      </c>
      <c r="E255" s="224" t="s">
        <v>647</v>
      </c>
      <c r="F255" s="224"/>
      <c r="G255" s="219"/>
    </row>
    <row r="256" spans="2:7" x14ac:dyDescent="0.25">
      <c r="B256" s="52"/>
      <c r="C256" s="224">
        <v>2</v>
      </c>
      <c r="D256" s="222" t="s">
        <v>648</v>
      </c>
      <c r="E256" s="224" t="s">
        <v>649</v>
      </c>
      <c r="F256" s="224"/>
      <c r="G256" s="219"/>
    </row>
    <row r="257" spans="2:7" x14ac:dyDescent="0.25">
      <c r="B257" s="52"/>
      <c r="C257" s="224">
        <v>3</v>
      </c>
      <c r="D257" s="222" t="s">
        <v>650</v>
      </c>
      <c r="E257" s="224" t="s">
        <v>651</v>
      </c>
      <c r="F257" s="224"/>
      <c r="G257" s="219"/>
    </row>
    <row r="258" spans="2:7" x14ac:dyDescent="0.25">
      <c r="B258" s="52"/>
      <c r="C258" s="224">
        <v>4</v>
      </c>
      <c r="D258" s="222" t="s">
        <v>652</v>
      </c>
      <c r="E258" s="224" t="s">
        <v>625</v>
      </c>
      <c r="F258" s="224"/>
      <c r="G258" s="219"/>
    </row>
    <row r="259" spans="2:7" x14ac:dyDescent="0.25">
      <c r="B259" s="52"/>
      <c r="C259" s="224">
        <v>5</v>
      </c>
      <c r="D259" s="222" t="s">
        <v>653</v>
      </c>
      <c r="E259" s="224" t="s">
        <v>654</v>
      </c>
      <c r="F259" s="224"/>
      <c r="G259" s="219"/>
    </row>
    <row r="260" spans="2:7" x14ac:dyDescent="0.25">
      <c r="B260" s="52"/>
      <c r="C260" s="224">
        <v>6</v>
      </c>
      <c r="D260" s="222" t="s">
        <v>655</v>
      </c>
      <c r="E260" s="224" t="s">
        <v>625</v>
      </c>
      <c r="F260" s="224"/>
      <c r="G260" s="219"/>
    </row>
    <row r="261" spans="2:7" x14ac:dyDescent="0.25">
      <c r="B261" s="52"/>
      <c r="C261" s="224">
        <v>7</v>
      </c>
      <c r="D261" s="222" t="s">
        <v>656</v>
      </c>
      <c r="E261" s="224" t="s">
        <v>625</v>
      </c>
      <c r="F261" s="224"/>
      <c r="G261" s="219"/>
    </row>
    <row r="262" spans="2:7" x14ac:dyDescent="0.25">
      <c r="B262" s="52"/>
      <c r="C262" s="224">
        <v>8</v>
      </c>
      <c r="D262" s="222" t="s">
        <v>657</v>
      </c>
      <c r="E262" s="224" t="s">
        <v>658</v>
      </c>
      <c r="F262" s="224"/>
      <c r="G262" s="219"/>
    </row>
    <row r="263" spans="2:7" x14ac:dyDescent="0.25">
      <c r="B263" s="52"/>
      <c r="C263" s="224">
        <v>9</v>
      </c>
      <c r="D263" s="222" t="s">
        <v>659</v>
      </c>
      <c r="E263" s="224" t="s">
        <v>625</v>
      </c>
      <c r="F263" s="224"/>
      <c r="G263" s="219"/>
    </row>
    <row r="264" spans="2:7" x14ac:dyDescent="0.25">
      <c r="B264" s="52"/>
      <c r="C264" s="224">
        <v>10</v>
      </c>
      <c r="D264" s="222" t="s">
        <v>660</v>
      </c>
      <c r="E264" s="224" t="s">
        <v>661</v>
      </c>
      <c r="F264" s="224"/>
      <c r="G264" s="219"/>
    </row>
    <row r="265" spans="2:7" x14ac:dyDescent="0.25">
      <c r="B265" s="52"/>
      <c r="C265" s="224">
        <v>11</v>
      </c>
      <c r="D265" s="222" t="s">
        <v>662</v>
      </c>
      <c r="E265" s="224" t="s">
        <v>663</v>
      </c>
      <c r="F265" s="224"/>
      <c r="G265" s="219"/>
    </row>
    <row r="266" spans="2:7" x14ac:dyDescent="0.25">
      <c r="B266" s="52"/>
      <c r="C266" s="224">
        <v>12</v>
      </c>
      <c r="D266" s="222" t="s">
        <v>664</v>
      </c>
      <c r="E266" s="224" t="s">
        <v>663</v>
      </c>
      <c r="F266" s="224"/>
      <c r="G266" s="219"/>
    </row>
    <row r="267" spans="2:7" x14ac:dyDescent="0.25">
      <c r="B267" s="52"/>
      <c r="C267" s="224">
        <v>13</v>
      </c>
      <c r="D267" s="222" t="s">
        <v>665</v>
      </c>
      <c r="E267" s="224" t="s">
        <v>663</v>
      </c>
      <c r="F267" s="224"/>
      <c r="G267" s="219"/>
    </row>
    <row r="268" spans="2:7" x14ac:dyDescent="0.25">
      <c r="B268" s="52"/>
      <c r="C268" s="224">
        <v>14</v>
      </c>
      <c r="D268" s="222" t="s">
        <v>666</v>
      </c>
      <c r="E268" s="224" t="s">
        <v>663</v>
      </c>
      <c r="F268" s="224"/>
      <c r="G268" s="219"/>
    </row>
    <row r="269" spans="2:7" x14ac:dyDescent="0.25">
      <c r="B269" s="52"/>
      <c r="C269" s="224">
        <v>15</v>
      </c>
      <c r="D269" s="222" t="s">
        <v>667</v>
      </c>
      <c r="E269" s="224" t="s">
        <v>663</v>
      </c>
      <c r="F269" s="224"/>
      <c r="G269" s="219"/>
    </row>
    <row r="270" spans="2:7" x14ac:dyDescent="0.25">
      <c r="B270" s="52"/>
      <c r="C270" s="224">
        <v>16</v>
      </c>
      <c r="D270" s="222" t="s">
        <v>668</v>
      </c>
      <c r="E270" s="224" t="s">
        <v>642</v>
      </c>
      <c r="F270" s="224"/>
      <c r="G270" s="219"/>
    </row>
    <row r="271" spans="2:7" x14ac:dyDescent="0.25">
      <c r="B271" s="52"/>
      <c r="C271" s="224"/>
      <c r="D271" s="224"/>
      <c r="E271" s="224"/>
      <c r="F271" s="224"/>
      <c r="G271" s="219"/>
    </row>
    <row r="272" spans="2:7" x14ac:dyDescent="0.25">
      <c r="B272" s="52"/>
      <c r="C272" s="224"/>
      <c r="D272" s="223"/>
      <c r="E272" s="223"/>
      <c r="F272" s="223"/>
      <c r="G272" s="219"/>
    </row>
    <row r="273" spans="2:8" x14ac:dyDescent="0.25">
      <c r="B273" s="52"/>
      <c r="C273" s="224"/>
      <c r="D273" s="224"/>
      <c r="E273" s="224" t="s">
        <v>182</v>
      </c>
      <c r="F273" s="224">
        <f>SUM(F255:F270)</f>
        <v>0</v>
      </c>
      <c r="G273" s="219"/>
    </row>
    <row r="274" spans="2:8" ht="15.75" thickBot="1" x14ac:dyDescent="0.3">
      <c r="B274" s="55"/>
      <c r="C274" s="228"/>
      <c r="D274" s="228"/>
      <c r="E274" s="228" t="s">
        <v>307</v>
      </c>
      <c r="F274" s="228">
        <f>F273/C270</f>
        <v>0</v>
      </c>
      <c r="G274" s="221"/>
    </row>
    <row r="275" spans="2:8" x14ac:dyDescent="0.25">
      <c r="H275" s="31"/>
    </row>
    <row r="276" spans="2:8" ht="15.75" thickBot="1" x14ac:dyDescent="0.3"/>
    <row r="277" spans="2:8" x14ac:dyDescent="0.25">
      <c r="B277" s="225" t="s">
        <v>160</v>
      </c>
      <c r="C277" s="50"/>
      <c r="D277" s="50"/>
      <c r="E277" s="50"/>
      <c r="F277" s="50"/>
      <c r="G277" s="51"/>
    </row>
    <row r="278" spans="2:8" x14ac:dyDescent="0.25">
      <c r="B278" s="52"/>
      <c r="C278" s="53"/>
      <c r="D278" s="53"/>
      <c r="E278" s="53"/>
      <c r="F278" s="53"/>
      <c r="G278" s="54"/>
    </row>
    <row r="279" spans="2:8" x14ac:dyDescent="0.25">
      <c r="B279" s="52"/>
      <c r="C279" s="53"/>
      <c r="D279" s="77" t="s">
        <v>623</v>
      </c>
      <c r="E279" s="53"/>
      <c r="F279" s="53"/>
      <c r="G279" s="54"/>
    </row>
    <row r="280" spans="2:8" ht="15.75" thickBot="1" x14ac:dyDescent="0.3">
      <c r="B280" s="52"/>
      <c r="C280" s="53"/>
      <c r="D280" s="53"/>
      <c r="E280" s="53"/>
      <c r="F280" s="53"/>
      <c r="G280" s="54"/>
    </row>
    <row r="281" spans="2:8" x14ac:dyDescent="0.25">
      <c r="B281" s="52"/>
      <c r="C281" s="53"/>
      <c r="D281" s="188" t="s">
        <v>624</v>
      </c>
      <c r="E281" s="51" t="s">
        <v>625</v>
      </c>
      <c r="F281" s="53"/>
      <c r="G281" s="54"/>
    </row>
    <row r="282" spans="2:8" x14ac:dyDescent="0.25">
      <c r="B282" s="52"/>
      <c r="C282" s="53"/>
      <c r="D282" s="214" t="s">
        <v>92</v>
      </c>
      <c r="E282" s="54" t="s">
        <v>160</v>
      </c>
      <c r="F282" s="53"/>
      <c r="G282" s="54"/>
    </row>
    <row r="283" spans="2:8" ht="15.75" thickBot="1" x14ac:dyDescent="0.3">
      <c r="B283" s="52"/>
      <c r="C283" s="53"/>
      <c r="D283" s="215" t="s">
        <v>433</v>
      </c>
      <c r="E283" s="57" t="s">
        <v>626</v>
      </c>
      <c r="F283" s="53"/>
      <c r="G283" s="54"/>
    </row>
    <row r="284" spans="2:8" x14ac:dyDescent="0.25">
      <c r="B284" s="52"/>
      <c r="C284" s="53"/>
      <c r="D284" s="53"/>
      <c r="E284" s="53"/>
      <c r="F284" s="53"/>
      <c r="G284" s="54"/>
    </row>
    <row r="285" spans="2:8" x14ac:dyDescent="0.25">
      <c r="B285" s="52"/>
      <c r="C285" s="53"/>
      <c r="D285" s="77" t="s">
        <v>627</v>
      </c>
      <c r="E285" s="77" t="s">
        <v>624</v>
      </c>
      <c r="F285" s="77" t="s">
        <v>628</v>
      </c>
      <c r="G285" s="54"/>
    </row>
    <row r="286" spans="2:8" x14ac:dyDescent="0.25">
      <c r="B286" s="52"/>
      <c r="C286" s="53">
        <v>1</v>
      </c>
      <c r="D286" s="101" t="s">
        <v>629</v>
      </c>
      <c r="E286" s="53" t="s">
        <v>625</v>
      </c>
      <c r="F286" s="53">
        <v>0</v>
      </c>
      <c r="G286" s="54"/>
    </row>
    <row r="287" spans="2:8" x14ac:dyDescent="0.25">
      <c r="B287" s="52"/>
      <c r="C287" s="53">
        <v>2</v>
      </c>
      <c r="D287" s="101" t="s">
        <v>630</v>
      </c>
      <c r="E287" s="53" t="s">
        <v>625</v>
      </c>
      <c r="F287" s="53">
        <v>0</v>
      </c>
      <c r="G287" s="54"/>
    </row>
    <row r="288" spans="2:8" x14ac:dyDescent="0.25">
      <c r="B288" s="52"/>
      <c r="C288" s="53">
        <v>3</v>
      </c>
      <c r="D288" s="101" t="s">
        <v>631</v>
      </c>
      <c r="E288" s="53" t="s">
        <v>625</v>
      </c>
      <c r="F288" s="53">
        <v>0</v>
      </c>
      <c r="G288" s="54"/>
    </row>
    <row r="289" spans="2:7" x14ac:dyDescent="0.25">
      <c r="B289" s="52"/>
      <c r="C289" s="53">
        <v>4</v>
      </c>
      <c r="D289" s="101" t="s">
        <v>632</v>
      </c>
      <c r="E289" s="53" t="s">
        <v>625</v>
      </c>
      <c r="F289" s="53">
        <v>0</v>
      </c>
      <c r="G289" s="54"/>
    </row>
    <row r="290" spans="2:7" x14ac:dyDescent="0.25">
      <c r="B290" s="52"/>
      <c r="C290" s="53">
        <v>5</v>
      </c>
      <c r="D290" s="101" t="s">
        <v>633</v>
      </c>
      <c r="E290" s="53" t="s">
        <v>625</v>
      </c>
      <c r="F290" s="53">
        <v>0</v>
      </c>
      <c r="G290" s="54"/>
    </row>
    <row r="291" spans="2:7" x14ac:dyDescent="0.25">
      <c r="B291" s="52"/>
      <c r="C291" s="53">
        <v>6</v>
      </c>
      <c r="D291" s="101" t="s">
        <v>634</v>
      </c>
      <c r="E291" s="53" t="s">
        <v>625</v>
      </c>
      <c r="F291" s="53">
        <v>0</v>
      </c>
      <c r="G291" s="54"/>
    </row>
    <row r="292" spans="2:7" x14ac:dyDescent="0.25">
      <c r="B292" s="52"/>
      <c r="C292" s="53">
        <v>7</v>
      </c>
      <c r="D292" s="101" t="s">
        <v>635</v>
      </c>
      <c r="E292" s="53" t="s">
        <v>636</v>
      </c>
      <c r="F292" s="53">
        <v>61.3</v>
      </c>
      <c r="G292" s="54"/>
    </row>
    <row r="293" spans="2:7" x14ac:dyDescent="0.25">
      <c r="B293" s="52"/>
      <c r="C293" s="53">
        <v>8</v>
      </c>
      <c r="D293" s="101" t="s">
        <v>637</v>
      </c>
      <c r="E293" s="53" t="s">
        <v>638</v>
      </c>
      <c r="F293" s="53">
        <v>361</v>
      </c>
      <c r="G293" s="54"/>
    </row>
    <row r="294" spans="2:7" x14ac:dyDescent="0.25">
      <c r="B294" s="52"/>
      <c r="C294" s="53">
        <v>9</v>
      </c>
      <c r="D294" s="101" t="s">
        <v>639</v>
      </c>
      <c r="E294" s="53" t="s">
        <v>640</v>
      </c>
      <c r="F294" s="53">
        <v>379</v>
      </c>
      <c r="G294" s="54"/>
    </row>
    <row r="295" spans="2:7" x14ac:dyDescent="0.25">
      <c r="B295" s="52"/>
      <c r="C295" s="53">
        <v>10</v>
      </c>
      <c r="D295" s="101" t="s">
        <v>641</v>
      </c>
      <c r="E295" s="53" t="s">
        <v>642</v>
      </c>
      <c r="F295" s="53">
        <v>199</v>
      </c>
      <c r="G295" s="54"/>
    </row>
    <row r="296" spans="2:7" x14ac:dyDescent="0.25">
      <c r="B296" s="52"/>
      <c r="C296" s="53"/>
      <c r="D296" s="73"/>
      <c r="E296" s="73"/>
      <c r="F296" s="73"/>
      <c r="G296" s="54"/>
    </row>
    <row r="297" spans="2:7" ht="15.75" thickBot="1" x14ac:dyDescent="0.3">
      <c r="B297" s="55"/>
      <c r="C297" s="47"/>
      <c r="D297" s="31"/>
      <c r="E297" s="148" t="s">
        <v>182</v>
      </c>
      <c r="F297" s="31">
        <f>SUM(F286:F295)</f>
        <v>1000.3</v>
      </c>
      <c r="G297" s="57"/>
    </row>
    <row r="298" spans="2:7" x14ac:dyDescent="0.25">
      <c r="C298" s="31"/>
      <c r="D298" s="31"/>
      <c r="E298" s="148" t="s">
        <v>307</v>
      </c>
      <c r="F298" s="31">
        <f>F297/C295</f>
        <v>100.03</v>
      </c>
    </row>
    <row r="299" spans="2:7" x14ac:dyDescent="0.25">
      <c r="C299" s="31"/>
      <c r="D299" s="101"/>
      <c r="E299" s="31"/>
      <c r="F299" s="31"/>
    </row>
  </sheetData>
  <mergeCells count="1">
    <mergeCell ref="C19:E1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0" tint="-0.34998626667073579"/>
  </sheetPr>
  <dimension ref="A1:AD47"/>
  <sheetViews>
    <sheetView workbookViewId="0">
      <selection activeCell="AD4" sqref="AD4"/>
    </sheetView>
  </sheetViews>
  <sheetFormatPr defaultColWidth="9.140625" defaultRowHeight="12.75" x14ac:dyDescent="0.2"/>
  <cols>
    <col min="1" max="1" width="42.28515625" style="302" bestFit="1" customWidth="1"/>
    <col min="2" max="30" width="5.7109375" style="302" customWidth="1"/>
    <col min="31" max="16384" width="9.140625" style="302"/>
  </cols>
  <sheetData>
    <row r="1" spans="1:30" ht="16.5" customHeight="1" thickBot="1" x14ac:dyDescent="0.3">
      <c r="A1" s="833" t="s">
        <v>1098</v>
      </c>
      <c r="B1" s="833"/>
      <c r="C1" s="833"/>
      <c r="D1" s="833"/>
      <c r="E1" s="833"/>
      <c r="F1" s="833"/>
      <c r="G1" s="833"/>
      <c r="H1" s="833"/>
      <c r="I1" s="833"/>
      <c r="J1" s="833"/>
      <c r="K1" s="833"/>
      <c r="L1" s="833"/>
      <c r="M1" s="833"/>
      <c r="N1" s="833"/>
      <c r="O1" s="833"/>
      <c r="P1" s="833"/>
      <c r="Q1" s="833"/>
      <c r="R1" s="833"/>
      <c r="S1" s="833"/>
      <c r="T1" s="833"/>
      <c r="U1" s="833"/>
      <c r="V1" s="833"/>
      <c r="W1" s="833"/>
      <c r="X1" s="833"/>
      <c r="Y1" s="833"/>
      <c r="Z1" s="833"/>
      <c r="AA1" s="833"/>
      <c r="AB1" s="833"/>
      <c r="AC1" s="833"/>
      <c r="AD1" s="833"/>
    </row>
    <row r="2" spans="1:30" s="306" customFormat="1" ht="16.5" customHeight="1" x14ac:dyDescent="0.3">
      <c r="A2" s="303"/>
      <c r="B2" s="303">
        <v>1980</v>
      </c>
      <c r="C2" s="303">
        <v>1985</v>
      </c>
      <c r="D2" s="303">
        <v>1990</v>
      </c>
      <c r="E2" s="303">
        <v>1991</v>
      </c>
      <c r="F2" s="303">
        <v>1992</v>
      </c>
      <c r="G2" s="303">
        <v>1993</v>
      </c>
      <c r="H2" s="303">
        <v>1994</v>
      </c>
      <c r="I2" s="303">
        <v>1995</v>
      </c>
      <c r="J2" s="303">
        <v>1996</v>
      </c>
      <c r="K2" s="303">
        <v>1997</v>
      </c>
      <c r="L2" s="303">
        <v>1998</v>
      </c>
      <c r="M2" s="303">
        <v>1999</v>
      </c>
      <c r="N2" s="304">
        <v>2000</v>
      </c>
      <c r="O2" s="304">
        <v>2001</v>
      </c>
      <c r="P2" s="304">
        <v>2002</v>
      </c>
      <c r="Q2" s="304">
        <v>2003</v>
      </c>
      <c r="R2" s="304">
        <v>2004</v>
      </c>
      <c r="S2" s="304">
        <v>2005</v>
      </c>
      <c r="T2" s="304">
        <v>2006</v>
      </c>
      <c r="U2" s="304">
        <v>2007</v>
      </c>
      <c r="V2" s="304">
        <v>2008</v>
      </c>
      <c r="W2" s="304">
        <v>2009</v>
      </c>
      <c r="X2" s="304">
        <v>2010</v>
      </c>
      <c r="Y2" s="304">
        <v>2011</v>
      </c>
      <c r="Z2" s="304">
        <v>2012</v>
      </c>
      <c r="AA2" s="305">
        <v>2013</v>
      </c>
      <c r="AB2" s="305">
        <v>2014</v>
      </c>
      <c r="AC2" s="305">
        <v>2015</v>
      </c>
      <c r="AD2" s="305">
        <v>2016</v>
      </c>
    </row>
    <row r="3" spans="1:30" s="314" customFormat="1" ht="33" customHeight="1" x14ac:dyDescent="0.3">
      <c r="A3" s="307" t="s">
        <v>1099</v>
      </c>
      <c r="B3" s="308">
        <v>14.9</v>
      </c>
      <c r="C3" s="308">
        <v>16.5</v>
      </c>
      <c r="D3" s="308">
        <v>18.8</v>
      </c>
      <c r="E3" s="308">
        <v>19.5</v>
      </c>
      <c r="F3" s="308">
        <v>19.5</v>
      </c>
      <c r="G3" s="308">
        <v>19.2</v>
      </c>
      <c r="H3" s="308">
        <v>19.391912792400316</v>
      </c>
      <c r="I3" s="308">
        <v>19.600000000000001</v>
      </c>
      <c r="J3" s="308">
        <v>19.613064628590077</v>
      </c>
      <c r="K3" s="308">
        <v>19.7</v>
      </c>
      <c r="L3" s="308">
        <v>19.600000000000001</v>
      </c>
      <c r="M3" s="308">
        <v>19.6169799301619</v>
      </c>
      <c r="N3" s="308">
        <v>20.025917745968933</v>
      </c>
      <c r="O3" s="308">
        <v>20.235500830414114</v>
      </c>
      <c r="P3" s="308">
        <v>20.081724449953334</v>
      </c>
      <c r="Q3" s="308">
        <v>19.500191666378555</v>
      </c>
      <c r="R3" s="308">
        <v>19.644668455557788</v>
      </c>
      <c r="S3" s="308">
        <v>20.17405223099016</v>
      </c>
      <c r="T3" s="308">
        <v>20.435838690204918</v>
      </c>
      <c r="U3" s="308">
        <v>21.275150069239668</v>
      </c>
      <c r="V3" s="308">
        <v>21.824861521647339</v>
      </c>
      <c r="W3" s="308">
        <v>21.696377619738911</v>
      </c>
      <c r="X3" s="308">
        <v>21.52525404652636</v>
      </c>
      <c r="Y3" s="309">
        <v>21.427662469217953</v>
      </c>
      <c r="Z3" s="310">
        <v>21.533922510837105</v>
      </c>
      <c r="AA3" s="311">
        <v>21.634777282085086</v>
      </c>
      <c r="AB3" s="312">
        <v>21.402990506023979</v>
      </c>
      <c r="AC3" s="313">
        <v>21.97931346871923</v>
      </c>
      <c r="AD3" s="313">
        <v>22.038465017853031</v>
      </c>
    </row>
    <row r="4" spans="1:30" s="314" customFormat="1" ht="16.5" customHeight="1" x14ac:dyDescent="0.3">
      <c r="A4" s="315" t="s">
        <v>1100</v>
      </c>
      <c r="B4" s="308">
        <v>15.983485209256079</v>
      </c>
      <c r="C4" s="308">
        <v>17.515865604612728</v>
      </c>
      <c r="D4" s="308">
        <v>20.324466118928257</v>
      </c>
      <c r="E4" s="308">
        <v>21.199051639303363</v>
      </c>
      <c r="F4" s="308">
        <v>21.045125755196853</v>
      </c>
      <c r="G4" s="308">
        <v>20.590440598375299</v>
      </c>
      <c r="H4" s="308">
        <v>20.804309761425465</v>
      </c>
      <c r="I4" s="308">
        <v>21.128875353245995</v>
      </c>
      <c r="J4" s="308">
        <v>21.234214226373929</v>
      </c>
      <c r="K4" s="308">
        <v>21.5</v>
      </c>
      <c r="L4" s="308">
        <v>21.4</v>
      </c>
      <c r="M4" s="308">
        <v>21.411535595460045</v>
      </c>
      <c r="N4" s="308">
        <v>21.902175382844323</v>
      </c>
      <c r="O4" s="308">
        <v>22.136470705948263</v>
      </c>
      <c r="P4" s="308">
        <v>21.974908646679772</v>
      </c>
      <c r="Q4" s="308">
        <v>22.160056474630601</v>
      </c>
      <c r="R4" s="308">
        <v>22.544398515672704</v>
      </c>
      <c r="S4" s="308">
        <v>22.067355091809322</v>
      </c>
      <c r="T4" s="308">
        <v>22.537768096638615</v>
      </c>
      <c r="U4" s="308">
        <v>22.865639407597879</v>
      </c>
      <c r="V4" s="308">
        <v>23.654817692277319</v>
      </c>
      <c r="W4" s="308">
        <v>23.532242432153808</v>
      </c>
      <c r="X4" s="308">
        <v>23.341158652912874</v>
      </c>
      <c r="Y4" s="309">
        <v>23.158820320723169</v>
      </c>
      <c r="Z4" s="316">
        <v>23.282424654257547</v>
      </c>
      <c r="AA4" s="311">
        <v>23.410443534113835</v>
      </c>
      <c r="AB4" s="312">
        <v>23.203281716521573</v>
      </c>
      <c r="AC4" s="313">
        <v>23.856606399220034</v>
      </c>
      <c r="AD4" s="313">
        <v>23.956897997214828</v>
      </c>
    </row>
    <row r="5" spans="1:30" s="314" customFormat="1" ht="16.5" customHeight="1" x14ac:dyDescent="0.3">
      <c r="A5" s="315" t="s">
        <v>1101</v>
      </c>
      <c r="B5" s="317">
        <v>12.226113712020926</v>
      </c>
      <c r="C5" s="317">
        <v>14.287840022769533</v>
      </c>
      <c r="D5" s="317">
        <v>16.134620950781546</v>
      </c>
      <c r="E5" s="317">
        <v>16.992322720984472</v>
      </c>
      <c r="F5" s="317">
        <v>17.270284553598483</v>
      </c>
      <c r="G5" s="317">
        <v>17.403240956388242</v>
      </c>
      <c r="H5" s="317">
        <v>17.333758029999402</v>
      </c>
      <c r="I5" s="317">
        <v>17.32348620428797</v>
      </c>
      <c r="J5" s="317">
        <v>17.24330573856767</v>
      </c>
      <c r="K5" s="317">
        <v>17.200000256299973</v>
      </c>
      <c r="L5" s="317">
        <v>17.100000000000001</v>
      </c>
      <c r="M5" s="317">
        <v>17.07612695784622</v>
      </c>
      <c r="N5" s="317">
        <v>17.436339940049649</v>
      </c>
      <c r="O5" s="317">
        <v>17.622862736948161</v>
      </c>
      <c r="P5" s="317">
        <v>17.494243220241437</v>
      </c>
      <c r="Q5" s="317">
        <v>16.196939606414382</v>
      </c>
      <c r="R5" s="317">
        <v>16.196939606414379</v>
      </c>
      <c r="S5" s="317">
        <v>17.684178534519752</v>
      </c>
      <c r="T5" s="317">
        <v>17.837785262306351</v>
      </c>
      <c r="U5" s="317">
        <v>17.073137862941504</v>
      </c>
      <c r="V5" s="317">
        <v>17.336446788414928</v>
      </c>
      <c r="W5" s="308">
        <v>17.292756750601264</v>
      </c>
      <c r="X5" s="317">
        <v>17.177793762471715</v>
      </c>
      <c r="Y5" s="317">
        <v>17.098684146335689</v>
      </c>
      <c r="Z5" s="316">
        <v>17.122116849611885</v>
      </c>
      <c r="AA5" s="311">
        <v>17.159536947838717</v>
      </c>
      <c r="AB5" s="312">
        <v>17.097833372547274</v>
      </c>
      <c r="AC5" s="313">
        <v>17.340799670730558</v>
      </c>
      <c r="AD5" s="313">
        <v>17.397560486833804</v>
      </c>
    </row>
    <row r="6" spans="1:30" s="314" customFormat="1" ht="16.5" customHeight="1" x14ac:dyDescent="0.3">
      <c r="A6" s="318" t="s">
        <v>1102</v>
      </c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317"/>
      <c r="M6" s="317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8"/>
      <c r="Y6" s="308"/>
      <c r="AA6" s="319"/>
      <c r="AB6" s="319"/>
      <c r="AC6" s="319"/>
      <c r="AD6" s="319"/>
    </row>
    <row r="7" spans="1:30" s="314" customFormat="1" ht="16.5" customHeight="1" x14ac:dyDescent="0.3">
      <c r="A7" s="315" t="s">
        <v>1103</v>
      </c>
      <c r="B7" s="317"/>
      <c r="C7" s="317"/>
      <c r="D7" s="317"/>
      <c r="E7" s="317"/>
      <c r="F7" s="317"/>
      <c r="G7" s="317"/>
      <c r="H7" s="317"/>
      <c r="I7" s="317"/>
      <c r="J7" s="317"/>
      <c r="K7" s="317"/>
      <c r="L7" s="317"/>
      <c r="M7" s="317"/>
      <c r="N7" s="308"/>
      <c r="O7" s="308"/>
      <c r="P7" s="308"/>
      <c r="Q7" s="308"/>
      <c r="R7" s="308"/>
      <c r="S7" s="308"/>
      <c r="T7" s="308"/>
      <c r="U7" s="308"/>
      <c r="V7" s="308"/>
      <c r="W7" s="308"/>
      <c r="X7" s="308"/>
      <c r="Y7" s="308"/>
    </row>
    <row r="8" spans="1:30" s="314" customFormat="1" ht="16.5" customHeight="1" x14ac:dyDescent="0.3">
      <c r="A8" s="320" t="s">
        <v>1104</v>
      </c>
      <c r="B8" s="317">
        <v>24.3</v>
      </c>
      <c r="C8" s="317">
        <v>27.6</v>
      </c>
      <c r="D8" s="317">
        <v>28</v>
      </c>
      <c r="E8" s="317">
        <v>28.4</v>
      </c>
      <c r="F8" s="317">
        <v>27.9</v>
      </c>
      <c r="G8" s="317">
        <v>28.4</v>
      </c>
      <c r="H8" s="317">
        <v>28.3</v>
      </c>
      <c r="I8" s="317">
        <v>28.6</v>
      </c>
      <c r="J8" s="317">
        <v>28.5</v>
      </c>
      <c r="K8" s="317">
        <v>28.7</v>
      </c>
      <c r="L8" s="317">
        <v>28.8</v>
      </c>
      <c r="M8" s="317">
        <v>28.3</v>
      </c>
      <c r="N8" s="317">
        <v>28.5</v>
      </c>
      <c r="O8" s="317">
        <v>28.8</v>
      </c>
      <c r="P8" s="317">
        <v>29</v>
      </c>
      <c r="Q8" s="317">
        <v>29.5</v>
      </c>
      <c r="R8" s="317">
        <v>29.491622052528175</v>
      </c>
      <c r="S8" s="317">
        <v>30.321077440674379</v>
      </c>
      <c r="T8" s="317">
        <v>30.0877234841691</v>
      </c>
      <c r="U8" s="317">
        <v>31.242346519191152</v>
      </c>
      <c r="V8" s="317">
        <v>31.46940199977012</v>
      </c>
      <c r="W8" s="317">
        <v>32.900456397437111</v>
      </c>
      <c r="X8" s="317">
        <v>33.938046561397755</v>
      </c>
      <c r="Y8" s="317">
        <v>33.126551276411561</v>
      </c>
      <c r="Z8" s="321">
        <v>35.270904814074513</v>
      </c>
      <c r="AA8" s="321">
        <v>36.399910004584484</v>
      </c>
      <c r="AB8" s="321">
        <v>36.537354978947064</v>
      </c>
      <c r="AC8" s="321">
        <v>37.243202896985352</v>
      </c>
      <c r="AD8" s="321">
        <v>37.684754609195146</v>
      </c>
    </row>
    <row r="9" spans="1:30" s="314" customFormat="1" ht="16.5" customHeight="1" x14ac:dyDescent="0.3">
      <c r="A9" s="322" t="s">
        <v>1105</v>
      </c>
      <c r="B9" s="317">
        <v>22.6</v>
      </c>
      <c r="C9" s="317">
        <v>26.3</v>
      </c>
      <c r="D9" s="317">
        <v>26.9</v>
      </c>
      <c r="E9" s="317">
        <v>27.3</v>
      </c>
      <c r="F9" s="317">
        <v>27</v>
      </c>
      <c r="G9" s="317">
        <v>27.8</v>
      </c>
      <c r="H9" s="317">
        <v>27.5</v>
      </c>
      <c r="I9" s="317">
        <v>27.7</v>
      </c>
      <c r="J9" s="317">
        <v>28.1</v>
      </c>
      <c r="K9" s="317">
        <v>27.8</v>
      </c>
      <c r="L9" s="317">
        <v>28.6</v>
      </c>
      <c r="M9" s="317">
        <v>28</v>
      </c>
      <c r="N9" s="308">
        <v>28.7</v>
      </c>
      <c r="O9" s="317">
        <v>28.7</v>
      </c>
      <c r="P9" s="317">
        <v>29.1</v>
      </c>
      <c r="Q9" s="317">
        <v>29.1</v>
      </c>
      <c r="R9" s="317">
        <v>29.9</v>
      </c>
      <c r="S9" s="317">
        <v>30.5</v>
      </c>
      <c r="T9" s="317">
        <v>30.3</v>
      </c>
      <c r="U9" s="317">
        <v>30.6</v>
      </c>
      <c r="V9" s="317">
        <v>31.2</v>
      </c>
      <c r="W9" s="317">
        <v>32.1</v>
      </c>
      <c r="X9" s="317">
        <v>33.1</v>
      </c>
      <c r="Y9" s="317">
        <v>32.700000000000003</v>
      </c>
      <c r="Z9" s="321">
        <v>34.799999999999997</v>
      </c>
      <c r="AA9" s="321">
        <v>36.1</v>
      </c>
      <c r="AB9" s="321">
        <v>36.299999999999997</v>
      </c>
      <c r="AC9" s="321">
        <v>37.200000000000003</v>
      </c>
      <c r="AD9" s="321">
        <v>37.299999999999997</v>
      </c>
    </row>
    <row r="10" spans="1:30" s="314" customFormat="1" ht="16.5" customHeight="1" x14ac:dyDescent="0.3">
      <c r="A10" s="322" t="s">
        <v>1106</v>
      </c>
      <c r="B10" s="317">
        <v>29.6</v>
      </c>
      <c r="C10" s="317">
        <v>31.5</v>
      </c>
      <c r="D10" s="317">
        <v>29.9</v>
      </c>
      <c r="E10" s="317">
        <v>30.1</v>
      </c>
      <c r="F10" s="317">
        <v>29.2</v>
      </c>
      <c r="G10" s="317">
        <v>29.6</v>
      </c>
      <c r="H10" s="317">
        <v>29.7</v>
      </c>
      <c r="I10" s="317">
        <v>30.3</v>
      </c>
      <c r="J10" s="317">
        <v>29.6</v>
      </c>
      <c r="K10" s="317">
        <v>30.1</v>
      </c>
      <c r="L10" s="317">
        <v>29.2</v>
      </c>
      <c r="M10" s="317">
        <v>29</v>
      </c>
      <c r="N10" s="308">
        <v>28.3</v>
      </c>
      <c r="O10" s="317">
        <v>29</v>
      </c>
      <c r="P10" s="317">
        <v>28.8</v>
      </c>
      <c r="Q10" s="317">
        <v>29.9</v>
      </c>
      <c r="R10" s="317">
        <v>28.7</v>
      </c>
      <c r="S10" s="317">
        <v>29.9</v>
      </c>
      <c r="T10" s="317">
        <v>29.7</v>
      </c>
      <c r="U10" s="317">
        <v>32.200000000000003</v>
      </c>
      <c r="V10" s="317">
        <v>31.8</v>
      </c>
      <c r="W10" s="317">
        <v>33.799999999999997</v>
      </c>
      <c r="X10" s="317">
        <v>35.200000000000003</v>
      </c>
      <c r="Y10" s="317">
        <v>33.700000000000003</v>
      </c>
      <c r="Z10" s="321">
        <v>36</v>
      </c>
      <c r="AA10" s="321">
        <v>36.799999999999997</v>
      </c>
      <c r="AB10" s="321">
        <v>36.9</v>
      </c>
      <c r="AC10" s="321">
        <v>37.299999999999997</v>
      </c>
      <c r="AD10" s="321">
        <v>38.200000000000003</v>
      </c>
    </row>
    <row r="11" spans="1:30" s="314" customFormat="1" ht="16.5" customHeight="1" x14ac:dyDescent="0.3">
      <c r="A11" s="320" t="s">
        <v>1107</v>
      </c>
      <c r="B11" s="317">
        <v>18.5</v>
      </c>
      <c r="C11" s="317">
        <v>20.7</v>
      </c>
      <c r="D11" s="317">
        <v>20.8</v>
      </c>
      <c r="E11" s="317">
        <v>21.3</v>
      </c>
      <c r="F11" s="317">
        <v>20.8</v>
      </c>
      <c r="G11" s="317">
        <v>21</v>
      </c>
      <c r="H11" s="317">
        <v>20.8</v>
      </c>
      <c r="I11" s="317">
        <v>20.5</v>
      </c>
      <c r="J11" s="317">
        <v>20.8</v>
      </c>
      <c r="K11" s="317">
        <v>20.6</v>
      </c>
      <c r="L11" s="317">
        <v>21</v>
      </c>
      <c r="M11" s="317">
        <v>20.9</v>
      </c>
      <c r="N11" s="308">
        <v>21.3</v>
      </c>
      <c r="O11" s="317">
        <v>20.9</v>
      </c>
      <c r="P11" s="317">
        <v>21.4</v>
      </c>
      <c r="Q11" s="317">
        <v>21.8</v>
      </c>
      <c r="R11" s="317">
        <v>21.5</v>
      </c>
      <c r="S11" s="317">
        <v>22.1</v>
      </c>
      <c r="T11" s="317">
        <v>22.5</v>
      </c>
      <c r="U11" s="317">
        <v>23.1</v>
      </c>
      <c r="V11" s="317">
        <v>23.6</v>
      </c>
      <c r="W11" s="317">
        <v>24.8</v>
      </c>
      <c r="X11" s="317">
        <v>25.2</v>
      </c>
      <c r="Y11" s="317">
        <v>24.7</v>
      </c>
      <c r="Z11" s="321">
        <v>25</v>
      </c>
      <c r="AA11" s="321">
        <v>25.7</v>
      </c>
      <c r="AB11" s="321">
        <v>26.5</v>
      </c>
      <c r="AC11" s="321">
        <v>27.3</v>
      </c>
      <c r="AD11" s="321">
        <v>27.4</v>
      </c>
    </row>
    <row r="12" spans="1:30" s="314" customFormat="1" ht="16.5" customHeight="1" x14ac:dyDescent="0.3">
      <c r="A12" s="318" t="s">
        <v>1108</v>
      </c>
      <c r="B12" s="317"/>
      <c r="C12" s="317"/>
      <c r="D12" s="317"/>
      <c r="E12" s="317"/>
      <c r="F12" s="317"/>
      <c r="G12" s="317"/>
      <c r="H12" s="317"/>
      <c r="I12" s="317"/>
      <c r="J12" s="317"/>
      <c r="K12" s="317"/>
      <c r="L12" s="317"/>
      <c r="M12" s="317"/>
      <c r="N12" s="308"/>
      <c r="O12" s="308"/>
      <c r="P12" s="308"/>
      <c r="Q12" s="308"/>
      <c r="R12" s="317"/>
      <c r="S12" s="317"/>
      <c r="T12" s="317"/>
      <c r="U12" s="317"/>
      <c r="V12" s="317"/>
      <c r="W12" s="317"/>
      <c r="X12" s="317"/>
      <c r="Y12" s="317"/>
      <c r="Z12" s="321"/>
      <c r="AA12" s="321"/>
      <c r="AB12" s="321"/>
      <c r="AC12" s="321"/>
      <c r="AD12" s="321"/>
    </row>
    <row r="13" spans="1:30" s="314" customFormat="1" ht="16.5" customHeight="1" x14ac:dyDescent="0.3">
      <c r="A13" s="315" t="s">
        <v>1104</v>
      </c>
      <c r="B13" s="317">
        <v>20</v>
      </c>
      <c r="C13" s="317">
        <v>27.5</v>
      </c>
      <c r="D13" s="317">
        <v>27.5</v>
      </c>
      <c r="E13" s="317">
        <v>27.5</v>
      </c>
      <c r="F13" s="317">
        <v>27.5</v>
      </c>
      <c r="G13" s="317">
        <v>27.5</v>
      </c>
      <c r="H13" s="317">
        <v>27.5</v>
      </c>
      <c r="I13" s="317">
        <v>27.5</v>
      </c>
      <c r="J13" s="317">
        <v>27.5</v>
      </c>
      <c r="K13" s="317">
        <v>27.5</v>
      </c>
      <c r="L13" s="317">
        <v>27.5</v>
      </c>
      <c r="M13" s="317">
        <v>27.5</v>
      </c>
      <c r="N13" s="308">
        <v>27.5</v>
      </c>
      <c r="O13" s="317">
        <v>27.5</v>
      </c>
      <c r="P13" s="317">
        <v>27.5</v>
      </c>
      <c r="Q13" s="317">
        <v>27.5</v>
      </c>
      <c r="R13" s="317">
        <v>27.5</v>
      </c>
      <c r="S13" s="317">
        <v>27.5</v>
      </c>
      <c r="T13" s="317">
        <v>27.5</v>
      </c>
      <c r="U13" s="317">
        <v>27.5</v>
      </c>
      <c r="V13" s="317">
        <v>27.5</v>
      </c>
      <c r="W13" s="317">
        <v>27.5</v>
      </c>
      <c r="X13" s="317">
        <v>27.5</v>
      </c>
      <c r="Y13" s="317">
        <v>30.170620510564625</v>
      </c>
      <c r="Z13" s="321">
        <v>32.974694474876799</v>
      </c>
      <c r="AA13" s="321">
        <v>33.499910004584478</v>
      </c>
      <c r="AB13" s="321">
        <v>34.237354978947067</v>
      </c>
      <c r="AC13" s="321">
        <v>35.45921738191209</v>
      </c>
      <c r="AD13" s="321">
        <v>36.884754609195149</v>
      </c>
    </row>
    <row r="14" spans="1:30" s="314" customFormat="1" ht="16.5" customHeight="1" thickBot="1" x14ac:dyDescent="0.35">
      <c r="A14" s="323" t="s">
        <v>1109</v>
      </c>
      <c r="B14" s="324" t="s">
        <v>1110</v>
      </c>
      <c r="C14" s="324">
        <v>19.5</v>
      </c>
      <c r="D14" s="324">
        <v>20</v>
      </c>
      <c r="E14" s="324">
        <v>20.2</v>
      </c>
      <c r="F14" s="324">
        <v>20.2</v>
      </c>
      <c r="G14" s="324">
        <v>20.399999999999999</v>
      </c>
      <c r="H14" s="324">
        <v>20.5</v>
      </c>
      <c r="I14" s="324">
        <v>20.6</v>
      </c>
      <c r="J14" s="324">
        <v>20.7</v>
      </c>
      <c r="K14" s="324">
        <v>20.7</v>
      </c>
      <c r="L14" s="324">
        <v>20.7</v>
      </c>
      <c r="M14" s="324">
        <v>20.7</v>
      </c>
      <c r="N14" s="325">
        <v>20.7</v>
      </c>
      <c r="O14" s="324">
        <v>20.7</v>
      </c>
      <c r="P14" s="324">
        <v>20.7</v>
      </c>
      <c r="Q14" s="324">
        <v>20.7</v>
      </c>
      <c r="R14" s="324">
        <v>20.7</v>
      </c>
      <c r="S14" s="324">
        <v>21</v>
      </c>
      <c r="T14" s="324">
        <v>21.6</v>
      </c>
      <c r="U14" s="324">
        <v>22.2</v>
      </c>
      <c r="V14" s="324">
        <v>22.4</v>
      </c>
      <c r="W14" s="324">
        <v>23</v>
      </c>
      <c r="X14" s="324">
        <v>23.4</v>
      </c>
      <c r="Y14" s="324">
        <v>24.3</v>
      </c>
      <c r="Z14" s="326">
        <v>25.3</v>
      </c>
      <c r="AA14" s="326">
        <v>25.9</v>
      </c>
      <c r="AB14" s="326">
        <v>26.3</v>
      </c>
      <c r="AC14" s="326">
        <v>27.6</v>
      </c>
      <c r="AD14" s="326">
        <v>28.8</v>
      </c>
    </row>
    <row r="15" spans="1:30" s="327" customFormat="1" ht="12.75" customHeight="1" x14ac:dyDescent="0.2">
      <c r="A15" s="834" t="s">
        <v>1111</v>
      </c>
      <c r="B15" s="834"/>
      <c r="C15" s="834"/>
      <c r="D15" s="834"/>
      <c r="E15" s="834"/>
      <c r="F15" s="834"/>
      <c r="G15" s="834"/>
      <c r="H15" s="834"/>
      <c r="I15" s="834"/>
      <c r="J15" s="834"/>
      <c r="K15" s="834"/>
      <c r="L15" s="834"/>
      <c r="M15" s="834"/>
      <c r="N15" s="834"/>
      <c r="O15" s="834"/>
      <c r="P15" s="834"/>
      <c r="Q15" s="834"/>
      <c r="R15" s="834"/>
      <c r="S15" s="834"/>
      <c r="T15" s="834"/>
      <c r="U15" s="834"/>
      <c r="V15" s="834"/>
      <c r="W15" s="834"/>
      <c r="X15" s="834"/>
      <c r="Y15" s="834"/>
      <c r="Z15" s="834"/>
      <c r="AA15" s="834"/>
    </row>
    <row r="16" spans="1:30" s="327" customFormat="1" ht="12.75" customHeight="1" x14ac:dyDescent="0.2">
      <c r="A16" s="835"/>
      <c r="B16" s="835"/>
      <c r="C16" s="835"/>
      <c r="D16" s="835"/>
      <c r="E16" s="835"/>
      <c r="F16" s="835"/>
      <c r="G16" s="835"/>
      <c r="H16" s="835"/>
      <c r="I16" s="835"/>
      <c r="J16" s="835"/>
      <c r="K16" s="835"/>
      <c r="L16" s="835"/>
      <c r="M16" s="835"/>
      <c r="N16" s="835"/>
      <c r="O16" s="835"/>
      <c r="P16" s="835"/>
      <c r="Q16" s="835"/>
      <c r="R16" s="835"/>
      <c r="S16" s="835"/>
      <c r="T16" s="835"/>
      <c r="U16" s="835"/>
      <c r="V16" s="835"/>
      <c r="W16" s="835"/>
      <c r="X16" s="835"/>
      <c r="Y16" s="835"/>
      <c r="Z16" s="835"/>
      <c r="AA16" s="835"/>
    </row>
    <row r="17" spans="1:27" s="328" customFormat="1" ht="12.75" customHeight="1" x14ac:dyDescent="0.2">
      <c r="A17" s="836" t="s">
        <v>1112</v>
      </c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6"/>
      <c r="P17" s="836"/>
      <c r="Q17" s="836"/>
      <c r="R17" s="836"/>
      <c r="S17" s="836"/>
      <c r="T17" s="836"/>
      <c r="U17" s="836"/>
      <c r="V17" s="836"/>
      <c r="W17" s="836"/>
      <c r="X17" s="836"/>
      <c r="Y17" s="836"/>
      <c r="Z17" s="836"/>
      <c r="AA17" s="836"/>
    </row>
    <row r="18" spans="1:27" s="327" customFormat="1" ht="12.75" customHeight="1" x14ac:dyDescent="0.2">
      <c r="A18" s="837" t="s">
        <v>1113</v>
      </c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7"/>
      <c r="P18" s="837"/>
      <c r="Q18" s="837"/>
      <c r="R18" s="837"/>
      <c r="S18" s="837"/>
      <c r="T18" s="837"/>
      <c r="U18" s="837"/>
      <c r="V18" s="837"/>
      <c r="W18" s="837"/>
      <c r="X18" s="837"/>
      <c r="Y18" s="837"/>
      <c r="Z18" s="837"/>
      <c r="AA18" s="837"/>
    </row>
    <row r="19" spans="1:27" s="327" customFormat="1" ht="12.75" customHeight="1" x14ac:dyDescent="0.2">
      <c r="A19" s="832" t="s">
        <v>1114</v>
      </c>
      <c r="B19" s="832"/>
      <c r="C19" s="832"/>
      <c r="D19" s="832"/>
      <c r="E19" s="832"/>
      <c r="F19" s="832"/>
      <c r="G19" s="832"/>
      <c r="H19" s="832"/>
      <c r="I19" s="832"/>
      <c r="J19" s="832"/>
      <c r="K19" s="832"/>
      <c r="L19" s="832"/>
      <c r="M19" s="832"/>
      <c r="N19" s="832"/>
      <c r="O19" s="832"/>
      <c r="P19" s="832"/>
      <c r="Q19" s="832"/>
      <c r="R19" s="832"/>
      <c r="S19" s="832"/>
      <c r="T19" s="832"/>
      <c r="U19" s="832"/>
      <c r="V19" s="832"/>
      <c r="W19" s="832"/>
      <c r="X19" s="832"/>
      <c r="Y19" s="832"/>
      <c r="Z19" s="832"/>
      <c r="AA19" s="832"/>
    </row>
    <row r="20" spans="1:27" s="327" customFormat="1" ht="12.75" customHeight="1" x14ac:dyDescent="0.2">
      <c r="A20" s="839" t="s">
        <v>1115</v>
      </c>
      <c r="B20" s="839"/>
      <c r="C20" s="839"/>
      <c r="D20" s="839"/>
      <c r="E20" s="839"/>
      <c r="F20" s="839"/>
      <c r="G20" s="839"/>
      <c r="H20" s="839"/>
      <c r="I20" s="839"/>
      <c r="J20" s="839"/>
      <c r="K20" s="839"/>
      <c r="L20" s="839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</row>
    <row r="21" spans="1:27" s="327" customFormat="1" ht="12.75" customHeight="1" x14ac:dyDescent="0.2">
      <c r="A21" s="839" t="s">
        <v>1116</v>
      </c>
      <c r="B21" s="839"/>
      <c r="C21" s="839"/>
      <c r="D21" s="839"/>
      <c r="E21" s="839"/>
      <c r="F21" s="839"/>
      <c r="G21" s="839"/>
      <c r="H21" s="839"/>
      <c r="I21" s="839"/>
      <c r="J21" s="839"/>
      <c r="K21" s="839"/>
      <c r="L21" s="839"/>
      <c r="M21" s="839"/>
      <c r="N21" s="839"/>
      <c r="O21" s="839"/>
      <c r="P21" s="839"/>
      <c r="Q21" s="839"/>
      <c r="R21" s="839"/>
      <c r="S21" s="839"/>
      <c r="T21" s="839"/>
      <c r="U21" s="839"/>
      <c r="V21" s="839"/>
      <c r="W21" s="839"/>
      <c r="X21" s="839"/>
      <c r="Y21" s="839"/>
      <c r="Z21" s="839"/>
      <c r="AA21" s="839"/>
    </row>
    <row r="22" spans="1:27" s="327" customFormat="1" ht="12.75" customHeight="1" x14ac:dyDescent="0.2">
      <c r="A22" s="839"/>
      <c r="B22" s="839"/>
      <c r="C22" s="839"/>
      <c r="D22" s="839"/>
      <c r="E22" s="839"/>
      <c r="F22" s="839"/>
      <c r="G22" s="839"/>
      <c r="H22" s="839"/>
      <c r="I22" s="839"/>
      <c r="J22" s="839"/>
      <c r="K22" s="839"/>
      <c r="L22" s="839"/>
      <c r="M22" s="839"/>
      <c r="N22" s="839"/>
      <c r="O22" s="839"/>
      <c r="P22" s="839"/>
      <c r="Q22" s="839"/>
      <c r="R22" s="839"/>
      <c r="S22" s="839"/>
      <c r="T22" s="839"/>
      <c r="U22" s="839"/>
      <c r="V22" s="839"/>
      <c r="W22" s="839"/>
      <c r="X22" s="839"/>
      <c r="Y22" s="839"/>
      <c r="Z22" s="839"/>
      <c r="AA22" s="839"/>
    </row>
    <row r="23" spans="1:27" s="327" customFormat="1" ht="12.75" customHeight="1" x14ac:dyDescent="0.2">
      <c r="A23" s="840" t="s">
        <v>1117</v>
      </c>
      <c r="B23" s="840"/>
      <c r="C23" s="840"/>
      <c r="D23" s="840"/>
      <c r="E23" s="840"/>
      <c r="F23" s="840"/>
      <c r="G23" s="840"/>
      <c r="H23" s="840"/>
      <c r="I23" s="840"/>
      <c r="J23" s="840"/>
      <c r="K23" s="840"/>
      <c r="L23" s="840"/>
      <c r="M23" s="840"/>
      <c r="N23" s="840"/>
      <c r="O23" s="840"/>
      <c r="P23" s="840"/>
      <c r="Q23" s="840"/>
      <c r="R23" s="840"/>
      <c r="S23" s="840"/>
      <c r="T23" s="840"/>
      <c r="U23" s="840"/>
      <c r="V23" s="840"/>
      <c r="W23" s="840"/>
      <c r="X23" s="840"/>
      <c r="Y23" s="840"/>
      <c r="Z23" s="840"/>
      <c r="AA23" s="840"/>
    </row>
    <row r="24" spans="1:27" s="327" customFormat="1" ht="38.25" customHeight="1" x14ac:dyDescent="0.2">
      <c r="A24" s="841" t="s">
        <v>1118</v>
      </c>
      <c r="B24" s="841"/>
      <c r="C24" s="841"/>
      <c r="D24" s="841"/>
      <c r="E24" s="841"/>
      <c r="F24" s="841"/>
      <c r="G24" s="841"/>
      <c r="H24" s="841"/>
      <c r="I24" s="841"/>
      <c r="J24" s="841"/>
      <c r="K24" s="841"/>
      <c r="L24" s="841"/>
      <c r="M24" s="841"/>
      <c r="N24" s="841"/>
      <c r="O24" s="841"/>
      <c r="P24" s="841"/>
      <c r="Q24" s="841"/>
      <c r="R24" s="841"/>
      <c r="S24" s="841"/>
      <c r="T24" s="841"/>
      <c r="U24" s="841"/>
      <c r="V24" s="841"/>
      <c r="W24" s="841"/>
      <c r="X24" s="841"/>
      <c r="Y24" s="841"/>
      <c r="Z24" s="841"/>
      <c r="AA24" s="841"/>
    </row>
    <row r="25" spans="1:27" s="327" customFormat="1" ht="12.75" customHeight="1" x14ac:dyDescent="0.2">
      <c r="A25" s="841" t="s">
        <v>1119</v>
      </c>
      <c r="B25" s="841"/>
      <c r="C25" s="841"/>
      <c r="D25" s="841"/>
      <c r="E25" s="841"/>
      <c r="F25" s="841"/>
      <c r="G25" s="841"/>
      <c r="H25" s="841"/>
      <c r="I25" s="841"/>
      <c r="J25" s="841"/>
      <c r="K25" s="841"/>
      <c r="L25" s="841"/>
      <c r="M25" s="841"/>
      <c r="N25" s="841"/>
      <c r="O25" s="841"/>
      <c r="P25" s="841"/>
      <c r="Q25" s="841"/>
      <c r="R25" s="841"/>
      <c r="S25" s="841"/>
      <c r="T25" s="841"/>
      <c r="U25" s="841"/>
      <c r="V25" s="841"/>
      <c r="W25" s="841"/>
      <c r="X25" s="841"/>
      <c r="Y25" s="841"/>
      <c r="Z25" s="841"/>
      <c r="AA25" s="841"/>
    </row>
    <row r="26" spans="1:27" s="327" customFormat="1" ht="12.75" customHeight="1" x14ac:dyDescent="0.2">
      <c r="A26" s="841"/>
      <c r="B26" s="841"/>
      <c r="C26" s="841"/>
      <c r="D26" s="841"/>
      <c r="E26" s="841"/>
      <c r="F26" s="841"/>
      <c r="G26" s="841"/>
      <c r="H26" s="841"/>
      <c r="I26" s="841"/>
      <c r="J26" s="841"/>
      <c r="K26" s="841"/>
      <c r="L26" s="841"/>
      <c r="M26" s="841"/>
      <c r="N26" s="841"/>
      <c r="O26" s="841"/>
      <c r="P26" s="841"/>
      <c r="Q26" s="841"/>
      <c r="R26" s="841"/>
      <c r="S26" s="841"/>
      <c r="T26" s="841"/>
      <c r="U26" s="841"/>
      <c r="V26" s="841"/>
      <c r="W26" s="841"/>
      <c r="X26" s="841"/>
      <c r="Y26" s="841"/>
      <c r="Z26" s="841"/>
      <c r="AA26" s="841"/>
    </row>
    <row r="27" spans="1:27" s="327" customFormat="1" ht="12.75" customHeight="1" x14ac:dyDescent="0.2">
      <c r="A27" s="842" t="s">
        <v>1120</v>
      </c>
      <c r="B27" s="842"/>
      <c r="C27" s="842"/>
      <c r="D27" s="842"/>
      <c r="E27" s="842"/>
      <c r="F27" s="842"/>
      <c r="G27" s="842"/>
      <c r="H27" s="842"/>
      <c r="I27" s="842"/>
      <c r="J27" s="842"/>
      <c r="K27" s="842"/>
      <c r="L27" s="842"/>
      <c r="M27" s="842"/>
      <c r="N27" s="842"/>
      <c r="O27" s="842"/>
      <c r="P27" s="842"/>
      <c r="Q27" s="842"/>
      <c r="R27" s="842"/>
      <c r="S27" s="842"/>
      <c r="T27" s="842"/>
      <c r="U27" s="842"/>
      <c r="V27" s="842"/>
      <c r="W27" s="842"/>
      <c r="X27" s="842"/>
      <c r="Y27" s="842"/>
      <c r="Z27" s="842"/>
      <c r="AA27" s="842"/>
    </row>
    <row r="28" spans="1:27" s="327" customFormat="1" ht="12.75" customHeight="1" x14ac:dyDescent="0.2">
      <c r="A28" s="843" t="s">
        <v>1121</v>
      </c>
      <c r="B28" s="843"/>
      <c r="C28" s="843"/>
      <c r="D28" s="843"/>
      <c r="E28" s="843"/>
      <c r="F28" s="843"/>
      <c r="G28" s="843"/>
      <c r="H28" s="843"/>
      <c r="I28" s="843"/>
      <c r="J28" s="843"/>
      <c r="K28" s="843"/>
      <c r="L28" s="843"/>
      <c r="M28" s="843"/>
      <c r="N28" s="843"/>
      <c r="O28" s="843"/>
      <c r="P28" s="843"/>
      <c r="Q28" s="843"/>
      <c r="R28" s="843"/>
      <c r="S28" s="843"/>
      <c r="T28" s="843"/>
      <c r="U28" s="843"/>
      <c r="V28" s="843"/>
      <c r="W28" s="843"/>
      <c r="X28" s="843"/>
      <c r="Y28" s="843"/>
      <c r="Z28" s="843"/>
      <c r="AA28" s="843"/>
    </row>
    <row r="29" spans="1:27" s="327" customFormat="1" ht="12.75" customHeight="1" x14ac:dyDescent="0.2">
      <c r="A29" s="844" t="s">
        <v>1122</v>
      </c>
      <c r="B29" s="844"/>
      <c r="C29" s="844"/>
      <c r="D29" s="844"/>
      <c r="E29" s="844"/>
      <c r="F29" s="844"/>
      <c r="G29" s="844"/>
      <c r="H29" s="844"/>
      <c r="I29" s="844"/>
      <c r="J29" s="844"/>
      <c r="K29" s="844"/>
      <c r="L29" s="844"/>
      <c r="M29" s="844"/>
      <c r="N29" s="844"/>
      <c r="O29" s="844"/>
      <c r="P29" s="844"/>
      <c r="Q29" s="844"/>
      <c r="R29" s="844"/>
      <c r="S29" s="844"/>
      <c r="T29" s="844"/>
      <c r="U29" s="844"/>
      <c r="V29" s="844"/>
      <c r="W29" s="844"/>
      <c r="X29" s="844"/>
      <c r="Y29" s="844"/>
      <c r="Z29" s="844"/>
      <c r="AA29" s="844"/>
    </row>
    <row r="30" spans="1:27" s="327" customFormat="1" ht="12.75" customHeight="1" x14ac:dyDescent="0.2">
      <c r="A30" s="845" t="s">
        <v>1123</v>
      </c>
      <c r="B30" s="845"/>
      <c r="C30" s="845"/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</row>
    <row r="31" spans="1:27" s="327" customFormat="1" ht="12.75" customHeight="1" x14ac:dyDescent="0.2">
      <c r="A31" s="838" t="s">
        <v>1124</v>
      </c>
      <c r="B31" s="838"/>
      <c r="C31" s="838"/>
      <c r="D31" s="838"/>
      <c r="E31" s="838"/>
      <c r="F31" s="838"/>
      <c r="G31" s="838"/>
      <c r="H31" s="838"/>
      <c r="I31" s="838"/>
      <c r="J31" s="838"/>
      <c r="K31" s="838"/>
      <c r="L31" s="838"/>
      <c r="M31" s="838"/>
      <c r="N31" s="838"/>
      <c r="O31" s="838"/>
      <c r="P31" s="838"/>
      <c r="Q31" s="838"/>
      <c r="R31" s="838"/>
      <c r="S31" s="838"/>
      <c r="T31" s="838"/>
      <c r="U31" s="838"/>
      <c r="V31" s="838"/>
      <c r="W31" s="838"/>
      <c r="X31" s="838"/>
      <c r="Y31" s="838"/>
      <c r="Z31" s="838"/>
      <c r="AA31" s="838"/>
    </row>
    <row r="32" spans="1:27" s="327" customFormat="1" ht="12.75" customHeight="1" x14ac:dyDescent="0.2">
      <c r="A32" s="844" t="s">
        <v>1125</v>
      </c>
      <c r="B32" s="844"/>
      <c r="C32" s="844"/>
      <c r="D32" s="844"/>
      <c r="E32" s="844"/>
      <c r="F32" s="844"/>
      <c r="G32" s="844"/>
      <c r="H32" s="844"/>
      <c r="I32" s="844"/>
      <c r="J32" s="844"/>
      <c r="K32" s="844"/>
      <c r="L32" s="844"/>
      <c r="M32" s="844"/>
      <c r="N32" s="844"/>
      <c r="O32" s="844"/>
      <c r="P32" s="844"/>
      <c r="Q32" s="844"/>
      <c r="R32" s="844"/>
      <c r="S32" s="844"/>
      <c r="T32" s="844"/>
      <c r="U32" s="844"/>
      <c r="V32" s="844"/>
      <c r="W32" s="844"/>
      <c r="X32" s="844"/>
      <c r="Y32" s="844"/>
      <c r="Z32" s="844"/>
      <c r="AA32" s="844"/>
    </row>
    <row r="33" spans="1:27" s="327" customFormat="1" ht="12.75" customHeight="1" x14ac:dyDescent="0.2">
      <c r="A33" s="838" t="s">
        <v>1126</v>
      </c>
      <c r="B33" s="838"/>
      <c r="C33" s="838"/>
      <c r="D33" s="838"/>
      <c r="E33" s="838"/>
      <c r="F33" s="838"/>
      <c r="G33" s="838"/>
      <c r="H33" s="838"/>
      <c r="I33" s="838"/>
      <c r="J33" s="838"/>
      <c r="K33" s="838"/>
      <c r="L33" s="838"/>
      <c r="M33" s="838"/>
      <c r="N33" s="838"/>
      <c r="O33" s="838"/>
      <c r="P33" s="838"/>
      <c r="Q33" s="838"/>
      <c r="R33" s="838"/>
      <c r="S33" s="838"/>
      <c r="T33" s="838"/>
      <c r="U33" s="838"/>
      <c r="V33" s="838"/>
      <c r="W33" s="838"/>
      <c r="X33" s="838"/>
      <c r="Y33" s="838"/>
      <c r="Z33" s="838"/>
      <c r="AA33" s="838"/>
    </row>
    <row r="34" spans="1:27" s="327" customFormat="1" ht="12.75" customHeight="1" x14ac:dyDescent="0.2">
      <c r="A34" s="844" t="s">
        <v>1127</v>
      </c>
      <c r="B34" s="844"/>
      <c r="C34" s="844"/>
      <c r="D34" s="844"/>
      <c r="E34" s="844"/>
      <c r="F34" s="844"/>
      <c r="G34" s="844"/>
      <c r="H34" s="844"/>
      <c r="I34" s="844"/>
      <c r="J34" s="844"/>
      <c r="K34" s="844"/>
      <c r="L34" s="844"/>
      <c r="M34" s="844"/>
      <c r="N34" s="844"/>
      <c r="O34" s="844"/>
      <c r="P34" s="844"/>
      <c r="Q34" s="844"/>
      <c r="R34" s="844"/>
      <c r="S34" s="844"/>
      <c r="T34" s="844"/>
      <c r="U34" s="844"/>
      <c r="V34" s="844"/>
      <c r="W34" s="844"/>
      <c r="X34" s="844"/>
      <c r="Y34" s="844"/>
      <c r="Z34" s="844"/>
      <c r="AA34" s="844"/>
    </row>
    <row r="35" spans="1:27" s="327" customFormat="1" ht="12.75" customHeight="1" x14ac:dyDescent="0.2">
      <c r="A35" s="845" t="s">
        <v>1128</v>
      </c>
      <c r="B35" s="845"/>
      <c r="C35" s="845"/>
      <c r="D35" s="845"/>
      <c r="E35" s="845"/>
      <c r="F35" s="845"/>
      <c r="G35" s="845"/>
      <c r="H35" s="845"/>
      <c r="I35" s="845"/>
      <c r="J35" s="845"/>
      <c r="K35" s="845"/>
      <c r="L35" s="845"/>
      <c r="M35" s="845"/>
      <c r="N35" s="845"/>
      <c r="O35" s="845"/>
      <c r="P35" s="845"/>
      <c r="Q35" s="845"/>
      <c r="R35" s="845"/>
      <c r="S35" s="845"/>
      <c r="T35" s="845"/>
      <c r="U35" s="845"/>
      <c r="V35" s="845"/>
      <c r="W35" s="845"/>
      <c r="X35" s="845"/>
      <c r="Y35" s="845"/>
      <c r="Z35" s="845"/>
      <c r="AA35" s="845"/>
    </row>
    <row r="36" spans="1:27" s="327" customFormat="1" ht="12.75" customHeight="1" x14ac:dyDescent="0.2">
      <c r="A36" s="838" t="s">
        <v>1129</v>
      </c>
      <c r="B36" s="838"/>
      <c r="C36" s="838"/>
      <c r="D36" s="838"/>
      <c r="E36" s="838"/>
      <c r="F36" s="838"/>
      <c r="G36" s="838"/>
      <c r="H36" s="838"/>
      <c r="I36" s="838"/>
      <c r="J36" s="838"/>
      <c r="K36" s="838"/>
      <c r="L36" s="838"/>
      <c r="M36" s="838"/>
      <c r="N36" s="838"/>
      <c r="O36" s="838"/>
      <c r="P36" s="838"/>
      <c r="Q36" s="838"/>
      <c r="R36" s="838"/>
      <c r="S36" s="838"/>
      <c r="T36" s="838"/>
      <c r="U36" s="838"/>
      <c r="V36" s="838"/>
      <c r="W36" s="838"/>
      <c r="X36" s="838"/>
      <c r="Y36" s="838"/>
      <c r="Z36" s="838"/>
      <c r="AA36" s="838"/>
    </row>
    <row r="37" spans="1:27" s="327" customFormat="1" ht="12.75" customHeight="1" x14ac:dyDescent="0.2">
      <c r="A37" s="844" t="s">
        <v>1130</v>
      </c>
      <c r="B37" s="844"/>
      <c r="C37" s="844"/>
      <c r="D37" s="844"/>
      <c r="E37" s="844"/>
      <c r="F37" s="844"/>
      <c r="G37" s="844"/>
      <c r="H37" s="844"/>
      <c r="I37" s="844"/>
      <c r="J37" s="844"/>
      <c r="K37" s="844"/>
      <c r="L37" s="844"/>
      <c r="M37" s="844"/>
      <c r="N37" s="844"/>
      <c r="O37" s="844"/>
      <c r="P37" s="844"/>
      <c r="Q37" s="844"/>
      <c r="R37" s="844"/>
      <c r="S37" s="844"/>
      <c r="T37" s="844"/>
      <c r="U37" s="844"/>
      <c r="V37" s="844"/>
      <c r="W37" s="844"/>
      <c r="X37" s="844"/>
      <c r="Y37" s="844"/>
      <c r="Z37" s="844"/>
      <c r="AA37" s="844"/>
    </row>
    <row r="38" spans="1:27" s="327" customFormat="1" ht="12.75" customHeight="1" x14ac:dyDescent="0.2">
      <c r="A38" s="838" t="s">
        <v>1131</v>
      </c>
      <c r="B38" s="838"/>
      <c r="C38" s="838"/>
      <c r="D38" s="838"/>
      <c r="E38" s="838"/>
      <c r="F38" s="838"/>
      <c r="G38" s="838"/>
      <c r="H38" s="838"/>
      <c r="I38" s="838"/>
      <c r="J38" s="838"/>
      <c r="K38" s="838"/>
      <c r="L38" s="838"/>
      <c r="M38" s="838"/>
      <c r="N38" s="838"/>
      <c r="O38" s="838"/>
      <c r="P38" s="838"/>
      <c r="Q38" s="838"/>
      <c r="R38" s="838"/>
      <c r="S38" s="838"/>
      <c r="T38" s="838"/>
      <c r="U38" s="838"/>
      <c r="V38" s="838"/>
      <c r="W38" s="838"/>
      <c r="X38" s="838"/>
      <c r="Y38" s="838"/>
      <c r="Z38" s="838"/>
      <c r="AA38" s="838"/>
    </row>
    <row r="39" spans="1:27" s="327" customFormat="1" ht="12.75" customHeight="1" x14ac:dyDescent="0.2">
      <c r="A39" s="843" t="s">
        <v>1132</v>
      </c>
      <c r="B39" s="843"/>
      <c r="C39" s="843"/>
      <c r="D39" s="843"/>
      <c r="E39" s="843"/>
      <c r="F39" s="843"/>
      <c r="G39" s="843"/>
      <c r="H39" s="843"/>
      <c r="I39" s="843"/>
      <c r="J39" s="843"/>
      <c r="K39" s="843"/>
      <c r="L39" s="843"/>
      <c r="M39" s="843"/>
      <c r="N39" s="843"/>
      <c r="O39" s="843"/>
      <c r="P39" s="843"/>
      <c r="Q39" s="843"/>
      <c r="R39" s="843"/>
      <c r="S39" s="843"/>
      <c r="T39" s="843"/>
      <c r="U39" s="843"/>
      <c r="V39" s="843"/>
      <c r="W39" s="843"/>
      <c r="X39" s="843"/>
      <c r="Y39" s="843"/>
      <c r="Z39" s="843"/>
      <c r="AA39" s="843"/>
    </row>
    <row r="40" spans="1:27" s="327" customFormat="1" ht="12.75" customHeight="1" x14ac:dyDescent="0.2">
      <c r="A40" s="845" t="s">
        <v>1133</v>
      </c>
      <c r="B40" s="845"/>
      <c r="C40" s="845"/>
      <c r="D40" s="845"/>
      <c r="E40" s="845"/>
      <c r="F40" s="845"/>
      <c r="G40" s="845"/>
      <c r="H40" s="845"/>
      <c r="I40" s="845"/>
      <c r="J40" s="845"/>
      <c r="K40" s="845"/>
      <c r="L40" s="845"/>
      <c r="M40" s="845"/>
      <c r="N40" s="845"/>
      <c r="O40" s="845"/>
      <c r="P40" s="845"/>
      <c r="Q40" s="845"/>
      <c r="R40" s="845"/>
      <c r="S40" s="845"/>
      <c r="T40" s="845"/>
      <c r="U40" s="845"/>
      <c r="V40" s="845"/>
      <c r="W40" s="845"/>
      <c r="X40" s="845"/>
      <c r="Y40" s="845"/>
      <c r="Z40" s="845"/>
      <c r="AA40" s="845"/>
    </row>
    <row r="41" spans="1:27" s="327" customFormat="1" ht="12.75" customHeight="1" x14ac:dyDescent="0.2">
      <c r="A41" s="846" t="s">
        <v>1134</v>
      </c>
      <c r="B41" s="846"/>
      <c r="C41" s="846"/>
      <c r="D41" s="846"/>
      <c r="E41" s="846"/>
      <c r="F41" s="846"/>
      <c r="G41" s="846"/>
      <c r="H41" s="846"/>
      <c r="I41" s="846"/>
      <c r="J41" s="846"/>
      <c r="K41" s="846"/>
      <c r="L41" s="846"/>
      <c r="M41" s="846"/>
      <c r="N41" s="846"/>
      <c r="O41" s="846"/>
      <c r="P41" s="846"/>
      <c r="Q41" s="846"/>
      <c r="R41" s="846"/>
      <c r="S41" s="846"/>
      <c r="T41" s="846"/>
      <c r="U41" s="846"/>
      <c r="V41" s="846"/>
      <c r="W41" s="846"/>
      <c r="X41" s="846"/>
      <c r="Y41" s="846"/>
      <c r="Z41" s="846"/>
      <c r="AA41" s="846"/>
    </row>
    <row r="42" spans="1:27" s="331" customFormat="1" ht="13.5" customHeight="1" x14ac:dyDescent="0.2">
      <c r="A42" s="302"/>
      <c r="B42" s="329"/>
      <c r="C42" s="329"/>
      <c r="D42" s="329"/>
      <c r="E42" s="329"/>
      <c r="F42" s="329"/>
      <c r="G42" s="330"/>
      <c r="H42" s="330"/>
      <c r="I42" s="330"/>
      <c r="J42" s="330"/>
      <c r="K42" s="330"/>
      <c r="L42" s="330"/>
      <c r="M42" s="329"/>
    </row>
    <row r="43" spans="1:27" s="331" customFormat="1" ht="13.5" customHeight="1" x14ac:dyDescent="0.2">
      <c r="A43" s="302"/>
      <c r="B43" s="329"/>
      <c r="C43" s="329"/>
      <c r="D43" s="329"/>
      <c r="E43" s="329"/>
      <c r="F43" s="329"/>
      <c r="G43" s="329"/>
      <c r="H43" s="329"/>
      <c r="I43" s="329"/>
      <c r="J43" s="329"/>
      <c r="K43" s="329"/>
      <c r="L43" s="329"/>
      <c r="M43" s="329"/>
    </row>
    <row r="44" spans="1:27" s="331" customFormat="1" x14ac:dyDescent="0.2">
      <c r="A44" s="302"/>
      <c r="B44" s="332"/>
      <c r="C44" s="332"/>
      <c r="D44" s="332"/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</row>
    <row r="47" spans="1:27" x14ac:dyDescent="0.2">
      <c r="B47" s="333"/>
      <c r="C47" s="333"/>
      <c r="D47" s="333"/>
      <c r="E47" s="333"/>
      <c r="F47" s="333"/>
      <c r="G47" s="333"/>
      <c r="H47" s="333"/>
      <c r="I47" s="333"/>
      <c r="J47" s="333"/>
      <c r="K47" s="333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</row>
  </sheetData>
  <mergeCells count="28">
    <mergeCell ref="A38:AA38"/>
    <mergeCell ref="A39:AA39"/>
    <mergeCell ref="A40:AA40"/>
    <mergeCell ref="A41:AA41"/>
    <mergeCell ref="A32:AA32"/>
    <mergeCell ref="A33:AA33"/>
    <mergeCell ref="A34:AA34"/>
    <mergeCell ref="A35:AA35"/>
    <mergeCell ref="A36:AA36"/>
    <mergeCell ref="A37:AA37"/>
    <mergeCell ref="A31:AA31"/>
    <mergeCell ref="A20:AA20"/>
    <mergeCell ref="A21:AA21"/>
    <mergeCell ref="A22:AA22"/>
    <mergeCell ref="A23:AA23"/>
    <mergeCell ref="A24:AA24"/>
    <mergeCell ref="A25:AA25"/>
    <mergeCell ref="A26:AA26"/>
    <mergeCell ref="A27:AA27"/>
    <mergeCell ref="A28:AA28"/>
    <mergeCell ref="A29:AA29"/>
    <mergeCell ref="A30:AA30"/>
    <mergeCell ref="A19:AA19"/>
    <mergeCell ref="A1:AD1"/>
    <mergeCell ref="A15:AA15"/>
    <mergeCell ref="A16:AA16"/>
    <mergeCell ref="A17:AA17"/>
    <mergeCell ref="A18:AA1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P48"/>
  <sheetViews>
    <sheetView topLeftCell="A13" workbookViewId="0">
      <selection activeCell="G45" sqref="G45"/>
    </sheetView>
  </sheetViews>
  <sheetFormatPr defaultRowHeight="15" x14ac:dyDescent="0.25"/>
  <cols>
    <col min="1" max="1" width="13.85546875" style="31" bestFit="1" customWidth="1"/>
    <col min="3" max="3" width="12.42578125" bestFit="1" customWidth="1"/>
    <col min="4" max="4" width="10.5703125" bestFit="1" customWidth="1"/>
    <col min="5" max="5" width="12.28515625" bestFit="1" customWidth="1"/>
    <col min="7" max="7" width="13.7109375" bestFit="1" customWidth="1"/>
    <col min="8" max="8" width="12.5703125" customWidth="1"/>
    <col min="9" max="9" width="37" customWidth="1"/>
  </cols>
  <sheetData>
    <row r="1" spans="1:16" s="60" customFormat="1" x14ac:dyDescent="0.25">
      <c r="A1" s="203" t="s">
        <v>594</v>
      </c>
      <c r="B1" s="58" t="s">
        <v>114</v>
      </c>
      <c r="C1" s="58" t="s">
        <v>115</v>
      </c>
      <c r="D1" s="59" t="s">
        <v>116</v>
      </c>
      <c r="E1" s="58" t="s">
        <v>117</v>
      </c>
      <c r="F1" s="58" t="s">
        <v>118</v>
      </c>
      <c r="G1" s="58" t="s">
        <v>119</v>
      </c>
      <c r="H1" s="58" t="s">
        <v>117</v>
      </c>
      <c r="I1" s="59" t="s">
        <v>120</v>
      </c>
    </row>
    <row r="2" spans="1:16" x14ac:dyDescent="0.25">
      <c r="A2" s="191">
        <v>1</v>
      </c>
      <c r="B2" s="62" t="s">
        <v>124</v>
      </c>
      <c r="C2" s="61" t="s">
        <v>125</v>
      </c>
      <c r="D2" s="63">
        <v>2000</v>
      </c>
      <c r="E2" s="61" t="s">
        <v>126</v>
      </c>
      <c r="F2" s="62" t="s">
        <v>123</v>
      </c>
      <c r="G2" s="71">
        <f>D2</f>
        <v>2000</v>
      </c>
      <c r="H2" s="61" t="str">
        <f t="shared" ref="H2:H45" si="0">E2</f>
        <v>lbs</v>
      </c>
      <c r="I2" s="69"/>
    </row>
    <row r="3" spans="1:16" x14ac:dyDescent="0.25">
      <c r="A3" s="191">
        <v>2</v>
      </c>
      <c r="B3" s="62" t="s">
        <v>124</v>
      </c>
      <c r="C3" s="61" t="s">
        <v>125</v>
      </c>
      <c r="D3" s="65">
        <v>907.18499999999995</v>
      </c>
      <c r="E3" s="61" t="s">
        <v>127</v>
      </c>
      <c r="F3" s="62" t="s">
        <v>123</v>
      </c>
      <c r="G3" s="71">
        <f t="shared" ref="G3:G33" si="1">D3</f>
        <v>907.18499999999995</v>
      </c>
      <c r="H3" s="61" t="str">
        <f t="shared" si="0"/>
        <v>kgs</v>
      </c>
      <c r="I3" s="69"/>
    </row>
    <row r="4" spans="1:16" x14ac:dyDescent="0.25">
      <c r="A4" s="191">
        <v>3</v>
      </c>
      <c r="B4" s="62" t="s">
        <v>124</v>
      </c>
      <c r="C4" s="61" t="s">
        <v>128</v>
      </c>
      <c r="D4" s="63">
        <v>1000</v>
      </c>
      <c r="E4" s="61" t="s">
        <v>127</v>
      </c>
      <c r="F4" s="62" t="s">
        <v>123</v>
      </c>
      <c r="G4" s="71">
        <f t="shared" si="1"/>
        <v>1000</v>
      </c>
      <c r="H4" s="61" t="str">
        <f t="shared" si="0"/>
        <v>kgs</v>
      </c>
      <c r="I4" s="69"/>
    </row>
    <row r="5" spans="1:16" x14ac:dyDescent="0.25">
      <c r="A5" s="191">
        <v>4</v>
      </c>
      <c r="B5" s="62" t="s">
        <v>124</v>
      </c>
      <c r="C5" s="61" t="s">
        <v>128</v>
      </c>
      <c r="D5" s="65">
        <f>tonnes_to_kgs/tons_to_kgs</f>
        <v>1.1023109950010197</v>
      </c>
      <c r="E5" s="61" t="s">
        <v>129</v>
      </c>
      <c r="F5" s="62" t="s">
        <v>123</v>
      </c>
      <c r="G5" s="71">
        <f t="shared" si="1"/>
        <v>1.1023109950010197</v>
      </c>
      <c r="H5" s="61" t="str">
        <f t="shared" si="0"/>
        <v>tons</v>
      </c>
      <c r="I5" s="69"/>
    </row>
    <row r="6" spans="1:16" x14ac:dyDescent="0.25">
      <c r="A6" s="191">
        <v>5</v>
      </c>
      <c r="B6" s="62" t="s">
        <v>124</v>
      </c>
      <c r="C6" s="61" t="s">
        <v>130</v>
      </c>
      <c r="D6" s="65">
        <v>453.58199999999999</v>
      </c>
      <c r="E6" s="61" t="s">
        <v>131</v>
      </c>
      <c r="F6" s="62" t="s">
        <v>123</v>
      </c>
      <c r="G6" s="71">
        <f t="shared" si="1"/>
        <v>453.58199999999999</v>
      </c>
      <c r="H6" s="61" t="str">
        <f t="shared" si="0"/>
        <v>grams</v>
      </c>
      <c r="I6" s="69"/>
    </row>
    <row r="7" spans="1:16" x14ac:dyDescent="0.25">
      <c r="A7" s="191">
        <v>6</v>
      </c>
      <c r="B7" s="66" t="s">
        <v>124</v>
      </c>
      <c r="C7" s="62" t="s">
        <v>132</v>
      </c>
      <c r="D7" s="64">
        <v>1000</v>
      </c>
      <c r="E7" s="62" t="s">
        <v>131</v>
      </c>
      <c r="F7" s="62" t="s">
        <v>123</v>
      </c>
      <c r="G7" s="71">
        <f t="shared" si="1"/>
        <v>1000</v>
      </c>
      <c r="H7" s="61" t="str">
        <f t="shared" si="0"/>
        <v>grams</v>
      </c>
      <c r="I7" s="69"/>
    </row>
    <row r="8" spans="1:16" s="31" customFormat="1" x14ac:dyDescent="0.25">
      <c r="A8" s="191">
        <v>7</v>
      </c>
      <c r="B8" s="66" t="s">
        <v>124</v>
      </c>
      <c r="C8" s="62" t="s">
        <v>132</v>
      </c>
      <c r="D8" s="155">
        <v>2.2046199999999998</v>
      </c>
      <c r="E8" s="62" t="s">
        <v>126</v>
      </c>
      <c r="F8" s="62" t="s">
        <v>123</v>
      </c>
      <c r="G8" s="71">
        <f t="shared" si="1"/>
        <v>2.2046199999999998</v>
      </c>
      <c r="H8" s="61" t="str">
        <f t="shared" si="0"/>
        <v>lbs</v>
      </c>
      <c r="I8" s="69"/>
    </row>
    <row r="9" spans="1:16" x14ac:dyDescent="0.25">
      <c r="A9" s="191">
        <v>8</v>
      </c>
      <c r="B9" s="62" t="s">
        <v>121</v>
      </c>
      <c r="C9" s="61" t="s">
        <v>133</v>
      </c>
      <c r="D9" s="65">
        <v>3.7854100000000002</v>
      </c>
      <c r="E9" s="61" t="s">
        <v>134</v>
      </c>
      <c r="F9" s="62" t="s">
        <v>123</v>
      </c>
      <c r="G9" s="71">
        <f t="shared" si="1"/>
        <v>3.7854100000000002</v>
      </c>
      <c r="H9" s="61" t="str">
        <f t="shared" si="0"/>
        <v>Liters</v>
      </c>
      <c r="I9" s="69"/>
    </row>
    <row r="10" spans="1:16" x14ac:dyDescent="0.25">
      <c r="A10" s="191">
        <v>9</v>
      </c>
      <c r="B10" s="62" t="s">
        <v>121</v>
      </c>
      <c r="C10" s="61" t="s">
        <v>133</v>
      </c>
      <c r="D10" s="70">
        <v>3.7854099999999999E-3</v>
      </c>
      <c r="E10" s="61" t="s">
        <v>122</v>
      </c>
      <c r="F10" s="62" t="s">
        <v>123</v>
      </c>
      <c r="G10" s="71">
        <f t="shared" si="1"/>
        <v>3.7854099999999999E-3</v>
      </c>
      <c r="H10" s="61" t="str">
        <f t="shared" si="0"/>
        <v>m^3</v>
      </c>
      <c r="I10" s="69"/>
      <c r="M10" t="s">
        <v>2116</v>
      </c>
    </row>
    <row r="11" spans="1:16" x14ac:dyDescent="0.25">
      <c r="A11" s="191">
        <v>10</v>
      </c>
      <c r="B11" s="62" t="s">
        <v>121</v>
      </c>
      <c r="C11" s="61" t="s">
        <v>135</v>
      </c>
      <c r="D11" s="63">
        <v>1000</v>
      </c>
      <c r="E11" s="61" t="s">
        <v>136</v>
      </c>
      <c r="F11" s="62" t="s">
        <v>123</v>
      </c>
      <c r="G11" s="71">
        <f t="shared" si="1"/>
        <v>1000</v>
      </c>
      <c r="H11" s="61" t="str">
        <f t="shared" si="0"/>
        <v>L</v>
      </c>
      <c r="I11" s="69"/>
    </row>
    <row r="12" spans="1:16" x14ac:dyDescent="0.25">
      <c r="A12" s="191">
        <v>11</v>
      </c>
      <c r="B12" s="62" t="s">
        <v>121</v>
      </c>
      <c r="C12" s="67" t="s">
        <v>137</v>
      </c>
      <c r="D12" s="68">
        <v>2.83168E-2</v>
      </c>
      <c r="E12" s="67" t="s">
        <v>122</v>
      </c>
      <c r="F12" s="62" t="s">
        <v>123</v>
      </c>
      <c r="G12" s="71">
        <f>D12</f>
        <v>2.83168E-2</v>
      </c>
      <c r="H12" s="61" t="str">
        <f t="shared" si="0"/>
        <v>m^3</v>
      </c>
      <c r="I12" s="69"/>
    </row>
    <row r="13" spans="1:16" s="31" customFormat="1" x14ac:dyDescent="0.25">
      <c r="A13" s="191">
        <v>12</v>
      </c>
      <c r="B13" s="62" t="s">
        <v>121</v>
      </c>
      <c r="C13" s="67" t="s">
        <v>295</v>
      </c>
      <c r="D13" s="68">
        <v>1000000</v>
      </c>
      <c r="E13" s="67" t="s">
        <v>296</v>
      </c>
      <c r="F13" s="62" t="s">
        <v>123</v>
      </c>
      <c r="G13" s="71">
        <f>D13</f>
        <v>1000000</v>
      </c>
      <c r="H13" s="61" t="str">
        <f>E13</f>
        <v>cm^3</v>
      </c>
      <c r="I13" s="69"/>
      <c r="M13" s="31" t="s">
        <v>1088</v>
      </c>
      <c r="N13" s="31" t="s">
        <v>151</v>
      </c>
      <c r="O13" s="31" t="s">
        <v>391</v>
      </c>
      <c r="P13" s="31" t="s">
        <v>2117</v>
      </c>
    </row>
    <row r="14" spans="1:16" x14ac:dyDescent="0.25">
      <c r="A14" s="191">
        <v>13</v>
      </c>
      <c r="B14" s="62" t="s">
        <v>138</v>
      </c>
      <c r="C14" s="61" t="s">
        <v>139</v>
      </c>
      <c r="D14" s="61">
        <v>3.6</v>
      </c>
      <c r="E14" s="61" t="s">
        <v>140</v>
      </c>
      <c r="F14" s="62" t="s">
        <v>123</v>
      </c>
      <c r="G14" s="71">
        <f t="shared" si="1"/>
        <v>3.6</v>
      </c>
      <c r="H14" s="62" t="str">
        <f t="shared" si="0"/>
        <v>MJ</v>
      </c>
      <c r="I14" s="69"/>
      <c r="M14" t="s">
        <v>2117</v>
      </c>
      <c r="N14" t="s">
        <v>1088</v>
      </c>
      <c r="O14" t="s">
        <v>151</v>
      </c>
      <c r="P14" t="s">
        <v>2118</v>
      </c>
    </row>
    <row r="15" spans="1:16" s="31" customFormat="1" x14ac:dyDescent="0.25">
      <c r="A15" s="191">
        <v>14</v>
      </c>
      <c r="B15" s="62" t="s">
        <v>138</v>
      </c>
      <c r="C15" s="61" t="s">
        <v>153</v>
      </c>
      <c r="D15" s="61">
        <v>1000</v>
      </c>
      <c r="E15" s="61" t="s">
        <v>154</v>
      </c>
      <c r="F15" s="62" t="s">
        <v>123</v>
      </c>
      <c r="G15" s="71">
        <f>D15</f>
        <v>1000</v>
      </c>
      <c r="H15" s="62" t="str">
        <f t="shared" si="0"/>
        <v>kJ</v>
      </c>
      <c r="I15" s="69"/>
    </row>
    <row r="16" spans="1:16" x14ac:dyDescent="0.25">
      <c r="A16" s="191">
        <v>15</v>
      </c>
      <c r="B16" s="62" t="s">
        <v>138</v>
      </c>
      <c r="C16" s="61" t="s">
        <v>153</v>
      </c>
      <c r="D16" s="61">
        <f>1/kWh_to_MJ</f>
        <v>0.27777777777777779</v>
      </c>
      <c r="E16" s="61" t="s">
        <v>142</v>
      </c>
      <c r="F16" s="62" t="s">
        <v>123</v>
      </c>
      <c r="G16" s="71">
        <f t="shared" si="1"/>
        <v>0.27777777777777779</v>
      </c>
      <c r="H16" s="62" t="str">
        <f t="shared" si="0"/>
        <v>kWh</v>
      </c>
      <c r="I16" s="69"/>
    </row>
    <row r="17" spans="1:9" s="31" customFormat="1" x14ac:dyDescent="0.25">
      <c r="A17" s="191">
        <v>16</v>
      </c>
      <c r="B17" s="62" t="s">
        <v>149</v>
      </c>
      <c r="C17" s="61" t="s">
        <v>550</v>
      </c>
      <c r="D17" s="61">
        <v>1000</v>
      </c>
      <c r="E17" s="61" t="s">
        <v>391</v>
      </c>
      <c r="F17" s="62" t="s">
        <v>123</v>
      </c>
      <c r="G17" s="71">
        <f>D17</f>
        <v>1000</v>
      </c>
      <c r="H17" s="62" t="str">
        <f t="shared" si="0"/>
        <v>W</v>
      </c>
      <c r="I17" s="69"/>
    </row>
    <row r="18" spans="1:9" s="31" customFormat="1" x14ac:dyDescent="0.25">
      <c r="A18" s="191">
        <v>17</v>
      </c>
      <c r="B18" s="62" t="s">
        <v>149</v>
      </c>
      <c r="C18" s="61" t="s">
        <v>551</v>
      </c>
      <c r="D18" s="61">
        <v>1000</v>
      </c>
      <c r="E18" s="61" t="s">
        <v>151</v>
      </c>
      <c r="F18" s="62" t="s">
        <v>123</v>
      </c>
      <c r="G18" s="71">
        <f>D18</f>
        <v>1000</v>
      </c>
      <c r="H18" s="62" t="str">
        <f t="shared" si="0"/>
        <v>kW</v>
      </c>
      <c r="I18" s="69"/>
    </row>
    <row r="19" spans="1:9" x14ac:dyDescent="0.25">
      <c r="A19" s="191">
        <v>18</v>
      </c>
      <c r="B19" s="62" t="s">
        <v>138</v>
      </c>
      <c r="C19" s="61" t="s">
        <v>141</v>
      </c>
      <c r="D19" s="61">
        <v>1000</v>
      </c>
      <c r="E19" s="61" t="s">
        <v>143</v>
      </c>
      <c r="F19" s="62" t="s">
        <v>123</v>
      </c>
      <c r="G19" s="71">
        <f t="shared" si="1"/>
        <v>1000</v>
      </c>
      <c r="H19" s="62" t="str">
        <f t="shared" si="0"/>
        <v>J</v>
      </c>
      <c r="I19" s="69"/>
    </row>
    <row r="20" spans="1:9" x14ac:dyDescent="0.25">
      <c r="A20" s="191">
        <v>19</v>
      </c>
      <c r="B20" s="62" t="s">
        <v>144</v>
      </c>
      <c r="C20" s="61" t="s">
        <v>145</v>
      </c>
      <c r="D20" s="61">
        <v>60</v>
      </c>
      <c r="E20" s="61" t="s">
        <v>146</v>
      </c>
      <c r="F20" s="62" t="s">
        <v>123</v>
      </c>
      <c r="G20" s="71">
        <f t="shared" si="1"/>
        <v>60</v>
      </c>
      <c r="H20" s="61" t="str">
        <f t="shared" si="0"/>
        <v>min</v>
      </c>
      <c r="I20" s="69"/>
    </row>
    <row r="21" spans="1:9" x14ac:dyDescent="0.25">
      <c r="A21" s="191">
        <v>20</v>
      </c>
      <c r="B21" s="62" t="s">
        <v>144</v>
      </c>
      <c r="C21" s="61" t="s">
        <v>147</v>
      </c>
      <c r="D21" s="61">
        <v>60</v>
      </c>
      <c r="E21" s="61" t="s">
        <v>148</v>
      </c>
      <c r="F21" s="62" t="s">
        <v>123</v>
      </c>
      <c r="G21" s="71">
        <f t="shared" si="1"/>
        <v>60</v>
      </c>
      <c r="H21" s="61" t="str">
        <f t="shared" si="0"/>
        <v>seconds</v>
      </c>
      <c r="I21" s="69"/>
    </row>
    <row r="22" spans="1:9" s="31" customFormat="1" x14ac:dyDescent="0.25">
      <c r="A22" s="191">
        <v>21</v>
      </c>
      <c r="B22" s="62" t="s">
        <v>144</v>
      </c>
      <c r="C22" s="61" t="s">
        <v>407</v>
      </c>
      <c r="D22" s="61">
        <v>7</v>
      </c>
      <c r="E22" s="61" t="s">
        <v>323</v>
      </c>
      <c r="F22" s="62" t="s">
        <v>123</v>
      </c>
      <c r="G22" s="71">
        <f t="shared" si="1"/>
        <v>7</v>
      </c>
      <c r="H22" s="61" t="str">
        <f t="shared" si="0"/>
        <v>days</v>
      </c>
      <c r="I22" s="69"/>
    </row>
    <row r="23" spans="1:9" x14ac:dyDescent="0.25">
      <c r="A23" s="191">
        <v>22</v>
      </c>
      <c r="B23" s="62" t="s">
        <v>149</v>
      </c>
      <c r="C23" s="61" t="s">
        <v>150</v>
      </c>
      <c r="D23" s="61">
        <v>0.74570000000000003</v>
      </c>
      <c r="E23" s="61" t="s">
        <v>151</v>
      </c>
      <c r="F23" s="62" t="s">
        <v>123</v>
      </c>
      <c r="G23" s="71">
        <f t="shared" si="1"/>
        <v>0.74570000000000003</v>
      </c>
      <c r="H23" s="61" t="str">
        <f t="shared" si="0"/>
        <v>kW</v>
      </c>
      <c r="I23" s="69"/>
    </row>
    <row r="24" spans="1:9" x14ac:dyDescent="0.25">
      <c r="A24" s="191">
        <v>23</v>
      </c>
      <c r="B24" s="62" t="s">
        <v>149</v>
      </c>
      <c r="C24" s="61" t="s">
        <v>152</v>
      </c>
      <c r="D24" s="61">
        <v>1055.06</v>
      </c>
      <c r="E24" s="61" t="s">
        <v>143</v>
      </c>
      <c r="F24" s="62" t="s">
        <v>123</v>
      </c>
      <c r="G24" s="71">
        <f t="shared" si="1"/>
        <v>1055.06</v>
      </c>
      <c r="H24" s="61" t="str">
        <f t="shared" si="0"/>
        <v>J</v>
      </c>
      <c r="I24" s="69"/>
    </row>
    <row r="25" spans="1:9" x14ac:dyDescent="0.25">
      <c r="A25" s="191">
        <v>24</v>
      </c>
      <c r="B25" s="62" t="s">
        <v>155</v>
      </c>
      <c r="C25" s="62" t="s">
        <v>156</v>
      </c>
      <c r="D25" s="62">
        <v>4046.86</v>
      </c>
      <c r="E25" s="62" t="s">
        <v>157</v>
      </c>
      <c r="F25" s="62" t="s">
        <v>123</v>
      </c>
      <c r="G25" s="71">
        <f t="shared" si="1"/>
        <v>4046.86</v>
      </c>
      <c r="H25" s="62" t="str">
        <f t="shared" si="0"/>
        <v>m^2</v>
      </c>
      <c r="I25" s="69"/>
    </row>
    <row r="26" spans="1:9" x14ac:dyDescent="0.25">
      <c r="A26" s="191">
        <v>25</v>
      </c>
      <c r="B26" s="62" t="s">
        <v>155</v>
      </c>
      <c r="C26" s="62" t="s">
        <v>158</v>
      </c>
      <c r="D26" s="62">
        <v>10.7639</v>
      </c>
      <c r="E26" s="62" t="s">
        <v>159</v>
      </c>
      <c r="F26" s="62" t="s">
        <v>123</v>
      </c>
      <c r="G26" s="71">
        <f t="shared" si="1"/>
        <v>10.7639</v>
      </c>
      <c r="H26" s="62" t="str">
        <f t="shared" si="0"/>
        <v>ft^2</v>
      </c>
      <c r="I26" s="69"/>
    </row>
    <row r="27" spans="1:9" x14ac:dyDescent="0.25">
      <c r="A27" s="191">
        <v>26</v>
      </c>
      <c r="B27" s="62" t="s">
        <v>155</v>
      </c>
      <c r="C27" s="62" t="s">
        <v>211</v>
      </c>
      <c r="D27" s="62">
        <v>247.10499999999999</v>
      </c>
      <c r="E27" s="62" t="s">
        <v>210</v>
      </c>
      <c r="F27" s="62" t="s">
        <v>123</v>
      </c>
      <c r="G27" s="71">
        <f t="shared" si="1"/>
        <v>247.10499999999999</v>
      </c>
      <c r="H27" s="62" t="str">
        <f t="shared" si="0"/>
        <v>acre</v>
      </c>
      <c r="I27" s="69"/>
    </row>
    <row r="28" spans="1:9" x14ac:dyDescent="0.25">
      <c r="A28" s="191">
        <v>27</v>
      </c>
      <c r="B28" s="62" t="s">
        <v>369</v>
      </c>
      <c r="C28" s="62" t="s">
        <v>370</v>
      </c>
      <c r="D28" s="62">
        <v>16</v>
      </c>
      <c r="E28" s="62" t="s">
        <v>371</v>
      </c>
      <c r="F28" s="62" t="s">
        <v>123</v>
      </c>
      <c r="G28" s="71">
        <f t="shared" si="1"/>
        <v>16</v>
      </c>
      <c r="H28" s="62" t="str">
        <f t="shared" si="0"/>
        <v>oz.</v>
      </c>
      <c r="I28" s="69"/>
    </row>
    <row r="29" spans="1:9" x14ac:dyDescent="0.25">
      <c r="A29" s="191">
        <v>28</v>
      </c>
      <c r="B29" s="62" t="s">
        <v>144</v>
      </c>
      <c r="C29" s="62" t="s">
        <v>565</v>
      </c>
      <c r="D29" s="62">
        <v>365</v>
      </c>
      <c r="E29" s="62" t="s">
        <v>323</v>
      </c>
      <c r="F29" s="62" t="s">
        <v>123</v>
      </c>
      <c r="G29" s="71">
        <f t="shared" si="1"/>
        <v>365</v>
      </c>
      <c r="H29" s="62" t="str">
        <f t="shared" si="0"/>
        <v>days</v>
      </c>
      <c r="I29" s="69"/>
    </row>
    <row r="30" spans="1:9" x14ac:dyDescent="0.25">
      <c r="A30" s="191">
        <v>29</v>
      </c>
      <c r="B30" s="62" t="s">
        <v>138</v>
      </c>
      <c r="C30" s="62" t="s">
        <v>575</v>
      </c>
      <c r="D30" s="62">
        <v>3.4119999999999999</v>
      </c>
      <c r="E30" s="62" t="s">
        <v>576</v>
      </c>
      <c r="F30" s="62" t="s">
        <v>123</v>
      </c>
      <c r="G30" s="71">
        <f t="shared" si="1"/>
        <v>3.4119999999999999</v>
      </c>
      <c r="H30" s="62" t="str">
        <f t="shared" si="0"/>
        <v>BTU/hr</v>
      </c>
      <c r="I30" s="69" t="s">
        <v>577</v>
      </c>
    </row>
    <row r="31" spans="1:9" x14ac:dyDescent="0.25">
      <c r="A31" s="191">
        <v>30</v>
      </c>
      <c r="B31" s="62" t="s">
        <v>580</v>
      </c>
      <c r="C31" s="62" t="s">
        <v>582</v>
      </c>
      <c r="D31" s="62">
        <v>0.30480000000000002</v>
      </c>
      <c r="E31" s="62" t="s">
        <v>581</v>
      </c>
      <c r="F31" s="62" t="s">
        <v>123</v>
      </c>
      <c r="G31" s="71">
        <f t="shared" si="1"/>
        <v>0.30480000000000002</v>
      </c>
      <c r="H31" s="62" t="str">
        <f t="shared" si="0"/>
        <v>m</v>
      </c>
      <c r="I31" s="69"/>
    </row>
    <row r="32" spans="1:9" x14ac:dyDescent="0.25">
      <c r="A32" s="191">
        <v>31</v>
      </c>
      <c r="B32" s="62" t="s">
        <v>144</v>
      </c>
      <c r="C32" s="62" t="s">
        <v>719</v>
      </c>
      <c r="D32" s="62">
        <v>24</v>
      </c>
      <c r="E32" s="62" t="s">
        <v>720</v>
      </c>
      <c r="F32" s="62" t="s">
        <v>123</v>
      </c>
      <c r="G32" s="71">
        <f t="shared" si="1"/>
        <v>24</v>
      </c>
      <c r="H32" s="62" t="str">
        <f t="shared" si="0"/>
        <v>hours</v>
      </c>
      <c r="I32" s="69"/>
    </row>
    <row r="33" spans="1:9" x14ac:dyDescent="0.25">
      <c r="A33" s="191">
        <v>32</v>
      </c>
      <c r="B33" s="62" t="s">
        <v>121</v>
      </c>
      <c r="C33" s="62" t="s">
        <v>876</v>
      </c>
      <c r="D33" s="62">
        <v>8</v>
      </c>
      <c r="E33" s="62" t="s">
        <v>877</v>
      </c>
      <c r="F33" s="62" t="s">
        <v>123</v>
      </c>
      <c r="G33" s="71">
        <f t="shared" si="1"/>
        <v>8</v>
      </c>
      <c r="H33" s="62" t="str">
        <f t="shared" si="0"/>
        <v>pints</v>
      </c>
      <c r="I33" s="69"/>
    </row>
    <row r="34" spans="1:9" x14ac:dyDescent="0.25">
      <c r="A34" s="191">
        <v>33</v>
      </c>
      <c r="B34" s="62" t="s">
        <v>121</v>
      </c>
      <c r="C34" s="62" t="s">
        <v>878</v>
      </c>
      <c r="D34" s="69">
        <f>gallon_to_pint/gal_to_m3</f>
        <v>2113.3774148639118</v>
      </c>
      <c r="E34" s="62" t="s">
        <v>877</v>
      </c>
      <c r="F34" s="62" t="s">
        <v>123</v>
      </c>
      <c r="G34" s="71">
        <f>D34</f>
        <v>2113.3774148639118</v>
      </c>
      <c r="H34" s="62" t="str">
        <f t="shared" si="0"/>
        <v>pints</v>
      </c>
      <c r="I34" s="69"/>
    </row>
    <row r="35" spans="1:9" x14ac:dyDescent="0.25">
      <c r="A35" s="191">
        <v>34</v>
      </c>
      <c r="B35" s="62" t="s">
        <v>1066</v>
      </c>
      <c r="C35" s="62" t="s">
        <v>1067</v>
      </c>
      <c r="D35" s="89">
        <v>4.5999999999999996</v>
      </c>
      <c r="E35" s="62" t="s">
        <v>1068</v>
      </c>
      <c r="F35" s="62" t="s">
        <v>88</v>
      </c>
      <c r="G35" s="69"/>
      <c r="H35" s="62" t="str">
        <f t="shared" si="0"/>
        <v>micromole/s</v>
      </c>
      <c r="I35" s="69"/>
    </row>
    <row r="36" spans="1:9" x14ac:dyDescent="0.25">
      <c r="A36" s="191">
        <v>35</v>
      </c>
      <c r="B36" s="62" t="s">
        <v>121</v>
      </c>
      <c r="C36" s="62" t="s">
        <v>1140</v>
      </c>
      <c r="D36" s="69">
        <f>1728</f>
        <v>1728</v>
      </c>
      <c r="E36" s="62" t="s">
        <v>1141</v>
      </c>
      <c r="F36" s="62" t="s">
        <v>123</v>
      </c>
      <c r="G36" s="71">
        <f t="shared" ref="G36:G45" si="2">D36</f>
        <v>1728</v>
      </c>
      <c r="H36" s="62" t="str">
        <f t="shared" si="0"/>
        <v>in3</v>
      </c>
      <c r="I36" s="69"/>
    </row>
    <row r="37" spans="1:9" x14ac:dyDescent="0.25">
      <c r="A37" s="191">
        <v>36</v>
      </c>
      <c r="B37" s="62" t="s">
        <v>124</v>
      </c>
      <c r="C37" s="62" t="s">
        <v>1334</v>
      </c>
      <c r="D37" s="69">
        <v>28.349499999999999</v>
      </c>
      <c r="E37" s="62" t="s">
        <v>131</v>
      </c>
      <c r="F37" s="62" t="s">
        <v>123</v>
      </c>
      <c r="G37" s="71">
        <f t="shared" si="2"/>
        <v>28.349499999999999</v>
      </c>
      <c r="H37" s="62" t="str">
        <f t="shared" si="0"/>
        <v>grams</v>
      </c>
      <c r="I37" s="69"/>
    </row>
    <row r="38" spans="1:9" s="31" customFormat="1" x14ac:dyDescent="0.25">
      <c r="A38" s="191">
        <v>37</v>
      </c>
      <c r="B38" s="62" t="s">
        <v>121</v>
      </c>
      <c r="C38" s="62" t="s">
        <v>1376</v>
      </c>
      <c r="D38" s="69">
        <f>1/0.236588</f>
        <v>4.2267570629110525</v>
      </c>
      <c r="E38" s="62" t="s">
        <v>1377</v>
      </c>
      <c r="F38" s="62" t="s">
        <v>123</v>
      </c>
      <c r="G38" s="71">
        <f t="shared" si="2"/>
        <v>4.2267570629110525</v>
      </c>
      <c r="H38" s="62" t="str">
        <f t="shared" si="0"/>
        <v>cups</v>
      </c>
      <c r="I38" s="69"/>
    </row>
    <row r="39" spans="1:9" s="31" customFormat="1" x14ac:dyDescent="0.25">
      <c r="A39" s="191">
        <v>38</v>
      </c>
      <c r="B39" s="62" t="s">
        <v>155</v>
      </c>
      <c r="C39" s="62" t="s">
        <v>1452</v>
      </c>
      <c r="D39" s="69">
        <v>0.40468599999999999</v>
      </c>
      <c r="E39" s="62" t="s">
        <v>1453</v>
      </c>
      <c r="F39" s="62" t="s">
        <v>123</v>
      </c>
      <c r="G39" s="71">
        <f t="shared" si="2"/>
        <v>0.40468599999999999</v>
      </c>
      <c r="H39" s="62" t="str">
        <f t="shared" si="0"/>
        <v>hectares</v>
      </c>
      <c r="I39" s="69"/>
    </row>
    <row r="40" spans="1:9" s="31" customFormat="1" x14ac:dyDescent="0.25">
      <c r="A40" s="191">
        <v>39</v>
      </c>
      <c r="B40" s="62" t="s">
        <v>580</v>
      </c>
      <c r="C40" s="62" t="s">
        <v>1461</v>
      </c>
      <c r="D40" s="69">
        <v>12</v>
      </c>
      <c r="E40" s="62" t="s">
        <v>1462</v>
      </c>
      <c r="F40" s="62" t="s">
        <v>123</v>
      </c>
      <c r="G40" s="71">
        <f t="shared" si="2"/>
        <v>12</v>
      </c>
      <c r="H40" s="62" t="str">
        <f t="shared" si="0"/>
        <v>inches</v>
      </c>
      <c r="I40" s="69"/>
    </row>
    <row r="41" spans="1:9" s="31" customFormat="1" x14ac:dyDescent="0.25">
      <c r="A41" s="191">
        <v>40</v>
      </c>
      <c r="B41" s="62" t="s">
        <v>1470</v>
      </c>
      <c r="C41" s="62" t="s">
        <v>1471</v>
      </c>
      <c r="D41" s="69">
        <v>325851</v>
      </c>
      <c r="E41" s="62" t="s">
        <v>1472</v>
      </c>
      <c r="F41" s="62" t="s">
        <v>123</v>
      </c>
      <c r="G41" s="71">
        <f t="shared" si="2"/>
        <v>325851</v>
      </c>
      <c r="H41" s="62" t="str">
        <f t="shared" si="0"/>
        <v>gallons</v>
      </c>
      <c r="I41" s="69"/>
    </row>
    <row r="42" spans="1:9" s="31" customFormat="1" x14ac:dyDescent="0.25">
      <c r="A42" s="191">
        <v>41</v>
      </c>
      <c r="B42" s="62" t="s">
        <v>121</v>
      </c>
      <c r="C42" s="62" t="s">
        <v>1334</v>
      </c>
      <c r="D42" s="98">
        <v>2.9573999999999998E-5</v>
      </c>
      <c r="E42" s="62" t="s">
        <v>1043</v>
      </c>
      <c r="F42" s="62" t="s">
        <v>123</v>
      </c>
      <c r="G42" s="71">
        <f t="shared" si="2"/>
        <v>2.9573999999999998E-5</v>
      </c>
      <c r="H42" s="62" t="str">
        <f t="shared" si="0"/>
        <v>m3</v>
      </c>
      <c r="I42" s="69"/>
    </row>
    <row r="43" spans="1:9" s="31" customFormat="1" x14ac:dyDescent="0.25">
      <c r="A43" s="191">
        <v>42</v>
      </c>
      <c r="B43" s="62" t="s">
        <v>121</v>
      </c>
      <c r="C43" s="62" t="s">
        <v>1979</v>
      </c>
      <c r="D43" s="98">
        <v>4.9289199999999998E-3</v>
      </c>
      <c r="E43" s="62" t="s">
        <v>136</v>
      </c>
      <c r="F43" s="62" t="s">
        <v>123</v>
      </c>
      <c r="G43" s="71">
        <f t="shared" si="2"/>
        <v>4.9289199999999998E-3</v>
      </c>
      <c r="H43" s="62" t="str">
        <f t="shared" si="0"/>
        <v>L</v>
      </c>
      <c r="I43" s="69"/>
    </row>
    <row r="44" spans="1:9" s="31" customFormat="1" x14ac:dyDescent="0.25">
      <c r="A44" s="242">
        <v>43</v>
      </c>
      <c r="B44" s="62" t="s">
        <v>580</v>
      </c>
      <c r="C44" s="62" t="s">
        <v>2549</v>
      </c>
      <c r="D44" s="98">
        <v>1.60934</v>
      </c>
      <c r="E44" s="62" t="s">
        <v>2550</v>
      </c>
      <c r="F44" s="62" t="s">
        <v>123</v>
      </c>
      <c r="G44" s="71">
        <f t="shared" si="2"/>
        <v>1.60934</v>
      </c>
      <c r="H44" s="62" t="str">
        <f t="shared" si="0"/>
        <v>km</v>
      </c>
      <c r="I44" s="69"/>
    </row>
    <row r="45" spans="1:9" s="31" customFormat="1" x14ac:dyDescent="0.25">
      <c r="A45" s="386">
        <v>44</v>
      </c>
      <c r="B45" s="722" t="s">
        <v>2847</v>
      </c>
      <c r="C45" s="722" t="s">
        <v>2848</v>
      </c>
      <c r="D45" s="262">
        <v>10000</v>
      </c>
      <c r="E45" s="722" t="s">
        <v>1504</v>
      </c>
      <c r="F45" s="722" t="s">
        <v>123</v>
      </c>
      <c r="G45" s="721">
        <f t="shared" si="2"/>
        <v>10000</v>
      </c>
      <c r="H45" s="722" t="str">
        <f t="shared" si="0"/>
        <v>m2</v>
      </c>
      <c r="I45" s="53"/>
    </row>
    <row r="47" spans="1:9" x14ac:dyDescent="0.25">
      <c r="B47" t="s">
        <v>118</v>
      </c>
      <c r="H47" t="s">
        <v>93</v>
      </c>
    </row>
    <row r="48" spans="1:9" x14ac:dyDescent="0.25">
      <c r="A48" s="31" t="s">
        <v>88</v>
      </c>
      <c r="B48" t="s">
        <v>1070</v>
      </c>
      <c r="H48" s="282" t="s">
        <v>1069</v>
      </c>
    </row>
  </sheetData>
  <hyperlinks>
    <hyperlink ref="H48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0" tint="-0.499984740745262"/>
  </sheetPr>
  <dimension ref="A1:K47"/>
  <sheetViews>
    <sheetView workbookViewId="0">
      <selection activeCell="I22" sqref="I22"/>
    </sheetView>
  </sheetViews>
  <sheetFormatPr defaultRowHeight="15" x14ac:dyDescent="0.25"/>
  <cols>
    <col min="1" max="1" width="13.85546875" style="31" bestFit="1" customWidth="1"/>
    <col min="2" max="2" width="17" customWidth="1"/>
    <col min="3" max="3" width="27.140625" customWidth="1"/>
    <col min="4" max="7" width="17" customWidth="1"/>
    <col min="8" max="8" width="20.5703125" customWidth="1"/>
    <col min="9" max="10" width="17" customWidth="1"/>
    <col min="11" max="11" width="44.5703125" customWidth="1"/>
  </cols>
  <sheetData>
    <row r="1" spans="1:11" x14ac:dyDescent="0.25">
      <c r="A1" s="204" t="s">
        <v>594</v>
      </c>
      <c r="B1" s="100" t="s">
        <v>114</v>
      </c>
      <c r="C1" s="100" t="s">
        <v>115</v>
      </c>
      <c r="D1" s="100" t="s">
        <v>305</v>
      </c>
      <c r="E1" s="100" t="s">
        <v>116</v>
      </c>
      <c r="F1" s="100" t="s">
        <v>304</v>
      </c>
      <c r="G1" s="100" t="s">
        <v>117</v>
      </c>
      <c r="H1" s="100" t="s">
        <v>118</v>
      </c>
      <c r="I1" s="100" t="s">
        <v>119</v>
      </c>
      <c r="J1" s="100" t="s">
        <v>194</v>
      </c>
      <c r="K1" s="100" t="s">
        <v>120</v>
      </c>
    </row>
    <row r="2" spans="1:11" x14ac:dyDescent="0.25">
      <c r="A2" s="191">
        <v>1</v>
      </c>
      <c r="B2" s="69" t="s">
        <v>285</v>
      </c>
      <c r="C2" s="69" t="s">
        <v>286</v>
      </c>
      <c r="D2" s="69"/>
      <c r="E2" s="69">
        <v>55.2</v>
      </c>
      <c r="F2" s="69"/>
      <c r="G2" s="69" t="s">
        <v>287</v>
      </c>
      <c r="H2" s="69" t="s">
        <v>88</v>
      </c>
      <c r="I2" s="69">
        <f>E2</f>
        <v>55.2</v>
      </c>
      <c r="J2" s="69" t="str">
        <f>G2</f>
        <v>MJ/kg</v>
      </c>
      <c r="K2" s="69"/>
    </row>
    <row r="3" spans="1:11" x14ac:dyDescent="0.25">
      <c r="A3" s="191">
        <v>2</v>
      </c>
      <c r="B3" s="69" t="s">
        <v>285</v>
      </c>
      <c r="C3" s="69" t="s">
        <v>215</v>
      </c>
      <c r="D3" s="69"/>
      <c r="E3" s="69">
        <v>0.8</v>
      </c>
      <c r="F3" s="69"/>
      <c r="G3" s="69" t="s">
        <v>568</v>
      </c>
      <c r="H3" s="69" t="s">
        <v>591</v>
      </c>
      <c r="I3" s="69">
        <f>E3</f>
        <v>0.8</v>
      </c>
      <c r="J3" s="69" t="str">
        <f>G3</f>
        <v>kg/m^3</v>
      </c>
      <c r="K3" s="69"/>
    </row>
    <row r="4" spans="1:11" x14ac:dyDescent="0.25">
      <c r="A4" s="191">
        <v>3</v>
      </c>
      <c r="B4" s="69" t="s">
        <v>285</v>
      </c>
      <c r="C4" s="69" t="s">
        <v>291</v>
      </c>
      <c r="D4" s="69"/>
      <c r="E4" s="69">
        <v>1041.5</v>
      </c>
      <c r="F4" s="69"/>
      <c r="G4" s="69" t="s">
        <v>292</v>
      </c>
      <c r="H4" s="69" t="s">
        <v>94</v>
      </c>
      <c r="I4" s="69">
        <f>E4*BTU_to_J/kJ_to_J/MJ_to_kJ/ft3_to_m3</f>
        <v>38.805408450107365</v>
      </c>
      <c r="J4" s="69" t="s">
        <v>297</v>
      </c>
      <c r="K4" s="69"/>
    </row>
    <row r="5" spans="1:11" x14ac:dyDescent="0.25">
      <c r="A5" s="191">
        <v>4</v>
      </c>
      <c r="B5" s="69" t="s">
        <v>310</v>
      </c>
      <c r="C5" s="69" t="s">
        <v>215</v>
      </c>
      <c r="D5" s="69"/>
      <c r="E5" s="69">
        <v>999.7</v>
      </c>
      <c r="F5" s="69"/>
      <c r="G5" s="69" t="s">
        <v>568</v>
      </c>
      <c r="H5" s="69" t="s">
        <v>123</v>
      </c>
      <c r="I5" s="69">
        <f t="shared" ref="I5:I11" si="0">E5</f>
        <v>999.7</v>
      </c>
      <c r="J5" s="69" t="s">
        <v>568</v>
      </c>
      <c r="K5" s="69"/>
    </row>
    <row r="6" spans="1:11" x14ac:dyDescent="0.25">
      <c r="A6" s="191">
        <v>5</v>
      </c>
      <c r="B6" s="69" t="s">
        <v>590</v>
      </c>
      <c r="C6" s="69" t="s">
        <v>215</v>
      </c>
      <c r="D6" s="69"/>
      <c r="E6" s="69">
        <v>1.2250000000000001</v>
      </c>
      <c r="F6" s="69"/>
      <c r="G6" s="69" t="s">
        <v>568</v>
      </c>
      <c r="H6" s="69" t="s">
        <v>591</v>
      </c>
      <c r="I6" s="69">
        <f t="shared" si="0"/>
        <v>1.2250000000000001</v>
      </c>
      <c r="J6" s="69" t="str">
        <f>G6</f>
        <v>kg/m^3</v>
      </c>
      <c r="K6" s="69"/>
    </row>
    <row r="7" spans="1:11" x14ac:dyDescent="0.25">
      <c r="A7" s="191">
        <v>6</v>
      </c>
      <c r="B7" s="69" t="s">
        <v>590</v>
      </c>
      <c r="C7" s="69" t="s">
        <v>592</v>
      </c>
      <c r="D7" s="69"/>
      <c r="E7" s="69">
        <v>1005</v>
      </c>
      <c r="F7" s="69"/>
      <c r="G7" s="69" t="s">
        <v>593</v>
      </c>
      <c r="H7" s="69" t="s">
        <v>591</v>
      </c>
      <c r="I7" s="69">
        <f t="shared" si="0"/>
        <v>1005</v>
      </c>
      <c r="J7" s="69" t="str">
        <f>G7</f>
        <v>KJ/kg-K</v>
      </c>
      <c r="K7" s="69"/>
    </row>
    <row r="8" spans="1:11" x14ac:dyDescent="0.25">
      <c r="A8" s="242">
        <v>7</v>
      </c>
      <c r="B8" s="89" t="s">
        <v>723</v>
      </c>
      <c r="C8" s="89" t="s">
        <v>741</v>
      </c>
      <c r="D8" s="69"/>
      <c r="E8" s="89">
        <v>771</v>
      </c>
      <c r="F8" s="69"/>
      <c r="G8" s="89" t="s">
        <v>742</v>
      </c>
      <c r="H8" s="89" t="s">
        <v>163</v>
      </c>
      <c r="I8" s="69">
        <f t="shared" si="0"/>
        <v>771</v>
      </c>
      <c r="J8" s="69" t="str">
        <f>G8</f>
        <v>g/L</v>
      </c>
      <c r="K8" s="69"/>
    </row>
    <row r="9" spans="1:11" x14ac:dyDescent="0.25">
      <c r="A9" s="242">
        <v>8</v>
      </c>
      <c r="B9" s="89" t="s">
        <v>310</v>
      </c>
      <c r="C9" s="89" t="s">
        <v>981</v>
      </c>
      <c r="D9" s="69"/>
      <c r="E9" s="69">
        <f>104.83*1000</f>
        <v>104830</v>
      </c>
      <c r="F9" s="69"/>
      <c r="G9" s="89" t="s">
        <v>983</v>
      </c>
      <c r="H9" s="89" t="s">
        <v>202</v>
      </c>
      <c r="I9" s="89">
        <f t="shared" si="0"/>
        <v>104830</v>
      </c>
      <c r="J9" s="69" t="s">
        <v>983</v>
      </c>
      <c r="K9" s="69"/>
    </row>
    <row r="10" spans="1:11" x14ac:dyDescent="0.25">
      <c r="A10" s="191">
        <v>9</v>
      </c>
      <c r="B10" s="89" t="s">
        <v>1053</v>
      </c>
      <c r="C10" s="89" t="s">
        <v>1055</v>
      </c>
      <c r="D10" s="69"/>
      <c r="E10" s="89">
        <v>8.7140000000000004</v>
      </c>
      <c r="F10" s="69"/>
      <c r="G10" s="89" t="s">
        <v>1054</v>
      </c>
      <c r="H10" s="89" t="s">
        <v>219</v>
      </c>
      <c r="I10" s="89">
        <f t="shared" si="0"/>
        <v>8.7140000000000004</v>
      </c>
      <c r="J10" s="69" t="str">
        <f t="shared" ref="J10:J15" si="1">G10</f>
        <v>ft^3/lb</v>
      </c>
      <c r="K10" s="69"/>
    </row>
    <row r="11" spans="1:11" x14ac:dyDescent="0.25">
      <c r="A11" s="242">
        <v>10</v>
      </c>
      <c r="B11" s="89" t="s">
        <v>310</v>
      </c>
      <c r="C11" s="89" t="s">
        <v>592</v>
      </c>
      <c r="D11" s="69"/>
      <c r="E11" s="89">
        <f>4.18*1000</f>
        <v>4180</v>
      </c>
      <c r="F11" s="69"/>
      <c r="G11" s="89" t="s">
        <v>1285</v>
      </c>
      <c r="H11" s="89" t="s">
        <v>591</v>
      </c>
      <c r="I11" s="89">
        <f t="shared" si="0"/>
        <v>4180</v>
      </c>
      <c r="J11" s="89" t="str">
        <f t="shared" si="1"/>
        <v>J/kg-K</v>
      </c>
      <c r="K11" s="69"/>
    </row>
    <row r="12" spans="1:11" x14ac:dyDescent="0.25">
      <c r="A12" s="242">
        <v>11</v>
      </c>
      <c r="B12" s="89" t="s">
        <v>1287</v>
      </c>
      <c r="C12" s="89" t="s">
        <v>1288</v>
      </c>
      <c r="D12" s="69"/>
      <c r="E12" s="89">
        <v>45</v>
      </c>
      <c r="F12" s="69"/>
      <c r="G12" s="89" t="s">
        <v>287</v>
      </c>
      <c r="H12" s="89" t="s">
        <v>591</v>
      </c>
      <c r="I12" s="89">
        <f>E12</f>
        <v>45</v>
      </c>
      <c r="J12" s="89" t="str">
        <f t="shared" si="1"/>
        <v>MJ/kg</v>
      </c>
      <c r="K12" s="69"/>
    </row>
    <row r="13" spans="1:11" x14ac:dyDescent="0.25">
      <c r="A13" s="242">
        <v>12</v>
      </c>
      <c r="B13" s="89" t="s">
        <v>1287</v>
      </c>
      <c r="C13" s="89" t="s">
        <v>215</v>
      </c>
      <c r="D13" s="69"/>
      <c r="E13" s="89">
        <v>748.9</v>
      </c>
      <c r="F13" s="69"/>
      <c r="G13" s="89" t="s">
        <v>568</v>
      </c>
      <c r="H13" s="89" t="s">
        <v>229</v>
      </c>
      <c r="I13" s="89">
        <f>E13</f>
        <v>748.9</v>
      </c>
      <c r="J13" s="89" t="str">
        <f t="shared" si="1"/>
        <v>kg/m^3</v>
      </c>
      <c r="K13" s="69"/>
    </row>
    <row r="14" spans="1:11" x14ac:dyDescent="0.25">
      <c r="A14" s="242">
        <v>13</v>
      </c>
      <c r="B14" s="89" t="s">
        <v>310</v>
      </c>
      <c r="C14" s="89" t="s">
        <v>1748</v>
      </c>
      <c r="D14" s="69"/>
      <c r="E14" s="89">
        <f>2430*1000</f>
        <v>2430000</v>
      </c>
      <c r="F14" s="69"/>
      <c r="G14" s="89" t="s">
        <v>983</v>
      </c>
      <c r="H14" s="89" t="s">
        <v>591</v>
      </c>
      <c r="I14" s="89">
        <f>E14</f>
        <v>2430000</v>
      </c>
      <c r="J14" s="89" t="str">
        <f t="shared" si="1"/>
        <v>J/kg</v>
      </c>
      <c r="K14" s="69"/>
    </row>
    <row r="15" spans="1:11" x14ac:dyDescent="0.25">
      <c r="A15" s="242">
        <v>14</v>
      </c>
      <c r="B15" s="89" t="s">
        <v>1074</v>
      </c>
      <c r="C15" s="89" t="s">
        <v>215</v>
      </c>
      <c r="D15" s="69"/>
      <c r="E15" s="89">
        <v>400</v>
      </c>
      <c r="F15" s="69"/>
      <c r="G15" s="89" t="s">
        <v>568</v>
      </c>
      <c r="H15" s="89" t="s">
        <v>123</v>
      </c>
      <c r="I15" s="89">
        <f>E15</f>
        <v>400</v>
      </c>
      <c r="J15" s="89" t="str">
        <f t="shared" si="1"/>
        <v>kg/m^3</v>
      </c>
      <c r="K15" s="69"/>
    </row>
    <row r="16" spans="1:11" x14ac:dyDescent="0.25">
      <c r="A16" s="242">
        <v>15</v>
      </c>
      <c r="B16" s="89" t="s">
        <v>1976</v>
      </c>
      <c r="C16" s="89" t="s">
        <v>1975</v>
      </c>
      <c r="D16" s="69"/>
      <c r="E16" s="89">
        <v>800</v>
      </c>
      <c r="F16" s="69"/>
      <c r="G16" s="89" t="s">
        <v>742</v>
      </c>
      <c r="H16" s="69" t="s">
        <v>238</v>
      </c>
      <c r="I16" s="89">
        <f>E16/1000*1000</f>
        <v>800</v>
      </c>
      <c r="J16" s="89" t="s">
        <v>568</v>
      </c>
      <c r="K16" s="69"/>
    </row>
    <row r="17" spans="1:11" s="31" customFormat="1" x14ac:dyDescent="0.25">
      <c r="A17" s="242">
        <v>16</v>
      </c>
      <c r="B17" s="89" t="s">
        <v>310</v>
      </c>
      <c r="C17" s="89" t="s">
        <v>1989</v>
      </c>
      <c r="D17" s="69"/>
      <c r="E17" s="69">
        <f>417.51-(100-84.576)*(417.51-384.4)/(100-75)</f>
        <v>397.08245439999996</v>
      </c>
      <c r="F17" s="69"/>
      <c r="G17" s="89" t="s">
        <v>1990</v>
      </c>
      <c r="H17" s="89" t="s">
        <v>1991</v>
      </c>
      <c r="I17" s="89">
        <f>E17*1000</f>
        <v>397082.45439999999</v>
      </c>
      <c r="J17" s="89" t="str">
        <f>G17</f>
        <v>kJ/kg</v>
      </c>
      <c r="K17" s="69" t="s">
        <v>1992</v>
      </c>
    </row>
    <row r="18" spans="1:11" s="31" customFormat="1" x14ac:dyDescent="0.25">
      <c r="A18" s="242">
        <v>17</v>
      </c>
      <c r="B18" s="89" t="s">
        <v>310</v>
      </c>
      <c r="C18" s="89" t="s">
        <v>1993</v>
      </c>
      <c r="D18" s="69"/>
      <c r="E18" s="69">
        <f>2675-(100-84.576)*(2675-2662.4)/(100-75)</f>
        <v>2667.2263040000003</v>
      </c>
      <c r="F18" s="69"/>
      <c r="G18" s="69" t="s">
        <v>1994</v>
      </c>
      <c r="H18" s="89" t="s">
        <v>1991</v>
      </c>
      <c r="I18" s="89">
        <f>E18*1000</f>
        <v>2667226.3040000005</v>
      </c>
      <c r="J18" s="89" t="str">
        <f>G18</f>
        <v>KJ/kg</v>
      </c>
      <c r="K18" s="69" t="s">
        <v>1992</v>
      </c>
    </row>
    <row r="19" spans="1:11" s="31" customFormat="1" x14ac:dyDescent="0.25">
      <c r="A19" s="242">
        <v>18</v>
      </c>
      <c r="B19" s="89" t="s">
        <v>2135</v>
      </c>
      <c r="C19" s="89" t="s">
        <v>215</v>
      </c>
      <c r="D19" s="69"/>
      <c r="E19" s="69">
        <v>1100</v>
      </c>
      <c r="F19" s="69"/>
      <c r="G19" s="69" t="s">
        <v>568</v>
      </c>
      <c r="H19" s="89" t="s">
        <v>123</v>
      </c>
      <c r="I19" s="89">
        <f>E19</f>
        <v>1100</v>
      </c>
      <c r="J19" s="89" t="str">
        <f>G19</f>
        <v>kg/m^3</v>
      </c>
      <c r="K19" s="69"/>
    </row>
    <row r="20" spans="1:11" s="31" customFormat="1" x14ac:dyDescent="0.25">
      <c r="A20" s="242">
        <v>19</v>
      </c>
      <c r="B20" s="89" t="s">
        <v>2136</v>
      </c>
      <c r="C20" s="89" t="s">
        <v>215</v>
      </c>
      <c r="D20" s="69"/>
      <c r="E20" s="69">
        <f>41.7/2/kg_to_lb/ft3_to_m3</f>
        <v>333.98590807340832</v>
      </c>
      <c r="F20" s="69"/>
      <c r="G20" s="69" t="s">
        <v>568</v>
      </c>
      <c r="H20" s="526" t="s">
        <v>2137</v>
      </c>
      <c r="I20" s="89">
        <f>E20</f>
        <v>333.98590807340832</v>
      </c>
      <c r="J20" s="89" t="s">
        <v>568</v>
      </c>
      <c r="K20" s="69"/>
    </row>
    <row r="21" spans="1:11" s="31" customFormat="1" x14ac:dyDescent="0.25">
      <c r="A21" s="242">
        <v>20</v>
      </c>
      <c r="B21" s="89" t="s">
        <v>2170</v>
      </c>
      <c r="C21" s="89" t="s">
        <v>215</v>
      </c>
      <c r="D21" s="69"/>
      <c r="E21" s="69">
        <v>0.91</v>
      </c>
      <c r="F21" s="69"/>
      <c r="G21" s="69" t="s">
        <v>2173</v>
      </c>
      <c r="H21" s="526" t="s">
        <v>243</v>
      </c>
      <c r="I21" s="89">
        <f>E21*1000</f>
        <v>910</v>
      </c>
      <c r="J21" s="89" t="s">
        <v>568</v>
      </c>
      <c r="K21" s="69"/>
    </row>
    <row r="22" spans="1:11" s="31" customFormat="1" x14ac:dyDescent="0.25">
      <c r="A22" s="242">
        <v>21</v>
      </c>
      <c r="B22" s="89" t="s">
        <v>2171</v>
      </c>
      <c r="C22" s="89" t="s">
        <v>2172</v>
      </c>
      <c r="D22" s="69"/>
      <c r="E22" s="69">
        <v>0.93200000000000005</v>
      </c>
      <c r="F22" s="69"/>
      <c r="G22" s="69" t="s">
        <v>2173</v>
      </c>
      <c r="H22" s="526" t="s">
        <v>123</v>
      </c>
      <c r="I22" s="89">
        <f>E22*1000</f>
        <v>932</v>
      </c>
      <c r="J22" s="89" t="s">
        <v>568</v>
      </c>
      <c r="K22" s="69" t="s">
        <v>2174</v>
      </c>
    </row>
    <row r="23" spans="1:11" s="31" customFormat="1" x14ac:dyDescent="0.25">
      <c r="A23" s="386"/>
      <c r="B23" s="148"/>
      <c r="C23" s="252"/>
      <c r="D23" s="73"/>
      <c r="E23" s="73"/>
      <c r="F23" s="73"/>
      <c r="G23" s="73"/>
      <c r="H23" s="527"/>
      <c r="I23" s="252"/>
      <c r="J23" s="252"/>
      <c r="K23" s="73"/>
    </row>
    <row r="24" spans="1:11" s="31" customFormat="1" x14ac:dyDescent="0.25">
      <c r="A24" s="386"/>
      <c r="B24" s="148"/>
      <c r="C24" s="252"/>
      <c r="D24" s="73"/>
      <c r="E24" s="73"/>
      <c r="F24" s="73"/>
      <c r="G24" s="73"/>
      <c r="H24" s="527"/>
      <c r="I24" s="252"/>
      <c r="J24" s="252"/>
      <c r="K24" s="73"/>
    </row>
    <row r="25" spans="1:11" s="31" customFormat="1" x14ac:dyDescent="0.25">
      <c r="A25" s="386"/>
      <c r="B25" s="148"/>
      <c r="C25" s="252"/>
      <c r="D25" s="73"/>
      <c r="E25" s="73"/>
      <c r="F25" s="73"/>
      <c r="G25" s="73"/>
      <c r="H25" s="527"/>
      <c r="I25" s="252"/>
      <c r="J25" s="252"/>
      <c r="K25" s="73"/>
    </row>
    <row r="26" spans="1:11" s="31" customFormat="1" x14ac:dyDescent="0.25">
      <c r="A26" s="386"/>
      <c r="B26" s="148"/>
      <c r="C26" s="252"/>
      <c r="D26" s="73"/>
      <c r="E26" s="73"/>
      <c r="F26" s="73"/>
      <c r="G26" s="73"/>
      <c r="H26" s="527"/>
      <c r="I26" s="252"/>
      <c r="J26" s="252"/>
      <c r="K26" s="73"/>
    </row>
    <row r="27" spans="1:11" x14ac:dyDescent="0.25">
      <c r="C27" s="73" t="s">
        <v>290</v>
      </c>
      <c r="D27" s="73"/>
      <c r="E27" s="73"/>
      <c r="F27" s="73"/>
      <c r="G27" s="73"/>
      <c r="H27" s="73"/>
      <c r="I27" s="73"/>
      <c r="J27" s="73"/>
      <c r="K27" s="73"/>
    </row>
    <row r="28" spans="1:11" x14ac:dyDescent="0.25">
      <c r="B28" t="s">
        <v>88</v>
      </c>
      <c r="C28" s="101" t="s">
        <v>288</v>
      </c>
      <c r="D28" s="33"/>
      <c r="E28" s="33"/>
      <c r="F28" s="33"/>
      <c r="G28" s="72" t="s">
        <v>289</v>
      </c>
      <c r="H28" s="33"/>
    </row>
    <row r="29" spans="1:11" x14ac:dyDescent="0.25">
      <c r="B29" s="33" t="s">
        <v>94</v>
      </c>
      <c r="C29" s="33" t="s">
        <v>293</v>
      </c>
      <c r="D29" s="33"/>
      <c r="E29" s="33"/>
      <c r="F29" s="33"/>
      <c r="G29" s="33" t="s">
        <v>294</v>
      </c>
    </row>
    <row r="30" spans="1:11" x14ac:dyDescent="0.25">
      <c r="B30" t="s">
        <v>163</v>
      </c>
      <c r="C30" s="33" t="s">
        <v>744</v>
      </c>
      <c r="G30" t="s">
        <v>743</v>
      </c>
    </row>
    <row r="31" spans="1:11" x14ac:dyDescent="0.25">
      <c r="B31" t="s">
        <v>202</v>
      </c>
      <c r="C31" s="33" t="s">
        <v>982</v>
      </c>
    </row>
    <row r="32" spans="1:11" x14ac:dyDescent="0.25">
      <c r="B32" t="s">
        <v>219</v>
      </c>
      <c r="C32" s="33" t="s">
        <v>1057</v>
      </c>
      <c r="G32" s="282" t="s">
        <v>1056</v>
      </c>
    </row>
    <row r="33" spans="2:9" x14ac:dyDescent="0.25">
      <c r="B33" t="s">
        <v>229</v>
      </c>
      <c r="C33" s="33" t="s">
        <v>1290</v>
      </c>
      <c r="G33" s="282" t="s">
        <v>1289</v>
      </c>
    </row>
    <row r="34" spans="2:9" x14ac:dyDescent="0.25">
      <c r="B34" t="s">
        <v>238</v>
      </c>
      <c r="C34" s="33" t="s">
        <v>1978</v>
      </c>
      <c r="G34" s="282" t="s">
        <v>1977</v>
      </c>
    </row>
    <row r="35" spans="2:9" x14ac:dyDescent="0.25">
      <c r="B35" t="s">
        <v>243</v>
      </c>
      <c r="C35" s="33" t="s">
        <v>2175</v>
      </c>
    </row>
    <row r="46" spans="2:9" x14ac:dyDescent="0.25">
      <c r="E46" t="s">
        <v>1042</v>
      </c>
      <c r="F46" t="s">
        <v>2062</v>
      </c>
      <c r="G46" t="s">
        <v>1044</v>
      </c>
      <c r="H46" t="s">
        <v>1043</v>
      </c>
      <c r="I46" t="s">
        <v>1044</v>
      </c>
    </row>
    <row r="47" spans="2:9" x14ac:dyDescent="0.25">
      <c r="E47" t="s">
        <v>2176</v>
      </c>
      <c r="F47" t="s">
        <v>1212</v>
      </c>
      <c r="G47" t="s">
        <v>1043</v>
      </c>
      <c r="H47" t="s">
        <v>1042</v>
      </c>
      <c r="I47" t="s">
        <v>1212</v>
      </c>
    </row>
  </sheetData>
  <hyperlinks>
    <hyperlink ref="G28" r:id="rId1"/>
    <hyperlink ref="G32" r:id="rId2"/>
    <hyperlink ref="G33" r:id="rId3"/>
    <hyperlink ref="G34" r:id="rId4"/>
    <hyperlink ref="H20" r:id="rId5" display="https://www.walmart.com/ip/FoxFarm-FX14100-Bush-Doctor-Coco-Loco-Plant-Garden-Potting-Soil-Mix-2-Cubic-Ft/194569731?wmlspartner=wlpa&amp;selectedSellerId=1187&amp;adid=22222222227053299007&amp;wl0=&amp;wl1=g&amp;wl2=c&amp;wl3=153877461783&amp;wl4=pla-265417260405&amp;wl5=9028895&amp;wl6=&amp;wl7=&amp;wl8=&amp;wl9=pla&amp;wl10=112549749&amp;wl11=online&amp;wl12=194569731&amp;veh=sem&amp;gclid=EAIaIQobChMI46nT_7f85QIViB-tBh0zSAjiEAQYBCABEgIr4_D_BwE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0" tint="-0.499984740745262"/>
  </sheetPr>
  <dimension ref="A1:X72"/>
  <sheetViews>
    <sheetView topLeftCell="A13" workbookViewId="0">
      <selection activeCell="L46" sqref="L46"/>
    </sheetView>
  </sheetViews>
  <sheetFormatPr defaultRowHeight="15" x14ac:dyDescent="0.25"/>
  <sheetData>
    <row r="1" spans="1:24" ht="15.75" thickBot="1" x14ac:dyDescent="0.3">
      <c r="A1" s="47"/>
      <c r="B1" s="47"/>
      <c r="C1" s="48" t="s">
        <v>92</v>
      </c>
      <c r="D1" s="47"/>
      <c r="E1" s="47"/>
      <c r="F1" s="47"/>
      <c r="G1" s="47"/>
      <c r="H1" s="47"/>
      <c r="I1" s="47"/>
      <c r="J1" s="47"/>
      <c r="K1" s="47"/>
      <c r="L1" s="48" t="s">
        <v>93</v>
      </c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</row>
    <row r="2" spans="1:24" x14ac:dyDescent="0.25">
      <c r="B2" t="s">
        <v>88</v>
      </c>
      <c r="C2" t="s">
        <v>90</v>
      </c>
      <c r="L2" s="33" t="s">
        <v>91</v>
      </c>
      <c r="M2" s="33"/>
    </row>
    <row r="3" spans="1:24" x14ac:dyDescent="0.25">
      <c r="L3" s="33"/>
      <c r="M3" s="33"/>
    </row>
    <row r="4" spans="1:24" x14ac:dyDescent="0.25">
      <c r="B4" t="s">
        <v>163</v>
      </c>
      <c r="C4" t="s">
        <v>164</v>
      </c>
      <c r="L4" s="251" t="s">
        <v>162</v>
      </c>
      <c r="M4" s="33"/>
    </row>
    <row r="5" spans="1:24" x14ac:dyDescent="0.25">
      <c r="B5" t="s">
        <v>202</v>
      </c>
      <c r="C5" t="s">
        <v>203</v>
      </c>
      <c r="L5" s="251" t="s">
        <v>201</v>
      </c>
      <c r="M5" s="33"/>
    </row>
    <row r="6" spans="1:24" x14ac:dyDescent="0.25">
      <c r="B6" t="s">
        <v>219</v>
      </c>
      <c r="C6" t="s">
        <v>220</v>
      </c>
      <c r="L6" s="251" t="s">
        <v>221</v>
      </c>
      <c r="M6" s="33"/>
    </row>
    <row r="7" spans="1:24" x14ac:dyDescent="0.25">
      <c r="B7" t="s">
        <v>229</v>
      </c>
      <c r="C7" t="s">
        <v>230</v>
      </c>
      <c r="L7" s="251" t="s">
        <v>231</v>
      </c>
      <c r="M7" s="33"/>
    </row>
    <row r="8" spans="1:24" x14ac:dyDescent="0.25">
      <c r="B8" t="s">
        <v>238</v>
      </c>
      <c r="C8" t="s">
        <v>241</v>
      </c>
      <c r="L8" s="251" t="s">
        <v>242</v>
      </c>
      <c r="M8" s="33"/>
    </row>
    <row r="9" spans="1:24" x14ac:dyDescent="0.25">
      <c r="B9" t="s">
        <v>243</v>
      </c>
      <c r="C9" t="s">
        <v>264</v>
      </c>
      <c r="L9" s="33"/>
      <c r="M9" s="33"/>
    </row>
    <row r="10" spans="1:24" x14ac:dyDescent="0.25">
      <c r="B10" t="s">
        <v>258</v>
      </c>
      <c r="C10" t="s">
        <v>266</v>
      </c>
      <c r="L10" s="251" t="s">
        <v>267</v>
      </c>
      <c r="M10" s="33"/>
    </row>
    <row r="11" spans="1:24" x14ac:dyDescent="0.25">
      <c r="B11" t="s">
        <v>298</v>
      </c>
      <c r="C11" t="s">
        <v>299</v>
      </c>
      <c r="L11" s="33" t="s">
        <v>300</v>
      </c>
      <c r="M11" s="33"/>
    </row>
    <row r="12" spans="1:24" s="31" customFormat="1" x14ac:dyDescent="0.25">
      <c r="B12" s="31" t="s">
        <v>317</v>
      </c>
      <c r="C12" s="31" t="s">
        <v>318</v>
      </c>
      <c r="L12" s="33" t="s">
        <v>360</v>
      </c>
      <c r="M12" s="33"/>
    </row>
    <row r="13" spans="1:24" s="31" customFormat="1" x14ac:dyDescent="0.25">
      <c r="B13" s="31" t="s">
        <v>316</v>
      </c>
      <c r="C13" s="31" t="s">
        <v>342</v>
      </c>
      <c r="L13" s="33" t="s">
        <v>341</v>
      </c>
      <c r="M13" s="33"/>
    </row>
    <row r="14" spans="1:24" s="31" customFormat="1" x14ac:dyDescent="0.25">
      <c r="B14" s="31" t="s">
        <v>358</v>
      </c>
      <c r="C14" s="31" t="s">
        <v>359</v>
      </c>
      <c r="L14" s="33" t="s">
        <v>360</v>
      </c>
      <c r="M14" s="33"/>
    </row>
    <row r="15" spans="1:24" x14ac:dyDescent="0.25">
      <c r="B15" t="s">
        <v>381</v>
      </c>
      <c r="C15" t="s">
        <v>402</v>
      </c>
      <c r="L15" s="282" t="s">
        <v>382</v>
      </c>
      <c r="M15" s="33"/>
    </row>
    <row r="16" spans="1:24" s="31" customFormat="1" x14ac:dyDescent="0.25">
      <c r="B16" s="31" t="s">
        <v>401</v>
      </c>
      <c r="C16" s="31" t="s">
        <v>400</v>
      </c>
      <c r="L16" s="33" t="s">
        <v>399</v>
      </c>
      <c r="M16" s="33"/>
    </row>
    <row r="17" spans="2:13" s="31" customFormat="1" x14ac:dyDescent="0.25">
      <c r="B17" s="31" t="s">
        <v>471</v>
      </c>
      <c r="C17" s="31" t="s">
        <v>472</v>
      </c>
      <c r="L17" s="33" t="s">
        <v>473</v>
      </c>
      <c r="M17" s="33"/>
    </row>
    <row r="18" spans="2:13" s="31" customFormat="1" x14ac:dyDescent="0.25">
      <c r="B18" s="31" t="s">
        <v>489</v>
      </c>
      <c r="C18" s="31" t="s">
        <v>488</v>
      </c>
      <c r="L18" s="195" t="s">
        <v>843</v>
      </c>
      <c r="M18" s="33"/>
    </row>
    <row r="19" spans="2:13" s="31" customFormat="1" x14ac:dyDescent="0.25">
      <c r="B19" s="31" t="s">
        <v>520</v>
      </c>
      <c r="C19" s="31" t="s">
        <v>521</v>
      </c>
      <c r="L19" s="195" t="s">
        <v>522</v>
      </c>
      <c r="M19" s="33"/>
    </row>
    <row r="20" spans="2:13" s="31" customFormat="1" x14ac:dyDescent="0.25">
      <c r="B20" s="31" t="s">
        <v>535</v>
      </c>
      <c r="C20" s="31" t="s">
        <v>536</v>
      </c>
      <c r="L20" s="195" t="s">
        <v>537</v>
      </c>
      <c r="M20" s="33"/>
    </row>
    <row r="21" spans="2:13" s="31" customFormat="1" x14ac:dyDescent="0.25">
      <c r="B21" s="31" t="s">
        <v>541</v>
      </c>
      <c r="C21" s="31" t="s">
        <v>542</v>
      </c>
      <c r="L21" s="195"/>
      <c r="M21" s="33"/>
    </row>
    <row r="22" spans="2:13" s="31" customFormat="1" x14ac:dyDescent="0.25">
      <c r="B22" s="31" t="s">
        <v>570</v>
      </c>
      <c r="C22" s="31" t="s">
        <v>571</v>
      </c>
      <c r="L22" s="195" t="s">
        <v>572</v>
      </c>
      <c r="M22" s="33"/>
    </row>
    <row r="23" spans="2:13" s="31" customFormat="1" x14ac:dyDescent="0.25">
      <c r="B23" s="31" t="s">
        <v>587</v>
      </c>
      <c r="C23" s="31" t="s">
        <v>588</v>
      </c>
      <c r="L23" s="195" t="s">
        <v>589</v>
      </c>
      <c r="M23" s="33"/>
    </row>
    <row r="24" spans="2:13" s="31" customFormat="1" x14ac:dyDescent="0.25">
      <c r="B24" s="31" t="s">
        <v>603</v>
      </c>
      <c r="C24" s="31" t="s">
        <v>604</v>
      </c>
      <c r="L24" s="195" t="s">
        <v>605</v>
      </c>
      <c r="M24" s="33"/>
    </row>
    <row r="25" spans="2:13" s="31" customFormat="1" x14ac:dyDescent="0.25">
      <c r="B25" s="31" t="s">
        <v>705</v>
      </c>
      <c r="C25" s="31" t="s">
        <v>706</v>
      </c>
      <c r="L25" s="195"/>
      <c r="M25" s="33"/>
    </row>
    <row r="26" spans="2:13" s="31" customFormat="1" x14ac:dyDescent="0.25">
      <c r="B26" s="31" t="s">
        <v>708</v>
      </c>
      <c r="C26" s="31" t="s">
        <v>709</v>
      </c>
      <c r="L26" s="195" t="s">
        <v>710</v>
      </c>
      <c r="M26" s="33"/>
    </row>
    <row r="27" spans="2:13" s="31" customFormat="1" x14ac:dyDescent="0.25">
      <c r="B27" s="31" t="s">
        <v>711</v>
      </c>
      <c r="C27" s="31" t="s">
        <v>712</v>
      </c>
      <c r="L27" s="195" t="s">
        <v>713</v>
      </c>
      <c r="M27" s="33"/>
    </row>
    <row r="28" spans="2:13" s="31" customFormat="1" x14ac:dyDescent="0.25">
      <c r="B28" s="31" t="s">
        <v>725</v>
      </c>
      <c r="C28" s="31" t="s">
        <v>726</v>
      </c>
      <c r="L28" s="282" t="s">
        <v>727</v>
      </c>
      <c r="M28" s="33"/>
    </row>
    <row r="29" spans="2:13" s="31" customFormat="1" x14ac:dyDescent="0.25">
      <c r="B29" s="31" t="s">
        <v>765</v>
      </c>
      <c r="C29" s="31" t="s">
        <v>766</v>
      </c>
      <c r="L29" s="195" t="s">
        <v>767</v>
      </c>
      <c r="M29" s="33"/>
    </row>
    <row r="30" spans="2:13" s="31" customFormat="1" x14ac:dyDescent="0.25">
      <c r="B30" s="31" t="s">
        <v>829</v>
      </c>
      <c r="C30" s="31" t="s">
        <v>833</v>
      </c>
      <c r="L30" s="195" t="s">
        <v>834</v>
      </c>
      <c r="M30" s="33"/>
    </row>
    <row r="31" spans="2:13" s="31" customFormat="1" x14ac:dyDescent="0.25">
      <c r="B31" s="31" t="s">
        <v>764</v>
      </c>
      <c r="C31" s="31" t="s">
        <v>841</v>
      </c>
      <c r="L31" s="195" t="s">
        <v>842</v>
      </c>
      <c r="M31" s="33"/>
    </row>
    <row r="32" spans="2:13" s="31" customFormat="1" x14ac:dyDescent="0.25">
      <c r="B32" s="31" t="s">
        <v>864</v>
      </c>
      <c r="C32" s="31" t="s">
        <v>865</v>
      </c>
      <c r="L32" s="282" t="s">
        <v>866</v>
      </c>
      <c r="M32" s="33"/>
    </row>
    <row r="33" spans="1:13" s="31" customFormat="1" x14ac:dyDescent="0.25">
      <c r="B33" s="31" t="s">
        <v>879</v>
      </c>
      <c r="C33" s="31" t="s">
        <v>881</v>
      </c>
      <c r="L33" s="72" t="s">
        <v>880</v>
      </c>
      <c r="M33" s="33"/>
    </row>
    <row r="34" spans="1:13" s="31" customFormat="1" x14ac:dyDescent="0.25">
      <c r="B34" s="31" t="s">
        <v>897</v>
      </c>
      <c r="C34" s="31" t="s">
        <v>898</v>
      </c>
      <c r="L34" s="72" t="s">
        <v>899</v>
      </c>
      <c r="M34" s="33"/>
    </row>
    <row r="35" spans="1:13" s="31" customFormat="1" x14ac:dyDescent="0.25">
      <c r="B35" s="31" t="s">
        <v>947</v>
      </c>
      <c r="C35" s="31" t="s">
        <v>948</v>
      </c>
      <c r="L35" s="72" t="s">
        <v>949</v>
      </c>
      <c r="M35" s="33"/>
    </row>
    <row r="36" spans="1:13" s="31" customFormat="1" x14ac:dyDescent="0.25">
      <c r="B36" s="31" t="s">
        <v>993</v>
      </c>
      <c r="C36" s="31" t="s">
        <v>994</v>
      </c>
      <c r="L36" s="72"/>
      <c r="M36" s="33"/>
    </row>
    <row r="37" spans="1:13" s="31" customFormat="1" x14ac:dyDescent="0.25">
      <c r="B37" s="31" t="s">
        <v>1060</v>
      </c>
      <c r="C37" s="31" t="s">
        <v>1061</v>
      </c>
      <c r="L37" s="282" t="s">
        <v>1062</v>
      </c>
      <c r="M37" s="33"/>
    </row>
    <row r="38" spans="1:13" s="31" customFormat="1" x14ac:dyDescent="0.25">
      <c r="B38" s="31" t="s">
        <v>1083</v>
      </c>
      <c r="C38" s="31" t="s">
        <v>1080</v>
      </c>
      <c r="L38" s="282" t="s">
        <v>1084</v>
      </c>
      <c r="M38" s="33"/>
    </row>
    <row r="39" spans="1:13" s="31" customFormat="1" x14ac:dyDescent="0.25">
      <c r="B39" s="31" t="s">
        <v>1091</v>
      </c>
      <c r="C39" s="31" t="s">
        <v>1092</v>
      </c>
      <c r="L39" s="282" t="s">
        <v>1093</v>
      </c>
      <c r="M39" s="33"/>
    </row>
    <row r="40" spans="1:13" s="31" customFormat="1" x14ac:dyDescent="0.25">
      <c r="B40" s="31" t="s">
        <v>1205</v>
      </c>
      <c r="C40" s="31" t="s">
        <v>1206</v>
      </c>
      <c r="L40" s="282"/>
      <c r="M40" s="33"/>
    </row>
    <row r="41" spans="1:13" s="31" customFormat="1" x14ac:dyDescent="0.25">
      <c r="B41" s="31" t="s">
        <v>1254</v>
      </c>
      <c r="C41" s="31" t="s">
        <v>1255</v>
      </c>
      <c r="L41" s="282" t="s">
        <v>1256</v>
      </c>
      <c r="M41" s="33"/>
    </row>
    <row r="42" spans="1:13" s="31" customFormat="1" x14ac:dyDescent="0.25">
      <c r="B42" s="31" t="s">
        <v>1392</v>
      </c>
      <c r="C42" s="31" t="s">
        <v>1393</v>
      </c>
      <c r="L42" s="282" t="s">
        <v>1394</v>
      </c>
      <c r="M42" s="33"/>
    </row>
    <row r="43" spans="1:13" s="31" customFormat="1" x14ac:dyDescent="0.25">
      <c r="B43" s="31" t="s">
        <v>1454</v>
      </c>
      <c r="C43" s="31" t="s">
        <v>1455</v>
      </c>
      <c r="L43" s="282" t="s">
        <v>1456</v>
      </c>
      <c r="M43" s="33"/>
    </row>
    <row r="44" spans="1:13" s="31" customFormat="1" x14ac:dyDescent="0.25">
      <c r="B44" s="31" t="s">
        <v>1478</v>
      </c>
      <c r="C44" s="31" t="s">
        <v>1479</v>
      </c>
      <c r="L44" s="282" t="s">
        <v>1480</v>
      </c>
      <c r="M44" s="33"/>
    </row>
    <row r="45" spans="1:13" s="31" customFormat="1" x14ac:dyDescent="0.25">
      <c r="B45" s="31" t="s">
        <v>1481</v>
      </c>
      <c r="C45" s="31" t="s">
        <v>1482</v>
      </c>
      <c r="L45" s="282" t="s">
        <v>1483</v>
      </c>
      <c r="M45" s="33"/>
    </row>
    <row r="46" spans="1:13" s="31" customFormat="1" x14ac:dyDescent="0.25">
      <c r="B46" s="31" t="s">
        <v>1538</v>
      </c>
      <c r="C46" s="31" t="s">
        <v>1539</v>
      </c>
      <c r="L46" s="282" t="s">
        <v>1540</v>
      </c>
      <c r="M46" s="33"/>
    </row>
    <row r="47" spans="1:13" s="31" customFormat="1" x14ac:dyDescent="0.25">
      <c r="B47" s="31" t="s">
        <v>1735</v>
      </c>
      <c r="C47" s="31" t="s">
        <v>1736</v>
      </c>
      <c r="L47" s="282" t="s">
        <v>1737</v>
      </c>
      <c r="M47" s="33"/>
    </row>
    <row r="48" spans="1:13" s="257" customFormat="1" x14ac:dyDescent="0.25">
      <c r="A48" s="257" t="s">
        <v>2025</v>
      </c>
      <c r="B48" s="257" t="s">
        <v>1738</v>
      </c>
      <c r="C48" s="257" t="s">
        <v>1739</v>
      </c>
      <c r="L48" s="583" t="s">
        <v>1740</v>
      </c>
    </row>
    <row r="49" spans="1:13" s="31" customFormat="1" x14ac:dyDescent="0.25">
      <c r="B49" s="31" t="s">
        <v>1753</v>
      </c>
      <c r="C49" s="31" t="s">
        <v>1754</v>
      </c>
      <c r="L49" s="282" t="s">
        <v>1755</v>
      </c>
      <c r="M49" s="33"/>
    </row>
    <row r="50" spans="1:13" s="31" customFormat="1" x14ac:dyDescent="0.25">
      <c r="B50" s="31" t="s">
        <v>1768</v>
      </c>
      <c r="C50" s="31" t="s">
        <v>1769</v>
      </c>
      <c r="L50" s="282" t="s">
        <v>1770</v>
      </c>
      <c r="M50" s="33"/>
    </row>
    <row r="51" spans="1:13" s="257" customFormat="1" x14ac:dyDescent="0.25">
      <c r="A51" s="257" t="s">
        <v>2025</v>
      </c>
      <c r="B51" s="257" t="s">
        <v>1823</v>
      </c>
      <c r="C51" s="257" t="s">
        <v>1824</v>
      </c>
      <c r="L51" s="583" t="s">
        <v>1825</v>
      </c>
    </row>
    <row r="52" spans="1:13" s="31" customFormat="1" x14ac:dyDescent="0.25">
      <c r="B52" s="31" t="s">
        <v>1911</v>
      </c>
      <c r="C52" s="31" t="s">
        <v>1912</v>
      </c>
      <c r="L52" s="282" t="s">
        <v>1913</v>
      </c>
    </row>
    <row r="53" spans="1:13" s="31" customFormat="1" x14ac:dyDescent="0.25">
      <c r="B53" s="31" t="s">
        <v>1966</v>
      </c>
      <c r="C53" s="31" t="s">
        <v>1967</v>
      </c>
      <c r="L53" s="282" t="s">
        <v>1968</v>
      </c>
    </row>
    <row r="54" spans="1:13" s="31" customFormat="1" x14ac:dyDescent="0.25">
      <c r="B54" s="31" t="s">
        <v>1971</v>
      </c>
      <c r="C54" s="31" t="s">
        <v>1969</v>
      </c>
      <c r="L54" s="282" t="s">
        <v>1970</v>
      </c>
    </row>
    <row r="55" spans="1:13" s="31" customFormat="1" x14ac:dyDescent="0.25">
      <c r="B55" s="31" t="s">
        <v>1983</v>
      </c>
      <c r="C55" s="31" t="s">
        <v>1985</v>
      </c>
      <c r="L55" s="282" t="s">
        <v>1984</v>
      </c>
    </row>
    <row r="56" spans="1:13" s="31" customFormat="1" x14ac:dyDescent="0.25">
      <c r="B56" s="31" t="s">
        <v>2026</v>
      </c>
      <c r="C56" s="31" t="s">
        <v>2027</v>
      </c>
      <c r="L56" s="282" t="s">
        <v>2028</v>
      </c>
    </row>
    <row r="57" spans="1:13" s="31" customFormat="1" x14ac:dyDescent="0.25">
      <c r="B57" s="31" t="s">
        <v>2131</v>
      </c>
      <c r="C57" s="31" t="s">
        <v>2132</v>
      </c>
      <c r="L57" s="282" t="s">
        <v>2133</v>
      </c>
    </row>
    <row r="58" spans="1:13" s="31" customFormat="1" x14ac:dyDescent="0.25">
      <c r="B58" s="31" t="s">
        <v>2149</v>
      </c>
      <c r="C58" s="31" t="s">
        <v>2148</v>
      </c>
      <c r="L58" s="282" t="s">
        <v>2147</v>
      </c>
    </row>
    <row r="59" spans="1:13" s="31" customFormat="1" x14ac:dyDescent="0.25">
      <c r="B59" s="31" t="s">
        <v>2486</v>
      </c>
      <c r="C59" s="31" t="s">
        <v>2487</v>
      </c>
      <c r="L59" s="282" t="s">
        <v>2533</v>
      </c>
    </row>
    <row r="60" spans="1:13" s="31" customFormat="1" x14ac:dyDescent="0.25">
      <c r="B60" s="31" t="s">
        <v>2553</v>
      </c>
      <c r="C60" s="31" t="s">
        <v>2551</v>
      </c>
      <c r="L60" s="282" t="s">
        <v>2552</v>
      </c>
    </row>
    <row r="61" spans="1:13" s="31" customFormat="1" x14ac:dyDescent="0.25">
      <c r="B61" s="31" t="s">
        <v>2554</v>
      </c>
      <c r="C61" s="31" t="s">
        <v>2555</v>
      </c>
      <c r="L61" s="282" t="s">
        <v>2556</v>
      </c>
    </row>
    <row r="62" spans="1:13" s="31" customFormat="1" x14ac:dyDescent="0.25">
      <c r="B62" s="31" t="s">
        <v>2560</v>
      </c>
      <c r="C62" s="31" t="s">
        <v>2559</v>
      </c>
      <c r="L62" s="282" t="s">
        <v>2558</v>
      </c>
    </row>
    <row r="63" spans="1:13" s="31" customFormat="1" x14ac:dyDescent="0.25">
      <c r="B63" s="31" t="s">
        <v>2561</v>
      </c>
      <c r="C63" s="31" t="s">
        <v>2563</v>
      </c>
      <c r="L63" s="282" t="s">
        <v>2562</v>
      </c>
    </row>
    <row r="64" spans="1:13" s="31" customFormat="1" x14ac:dyDescent="0.25">
      <c r="B64" s="31" t="s">
        <v>2561</v>
      </c>
      <c r="C64" s="31" t="s">
        <v>2564</v>
      </c>
      <c r="L64" s="282" t="s">
        <v>2565</v>
      </c>
    </row>
    <row r="65" spans="1:14" s="31" customFormat="1" x14ac:dyDescent="0.25">
      <c r="B65" s="31" t="s">
        <v>2567</v>
      </c>
      <c r="C65" s="31" t="s">
        <v>2582</v>
      </c>
      <c r="L65" s="282" t="s">
        <v>2565</v>
      </c>
    </row>
    <row r="66" spans="1:14" s="31" customFormat="1" x14ac:dyDescent="0.25">
      <c r="A66" s="257" t="s">
        <v>2025</v>
      </c>
      <c r="B66" s="31" t="s">
        <v>2568</v>
      </c>
      <c r="C66" s="31" t="s">
        <v>2569</v>
      </c>
      <c r="L66" s="282" t="s">
        <v>2570</v>
      </c>
    </row>
    <row r="67" spans="1:14" s="31" customFormat="1" x14ac:dyDescent="0.25">
      <c r="B67" s="31" t="s">
        <v>2578</v>
      </c>
      <c r="C67" s="31" t="s">
        <v>2577</v>
      </c>
      <c r="L67" s="282" t="s">
        <v>2576</v>
      </c>
    </row>
    <row r="68" spans="1:14" s="31" customFormat="1" x14ac:dyDescent="0.25">
      <c r="B68" s="31" t="s">
        <v>2581</v>
      </c>
      <c r="C68" s="31" t="s">
        <v>2580</v>
      </c>
      <c r="L68" s="282" t="s">
        <v>2579</v>
      </c>
    </row>
    <row r="69" spans="1:14" s="31" customFormat="1" x14ac:dyDescent="0.25">
      <c r="L69" s="282"/>
    </row>
    <row r="70" spans="1:14" s="31" customFormat="1" x14ac:dyDescent="0.25">
      <c r="L70" s="282"/>
    </row>
    <row r="71" spans="1:14" x14ac:dyDescent="0.25">
      <c r="B71" t="s">
        <v>255</v>
      </c>
    </row>
    <row r="72" spans="1:14" x14ac:dyDescent="0.25">
      <c r="B72" t="s">
        <v>256</v>
      </c>
      <c r="N72" s="72" t="s">
        <v>257</v>
      </c>
    </row>
  </sheetData>
  <hyperlinks>
    <hyperlink ref="L4" r:id="rId1"/>
    <hyperlink ref="L5" r:id="rId2"/>
    <hyperlink ref="L6" r:id="rId3"/>
    <hyperlink ref="L7" r:id="rId4"/>
    <hyperlink ref="L8" r:id="rId5" location="v=onepage&amp;q=greenhouse%20marijuana%20temperaturetemperature&amp;f=false"/>
    <hyperlink ref="N72" r:id="rId6"/>
    <hyperlink ref="L10" r:id="rId7"/>
    <hyperlink ref="L33" r:id="rId8"/>
    <hyperlink ref="L34" r:id="rId9"/>
    <hyperlink ref="L35" r:id="rId10"/>
    <hyperlink ref="L37" r:id="rId11"/>
    <hyperlink ref="L38" r:id="rId12"/>
    <hyperlink ref="L39" r:id="rId13"/>
    <hyperlink ref="L41" r:id="rId14"/>
    <hyperlink ref="L42" r:id="rId15"/>
    <hyperlink ref="L43" r:id="rId16"/>
    <hyperlink ref="L44" r:id="rId17"/>
    <hyperlink ref="L45" r:id="rId18"/>
    <hyperlink ref="L46" r:id="rId19"/>
    <hyperlink ref="L47" r:id="rId20"/>
    <hyperlink ref="L48" r:id="rId21"/>
    <hyperlink ref="L49" r:id="rId22"/>
    <hyperlink ref="L50" r:id="rId23"/>
    <hyperlink ref="L51" r:id="rId24"/>
    <hyperlink ref="L52" r:id="rId25"/>
    <hyperlink ref="L53" r:id="rId26"/>
    <hyperlink ref="L54" r:id="rId27"/>
    <hyperlink ref="L55" r:id="rId28"/>
    <hyperlink ref="L57" r:id="rId29"/>
    <hyperlink ref="L58" r:id="rId30"/>
    <hyperlink ref="L32" r:id="rId31"/>
    <hyperlink ref="L59" r:id="rId32"/>
    <hyperlink ref="L15" r:id="rId33"/>
    <hyperlink ref="L60" r:id="rId34"/>
    <hyperlink ref="L63" r:id="rId35" display="https://www.fcrn.org.uk/sites/default/files/ALCOHOL final version TG feb 2007.pdf"/>
    <hyperlink ref="L67" r:id="rId36"/>
    <hyperlink ref="L68" r:id="rId37"/>
    <hyperlink ref="L62" r:id="rId38"/>
    <hyperlink ref="L28" r:id="rId39"/>
  </hyperlinks>
  <pageMargins left="0.7" right="0.7" top="0.75" bottom="0.75" header="0.3" footer="0.3"/>
  <pageSetup orientation="portrait" horizontalDpi="1200" verticalDpi="1200" r:id="rId4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9" tint="-0.249977111117893"/>
  </sheetPr>
  <dimension ref="A1:AU205"/>
  <sheetViews>
    <sheetView topLeftCell="G124" zoomScale="60" zoomScaleNormal="60" workbookViewId="0">
      <selection activeCell="I185" sqref="I185"/>
    </sheetView>
  </sheetViews>
  <sheetFormatPr defaultRowHeight="15" x14ac:dyDescent="0.25"/>
  <cols>
    <col min="1" max="1" width="10.42578125" bestFit="1" customWidth="1"/>
    <col min="2" max="2" width="35.42578125" bestFit="1" customWidth="1"/>
    <col min="3" max="4" width="10.42578125" bestFit="1" customWidth="1"/>
    <col min="5" max="5" width="15.85546875" bestFit="1" customWidth="1"/>
    <col min="6" max="6" width="14.42578125" customWidth="1"/>
    <col min="7" max="7" width="15.140625" customWidth="1"/>
    <col min="8" max="8" width="11.140625" bestFit="1" customWidth="1"/>
    <col min="9" max="9" width="10.5703125" bestFit="1" customWidth="1"/>
    <col min="10" max="11" width="10.42578125" bestFit="1" customWidth="1"/>
    <col min="12" max="12" width="11.140625" bestFit="1" customWidth="1"/>
    <col min="13" max="13" width="10.42578125" bestFit="1" customWidth="1"/>
    <col min="14" max="14" width="10.5703125" customWidth="1"/>
    <col min="15" max="15" width="9.28515625" customWidth="1"/>
    <col min="16" max="16" width="9.5703125" customWidth="1"/>
    <col min="17" max="18" width="14.7109375" bestFit="1" customWidth="1"/>
    <col min="19" max="19" width="19.42578125" customWidth="1"/>
    <col min="20" max="20" width="9.5703125" customWidth="1"/>
    <col min="21" max="21" width="10.28515625" customWidth="1"/>
    <col min="22" max="23" width="9.5703125" customWidth="1"/>
    <col min="25" max="25" width="9.140625" style="31" customWidth="1"/>
    <col min="27" max="27" width="12" bestFit="1" customWidth="1"/>
    <col min="28" max="28" width="12.28515625" bestFit="1" customWidth="1"/>
    <col min="31" max="31" width="12.7109375" bestFit="1" customWidth="1"/>
  </cols>
  <sheetData>
    <row r="1" spans="1:8" x14ac:dyDescent="0.25">
      <c r="A1" t="s">
        <v>900</v>
      </c>
    </row>
    <row r="2" spans="1:8" x14ac:dyDescent="0.25">
      <c r="B2" t="s">
        <v>883</v>
      </c>
      <c r="C2" t="s">
        <v>884</v>
      </c>
      <c r="D2" t="s">
        <v>885</v>
      </c>
      <c r="E2" t="s">
        <v>887</v>
      </c>
      <c r="F2" t="s">
        <v>888</v>
      </c>
      <c r="G2" t="s">
        <v>889</v>
      </c>
    </row>
    <row r="3" spans="1:8" x14ac:dyDescent="0.25">
      <c r="C3">
        <v>1.0920222689186E-2</v>
      </c>
      <c r="D3">
        <v>0.1</v>
      </c>
      <c r="E3">
        <v>1376</v>
      </c>
      <c r="F3">
        <v>1.2250000000000001</v>
      </c>
      <c r="G3">
        <v>6291.0720000000001</v>
      </c>
    </row>
    <row r="4" spans="1:8" x14ac:dyDescent="0.25">
      <c r="C4">
        <f>C3+(D3)*E3/(F3*G3)</f>
        <v>2.8775133682454698E-2</v>
      </c>
    </row>
    <row r="5" spans="1:8" s="31" customFormat="1" x14ac:dyDescent="0.25">
      <c r="A5" s="31" t="s">
        <v>901</v>
      </c>
    </row>
    <row r="6" spans="1:8" s="31" customFormat="1" x14ac:dyDescent="0.25">
      <c r="B6" s="31" t="s">
        <v>883</v>
      </c>
      <c r="C6" s="31" t="s">
        <v>884</v>
      </c>
      <c r="D6" s="31" t="s">
        <v>886</v>
      </c>
      <c r="E6" s="31" t="s">
        <v>885</v>
      </c>
      <c r="F6" s="31" t="s">
        <v>887</v>
      </c>
      <c r="G6" s="31" t="s">
        <v>888</v>
      </c>
      <c r="H6" s="31" t="s">
        <v>889</v>
      </c>
    </row>
    <row r="7" spans="1:8" s="31" customFormat="1" x14ac:dyDescent="0.25">
      <c r="C7" s="31">
        <v>1.0920222689186E-2</v>
      </c>
      <c r="D7" s="31">
        <v>3.1823086692648703E-2</v>
      </c>
      <c r="E7" s="31">
        <v>0.1</v>
      </c>
      <c r="F7" s="31">
        <v>1376</v>
      </c>
      <c r="G7" s="31">
        <v>1.2250000000000001</v>
      </c>
      <c r="H7" s="31">
        <v>6291.0720000000001</v>
      </c>
    </row>
    <row r="8" spans="1:8" s="31" customFormat="1" x14ac:dyDescent="0.25">
      <c r="C8" s="248">
        <f>C7+(E7-D7)*F7/(G7*H7)</f>
        <v>2.3093149878171536E-2</v>
      </c>
      <c r="D8" s="248">
        <f>C4-0.0057</f>
        <v>2.3075133682454698E-2</v>
      </c>
    </row>
    <row r="9" spans="1:8" s="31" customFormat="1" x14ac:dyDescent="0.25">
      <c r="A9" s="31" t="s">
        <v>902</v>
      </c>
    </row>
    <row r="10" spans="1:8" s="31" customFormat="1" ht="15.75" thickBot="1" x14ac:dyDescent="0.3"/>
    <row r="11" spans="1:8" s="31" customFormat="1" x14ac:dyDescent="0.25">
      <c r="A11" s="49"/>
      <c r="B11" s="50"/>
      <c r="C11" s="50"/>
      <c r="D11" s="50"/>
      <c r="E11" s="50"/>
      <c r="F11" s="50"/>
      <c r="G11" s="50"/>
      <c r="H11" s="51"/>
    </row>
    <row r="12" spans="1:8" s="31" customFormat="1" x14ac:dyDescent="0.25">
      <c r="A12" s="52"/>
      <c r="B12" s="53"/>
      <c r="C12" s="53"/>
      <c r="D12" s="53"/>
      <c r="E12" s="53"/>
      <c r="F12" s="53"/>
      <c r="G12" s="53"/>
      <c r="H12" s="54"/>
    </row>
    <row r="13" spans="1:8" x14ac:dyDescent="0.25">
      <c r="A13" s="258" t="s">
        <v>909</v>
      </c>
      <c r="B13" s="53"/>
      <c r="C13" s="53"/>
      <c r="D13" s="53"/>
      <c r="E13" s="53"/>
      <c r="F13" s="53"/>
      <c r="G13" s="53"/>
      <c r="H13" s="54"/>
    </row>
    <row r="14" spans="1:8" x14ac:dyDescent="0.25">
      <c r="A14" s="52" t="s">
        <v>890</v>
      </c>
      <c r="B14" s="53">
        <v>22</v>
      </c>
      <c r="C14" s="53">
        <v>22</v>
      </c>
      <c r="D14" s="53">
        <v>22</v>
      </c>
      <c r="E14" s="53">
        <v>22</v>
      </c>
      <c r="F14" s="53">
        <v>22</v>
      </c>
      <c r="G14" s="53"/>
      <c r="H14" s="54"/>
    </row>
    <row r="15" spans="1:8" x14ac:dyDescent="0.25">
      <c r="A15" s="52" t="s">
        <v>891</v>
      </c>
      <c r="B15" s="53">
        <v>1.0920222689186E-2</v>
      </c>
      <c r="C15" s="53">
        <v>1.2172927188985499E-2</v>
      </c>
      <c r="D15" s="53">
        <v>1.0920222689186E-2</v>
      </c>
      <c r="E15" s="53">
        <v>1.2172927188985499E-2</v>
      </c>
      <c r="F15" s="53">
        <v>1.0920222689186E-2</v>
      </c>
      <c r="G15" s="53"/>
      <c r="H15" s="54"/>
    </row>
    <row r="16" spans="1:8" x14ac:dyDescent="0.25">
      <c r="A16" s="52" t="s">
        <v>892</v>
      </c>
      <c r="B16" s="53">
        <v>55</v>
      </c>
      <c r="C16" s="53">
        <v>61.188163524976297</v>
      </c>
      <c r="D16" s="53">
        <v>55</v>
      </c>
      <c r="E16" s="53">
        <v>61.188163524976297</v>
      </c>
      <c r="F16" s="53">
        <v>55</v>
      </c>
      <c r="G16" s="53"/>
      <c r="H16" s="54"/>
    </row>
    <row r="17" spans="1:11" x14ac:dyDescent="0.25">
      <c r="A17" s="52" t="s">
        <v>910</v>
      </c>
      <c r="B17" s="53">
        <f>B30</f>
        <v>34.751813378786515</v>
      </c>
      <c r="C17" s="53">
        <f t="shared" ref="C17:F17" si="0">C30</f>
        <v>0</v>
      </c>
      <c r="D17" s="53">
        <f t="shared" si="0"/>
        <v>36.120801294444668</v>
      </c>
      <c r="E17" s="53">
        <f t="shared" si="0"/>
        <v>0</v>
      </c>
      <c r="F17" s="53">
        <f t="shared" si="0"/>
        <v>36.120801294444668</v>
      </c>
      <c r="G17" s="53"/>
      <c r="H17" s="54"/>
    </row>
    <row r="18" spans="1:11" x14ac:dyDescent="0.25">
      <c r="A18" s="52"/>
      <c r="B18" s="53"/>
      <c r="C18" s="53"/>
      <c r="D18" s="53"/>
      <c r="E18" s="53"/>
      <c r="F18" s="53"/>
      <c r="G18" s="53"/>
      <c r="H18" s="54"/>
    </row>
    <row r="19" spans="1:11" ht="15.75" thickBot="1" x14ac:dyDescent="0.3">
      <c r="A19" s="55"/>
      <c r="B19" s="47"/>
      <c r="C19" s="47"/>
      <c r="D19" s="47"/>
      <c r="E19" s="47"/>
      <c r="F19" s="47"/>
      <c r="G19" s="47"/>
      <c r="H19" s="57"/>
    </row>
    <row r="20" spans="1:11" x14ac:dyDescent="0.25">
      <c r="B20" t="s">
        <v>261</v>
      </c>
      <c r="D20" t="s">
        <v>896</v>
      </c>
    </row>
    <row r="21" spans="1:11" x14ac:dyDescent="0.25">
      <c r="A21" t="s">
        <v>835</v>
      </c>
      <c r="B21" s="32">
        <f>'Indoor Inputs'!K60</f>
        <v>403.64625000000001</v>
      </c>
      <c r="C21" t="s">
        <v>894</v>
      </c>
      <c r="D21">
        <f>(0.0003*B21+0.0021)</f>
        <v>0.12319387499999999</v>
      </c>
      <c r="G21" s="31"/>
    </row>
    <row r="22" spans="1:11" x14ac:dyDescent="0.25">
      <c r="A22" t="s">
        <v>893</v>
      </c>
      <c r="B22" s="32">
        <f>'Indoor Inputs'!K61</f>
        <v>403.64625000000001</v>
      </c>
      <c r="C22" t="s">
        <v>894</v>
      </c>
      <c r="D22" s="31">
        <f>(0.0003*B22+0.0021)</f>
        <v>0.12319387499999999</v>
      </c>
      <c r="G22" s="31"/>
    </row>
    <row r="23" spans="1:11" x14ac:dyDescent="0.25">
      <c r="A23" t="s">
        <v>77</v>
      </c>
      <c r="B23" s="32">
        <f>'Indoor Inputs'!K62</f>
        <v>672.74374999999998</v>
      </c>
      <c r="C23" t="s">
        <v>895</v>
      </c>
      <c r="D23">
        <f>(0.00006*B23+0.0004)</f>
        <v>4.0764624999999999E-2</v>
      </c>
      <c r="G23" s="31"/>
    </row>
    <row r="24" spans="1:11" x14ac:dyDescent="0.25">
      <c r="G24" s="31"/>
    </row>
    <row r="25" spans="1:11" x14ac:dyDescent="0.25">
      <c r="G25" s="31"/>
      <c r="K25" s="259"/>
    </row>
    <row r="26" spans="1:11" x14ac:dyDescent="0.25">
      <c r="A26" t="s">
        <v>903</v>
      </c>
      <c r="B26" t="s">
        <v>906</v>
      </c>
      <c r="K26" s="260"/>
    </row>
    <row r="27" spans="1:11" x14ac:dyDescent="0.25">
      <c r="A27" t="s">
        <v>904</v>
      </c>
      <c r="B27">
        <v>80832.939538321705</v>
      </c>
      <c r="C27">
        <v>0</v>
      </c>
      <c r="D27">
        <v>84017.214160452306</v>
      </c>
      <c r="E27">
        <v>0</v>
      </c>
      <c r="F27">
        <v>84017.214160452306</v>
      </c>
      <c r="K27" s="260"/>
    </row>
    <row r="28" spans="1:11" x14ac:dyDescent="0.25">
      <c r="A28" t="s">
        <v>905</v>
      </c>
      <c r="B28">
        <v>49890.332458095603</v>
      </c>
      <c r="C28">
        <v>0</v>
      </c>
      <c r="D28">
        <v>49890.332458095603</v>
      </c>
      <c r="E28">
        <v>0</v>
      </c>
      <c r="F28">
        <v>49890.332458095603</v>
      </c>
    </row>
    <row r="29" spans="1:11" x14ac:dyDescent="0.25">
      <c r="B29" t="s">
        <v>907</v>
      </c>
    </row>
    <row r="30" spans="1:11" x14ac:dyDescent="0.25">
      <c r="A30" t="s">
        <v>908</v>
      </c>
      <c r="B30">
        <f t="shared" ref="B30:F31" si="1">B27/BTU_to_J/kg_to_lb</f>
        <v>34.751813378786515</v>
      </c>
      <c r="C30" s="31">
        <f t="shared" si="1"/>
        <v>0</v>
      </c>
      <c r="D30" s="31">
        <f t="shared" si="1"/>
        <v>36.120801294444668</v>
      </c>
      <c r="E30" s="31">
        <f t="shared" si="1"/>
        <v>0</v>
      </c>
      <c r="F30" s="31">
        <f t="shared" si="1"/>
        <v>36.120801294444668</v>
      </c>
    </row>
    <row r="31" spans="1:11" x14ac:dyDescent="0.25">
      <c r="A31" t="s">
        <v>908</v>
      </c>
      <c r="B31" s="31">
        <f t="shared" si="1"/>
        <v>21.448923333629288</v>
      </c>
      <c r="C31" s="31">
        <f t="shared" si="1"/>
        <v>0</v>
      </c>
      <c r="D31" s="31">
        <f t="shared" si="1"/>
        <v>21.448923333629288</v>
      </c>
      <c r="E31" s="31">
        <f t="shared" si="1"/>
        <v>0</v>
      </c>
      <c r="F31" s="31">
        <f t="shared" si="1"/>
        <v>21.448923333629288</v>
      </c>
    </row>
    <row r="35" spans="1:29" x14ac:dyDescent="0.25">
      <c r="B35" s="31" t="s">
        <v>1742</v>
      </c>
      <c r="C35" s="31" t="s">
        <v>1743</v>
      </c>
    </row>
    <row r="36" spans="1:29" x14ac:dyDescent="0.25">
      <c r="A36" t="s">
        <v>943</v>
      </c>
      <c r="B36" s="31">
        <v>1530.04450541237</v>
      </c>
      <c r="C36" s="31">
        <v>25.8333333333333</v>
      </c>
    </row>
    <row r="37" spans="1:29" x14ac:dyDescent="0.25">
      <c r="A37" t="s">
        <v>944</v>
      </c>
      <c r="B37" s="31">
        <v>1528.1000609679299</v>
      </c>
      <c r="C37" s="31">
        <v>15.5555555555556</v>
      </c>
    </row>
    <row r="38" spans="1:29" x14ac:dyDescent="0.25">
      <c r="A38" t="s">
        <v>945</v>
      </c>
      <c r="B38">
        <v>2500.0721938578299</v>
      </c>
      <c r="C38">
        <v>22.2222222222222</v>
      </c>
    </row>
    <row r="39" spans="1:29" x14ac:dyDescent="0.25">
      <c r="A39" t="s">
        <v>942</v>
      </c>
      <c r="B39">
        <v>15.5555555555556</v>
      </c>
      <c r="C39">
        <v>15.5555555555556</v>
      </c>
      <c r="AB39">
        <f>8760/(6*7*24)</f>
        <v>8.6904761904761898</v>
      </c>
    </row>
    <row r="40" spans="1:29" x14ac:dyDescent="0.25">
      <c r="X40">
        <v>8760</v>
      </c>
    </row>
    <row r="41" spans="1:29" x14ac:dyDescent="0.25">
      <c r="X41" s="31">
        <v>3.1428571428571428</v>
      </c>
      <c r="Z41">
        <f>X41*7*24</f>
        <v>528</v>
      </c>
    </row>
    <row r="42" spans="1:29" x14ac:dyDescent="0.25">
      <c r="A42" s="31">
        <f>24/7</f>
        <v>3.4285714285714284</v>
      </c>
      <c r="B42" s="31"/>
      <c r="C42" s="31"/>
      <c r="D42" s="31" t="s">
        <v>943</v>
      </c>
      <c r="E42" s="31"/>
      <c r="F42" s="31" t="s">
        <v>944</v>
      </c>
      <c r="G42" s="31"/>
      <c r="H42" s="31" t="s">
        <v>945</v>
      </c>
      <c r="I42" s="31"/>
      <c r="J42" s="31" t="s">
        <v>942</v>
      </c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>
        <v>7.1428571428571432</v>
      </c>
      <c r="Z42" s="31">
        <f t="shared" ref="Z42:Z44" si="2">X42*7*24</f>
        <v>1200</v>
      </c>
    </row>
    <row r="43" spans="1:29" x14ac:dyDescent="0.25">
      <c r="A43" s="31">
        <f>55/7</f>
        <v>7.8571428571428568</v>
      </c>
      <c r="B43" s="31"/>
      <c r="C43" s="31"/>
      <c r="D43" s="31">
        <v>1</v>
      </c>
      <c r="E43" s="31">
        <f>24*7*A42</f>
        <v>576</v>
      </c>
      <c r="F43" s="31">
        <f>E43+1</f>
        <v>577</v>
      </c>
      <c r="G43" s="31">
        <f>(24*7*A43+F43-1)</f>
        <v>1896</v>
      </c>
      <c r="H43" s="31">
        <f>G43+1</f>
        <v>1897</v>
      </c>
      <c r="I43" s="31">
        <f>24*7*A44+H43-1</f>
        <v>3168</v>
      </c>
      <c r="J43" s="31">
        <f>I43+1</f>
        <v>3169</v>
      </c>
      <c r="K43" s="31">
        <f>24*7*A45+J43-1</f>
        <v>3504</v>
      </c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>
        <v>8.1428571428571423</v>
      </c>
      <c r="Z43" s="31">
        <f t="shared" si="2"/>
        <v>1368</v>
      </c>
    </row>
    <row r="44" spans="1:29" x14ac:dyDescent="0.25">
      <c r="A44" s="31">
        <f>53/7</f>
        <v>7.5714285714285712</v>
      </c>
      <c r="B44" s="31"/>
      <c r="C44" s="31"/>
      <c r="D44" s="31">
        <f>K43+1</f>
        <v>3505</v>
      </c>
      <c r="E44" s="31">
        <f>24*7*A42+D44-1</f>
        <v>4080</v>
      </c>
      <c r="F44" s="31">
        <f>E44+1</f>
        <v>4081</v>
      </c>
      <c r="G44" s="31">
        <f>24*7*A43+F44-1</f>
        <v>5400</v>
      </c>
      <c r="H44" s="31">
        <f>G44+1</f>
        <v>5401</v>
      </c>
      <c r="I44" s="31">
        <f>24*7*A44+H44-1</f>
        <v>6672</v>
      </c>
      <c r="J44" s="31">
        <f>I44+1</f>
        <v>6673</v>
      </c>
      <c r="K44" s="31">
        <f>24*7*A45+J44-1</f>
        <v>7008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>
        <v>2</v>
      </c>
      <c r="Z44" s="31">
        <f t="shared" si="2"/>
        <v>336</v>
      </c>
    </row>
    <row r="45" spans="1:29" x14ac:dyDescent="0.25">
      <c r="A45" s="31">
        <v>2</v>
      </c>
      <c r="B45" s="31"/>
      <c r="C45" s="31"/>
      <c r="D45" s="31">
        <f>K44+1</f>
        <v>7009</v>
      </c>
      <c r="E45" s="31">
        <f>24*7*A42+D45-1</f>
        <v>7584</v>
      </c>
      <c r="F45" s="31">
        <f>E45+1</f>
        <v>7585</v>
      </c>
      <c r="G45" s="31">
        <f>24*7*A43+F45-1</f>
        <v>8904</v>
      </c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</row>
    <row r="46" spans="1:29" x14ac:dyDescent="0.25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AA46">
        <v>1</v>
      </c>
      <c r="AB46" t="s">
        <v>1867</v>
      </c>
    </row>
    <row r="47" spans="1:29" x14ac:dyDescent="0.25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AA47">
        <v>1</v>
      </c>
      <c r="AB47">
        <v>1368</v>
      </c>
    </row>
    <row r="48" spans="1:29" x14ac:dyDescent="0.25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AA48" t="s">
        <v>1868</v>
      </c>
      <c r="AB48" t="s">
        <v>1869</v>
      </c>
      <c r="AC48">
        <v>1369</v>
      </c>
    </row>
    <row r="49" spans="1:31" x14ac:dyDescent="0.25">
      <c r="A49" s="31"/>
      <c r="B49" s="31"/>
      <c r="C49" s="31"/>
      <c r="D49" s="31">
        <f>3504+576</f>
        <v>4080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AA49">
        <v>1369</v>
      </c>
      <c r="AB49">
        <f>1368+48</f>
        <v>1416</v>
      </c>
    </row>
    <row r="50" spans="1:31" x14ac:dyDescent="0.25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</row>
    <row r="51" spans="1:31" x14ac:dyDescent="0.25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AD51">
        <v>1</v>
      </c>
    </row>
    <row r="52" spans="1:31" x14ac:dyDescent="0.25">
      <c r="A52" s="31">
        <v>333.94680771247602</v>
      </c>
      <c r="B52" s="31">
        <v>333.94680771247602</v>
      </c>
      <c r="C52" s="31">
        <v>333.94680771247602</v>
      </c>
      <c r="D52" s="31">
        <v>333.94680771247602</v>
      </c>
      <c r="E52" s="31">
        <v>333.94680771247602</v>
      </c>
      <c r="F52" s="31">
        <v>333.94680771247602</v>
      </c>
      <c r="G52" s="31">
        <v>333.94680771247602</v>
      </c>
      <c r="H52" s="31">
        <v>333.94680771247602</v>
      </c>
      <c r="I52" s="31">
        <v>333.94680771247602</v>
      </c>
      <c r="J52" s="31">
        <v>333.94680771247602</v>
      </c>
      <c r="K52" s="31">
        <v>333.94680771247602</v>
      </c>
      <c r="L52" s="31">
        <v>333.94680771247602</v>
      </c>
      <c r="M52" s="31">
        <v>333.94680771247602</v>
      </c>
      <c r="N52" s="31">
        <v>333.94680771247602</v>
      </c>
      <c r="O52" s="31">
        <v>333.94680771247602</v>
      </c>
      <c r="P52" s="31">
        <v>333.94680771247602</v>
      </c>
      <c r="Q52" s="31">
        <v>333.94680771247602</v>
      </c>
      <c r="R52" s="31">
        <v>333.94680771247602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AD52">
        <v>355</v>
      </c>
      <c r="AE52">
        <f>AD52-AD51</f>
        <v>354</v>
      </c>
    </row>
    <row r="53" spans="1:31" x14ac:dyDescent="0.25">
      <c r="A53" s="31">
        <v>1.7361111111111099E-3</v>
      </c>
      <c r="B53" s="31">
        <v>3.4722222222222199E-3</v>
      </c>
      <c r="C53" s="31">
        <v>5.2083333333333296E-3</v>
      </c>
      <c r="D53" s="31">
        <v>6.9444444444444397E-3</v>
      </c>
      <c r="E53" s="31">
        <v>8.6805555555555594E-3</v>
      </c>
      <c r="F53" s="31">
        <v>1.0416666666666701E-2</v>
      </c>
      <c r="G53" s="31">
        <v>1.2152777777777801E-2</v>
      </c>
      <c r="H53" s="31">
        <v>1.38888888888889E-2</v>
      </c>
      <c r="I53" s="31">
        <v>1.5625E-2</v>
      </c>
      <c r="J53" s="31">
        <v>1.7361111111111101E-2</v>
      </c>
      <c r="K53" s="31">
        <v>1.9097222222222199E-2</v>
      </c>
      <c r="L53" s="31">
        <v>2.0833333333333301E-2</v>
      </c>
      <c r="M53" s="31">
        <v>2.2569444444444399E-2</v>
      </c>
      <c r="N53" s="31">
        <v>2.4305555555555601E-2</v>
      </c>
      <c r="O53" s="31">
        <v>2.6041666666666699E-2</v>
      </c>
      <c r="P53" s="31">
        <v>2.7777777777777801E-2</v>
      </c>
      <c r="Q53" s="31">
        <v>2.9513888888888899E-2</v>
      </c>
      <c r="R53" s="31">
        <v>3.125E-2</v>
      </c>
      <c r="S53" s="31">
        <v>3.2986111111111098E-2</v>
      </c>
      <c r="T53" s="31">
        <v>3.4722222222222203E-2</v>
      </c>
      <c r="U53" s="31">
        <v>3.6458333333333301E-2</v>
      </c>
      <c r="V53" s="31">
        <v>3.8194444444444503E-2</v>
      </c>
      <c r="W53" s="31">
        <v>3.9930555555555601E-2</v>
      </c>
      <c r="X53" s="31">
        <v>4.1666666666666699E-2</v>
      </c>
      <c r="AD53">
        <v>709</v>
      </c>
      <c r="AE53">
        <f>AD53-AD52</f>
        <v>354</v>
      </c>
    </row>
    <row r="54" spans="1:31" x14ac:dyDescent="0.25">
      <c r="A54" s="31">
        <f>(0.00006*A52+0.0004)*4*A53</f>
        <v>1.4192228099130938E-4</v>
      </c>
      <c r="B54" s="31">
        <f t="shared" ref="B54:X54" si="3">(0.00006*B52+0.0004)*4*B53</f>
        <v>2.8384456198261875E-4</v>
      </c>
      <c r="C54" s="31">
        <f t="shared" si="3"/>
        <v>4.2576684297392808E-4</v>
      </c>
      <c r="D54" s="31">
        <f t="shared" si="3"/>
        <v>5.6768912396523751E-4</v>
      </c>
      <c r="E54" s="31">
        <f t="shared" si="3"/>
        <v>7.0961140495654764E-4</v>
      </c>
      <c r="F54" s="31">
        <f t="shared" si="3"/>
        <v>8.5153368594785952E-4</v>
      </c>
      <c r="G54" s="31">
        <f t="shared" si="3"/>
        <v>9.9345596693916813E-4</v>
      </c>
      <c r="H54" s="31">
        <f t="shared" si="3"/>
        <v>1.1353782479304765E-3</v>
      </c>
      <c r="I54" s="31">
        <f t="shared" si="3"/>
        <v>1.2773005289217852E-3</v>
      </c>
      <c r="J54" s="31">
        <f t="shared" si="3"/>
        <v>1.4192228099130938E-3</v>
      </c>
      <c r="K54" s="31">
        <f t="shared" si="3"/>
        <v>1.5611450909044022E-3</v>
      </c>
      <c r="L54" s="31">
        <f t="shared" si="3"/>
        <v>1.7030673718957108E-3</v>
      </c>
      <c r="M54" s="31">
        <f t="shared" si="3"/>
        <v>1.8449896528870192E-3</v>
      </c>
      <c r="N54" s="31">
        <f t="shared" si="3"/>
        <v>1.9869119338783363E-3</v>
      </c>
      <c r="O54" s="31">
        <f t="shared" si="3"/>
        <v>2.1288342148696447E-3</v>
      </c>
      <c r="P54" s="31">
        <f t="shared" si="3"/>
        <v>2.2707564958609531E-3</v>
      </c>
      <c r="Q54" s="31">
        <f t="shared" si="3"/>
        <v>2.4126787768522615E-3</v>
      </c>
      <c r="R54" s="31">
        <f t="shared" si="3"/>
        <v>2.5546010578435703E-3</v>
      </c>
      <c r="S54" s="31">
        <f t="shared" si="3"/>
        <v>5.2777777777777757E-5</v>
      </c>
      <c r="T54" s="31">
        <f t="shared" si="3"/>
        <v>5.5555555555555524E-5</v>
      </c>
      <c r="U54" s="31">
        <f t="shared" si="3"/>
        <v>5.8333333333333285E-5</v>
      </c>
      <c r="V54" s="31">
        <f t="shared" si="3"/>
        <v>6.1111111111111202E-5</v>
      </c>
      <c r="W54" s="31">
        <f t="shared" si="3"/>
        <v>6.3888888888888963E-5</v>
      </c>
      <c r="X54" s="31">
        <f t="shared" si="3"/>
        <v>6.6666666666666724E-5</v>
      </c>
    </row>
    <row r="55" spans="1:31" x14ac:dyDescent="0.2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</row>
    <row r="56" spans="1:31" x14ac:dyDescent="0.25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</row>
    <row r="57" spans="1:31" x14ac:dyDescent="0.25">
      <c r="A57" s="31">
        <v>0.62704954004051305</v>
      </c>
      <c r="B57" s="31">
        <v>0.62704954004051305</v>
      </c>
      <c r="C57" s="31">
        <v>0.62704954004051305</v>
      </c>
      <c r="D57" s="31">
        <v>0.62704954004051305</v>
      </c>
      <c r="E57" s="31">
        <v>0.62704954004051305</v>
      </c>
      <c r="F57" s="31">
        <v>0.62704954004051305</v>
      </c>
      <c r="G57" s="31">
        <v>0.62704954004051305</v>
      </c>
      <c r="H57" s="31">
        <v>0.62704954004051305</v>
      </c>
      <c r="I57" s="31">
        <v>0.62704954004051305</v>
      </c>
      <c r="J57" s="31">
        <v>0.62704954004051305</v>
      </c>
      <c r="K57" s="31">
        <v>0.62704954004051305</v>
      </c>
      <c r="L57" s="31">
        <v>0.62704954004051305</v>
      </c>
      <c r="M57" s="31">
        <v>8.3999999999999995E-3</v>
      </c>
      <c r="N57" s="31">
        <v>8.3999999999999995E-3</v>
      </c>
      <c r="O57" s="31">
        <v>8.3999999999999995E-3</v>
      </c>
      <c r="P57" s="31">
        <v>8.3999999999999995E-3</v>
      </c>
      <c r="Q57" s="31">
        <v>8.3999999999999995E-3</v>
      </c>
      <c r="R57" s="31">
        <v>8.3999999999999995E-3</v>
      </c>
      <c r="S57" s="31">
        <v>8.3999999999999995E-3</v>
      </c>
      <c r="T57" s="31">
        <v>8.3999999999999995E-3</v>
      </c>
      <c r="U57" s="31">
        <v>8.3999999999999995E-3</v>
      </c>
      <c r="V57" s="31">
        <v>8.3999999999999995E-3</v>
      </c>
      <c r="W57" s="31">
        <v>8.3999999999999995E-3</v>
      </c>
      <c r="X57" s="31">
        <v>8.3999999999999995E-3</v>
      </c>
    </row>
    <row r="58" spans="1:31" x14ac:dyDescent="0.25">
      <c r="A58" s="31">
        <v>7.8616352201257898E-4</v>
      </c>
      <c r="B58" s="31">
        <v>1.5723270440251599E-3</v>
      </c>
      <c r="C58" s="31">
        <v>2.3584905660377401E-3</v>
      </c>
      <c r="D58" s="31">
        <v>3.1446540880503099E-3</v>
      </c>
      <c r="E58" s="31">
        <v>3.9308176100628896E-3</v>
      </c>
      <c r="F58" s="31">
        <v>4.7169811320754698E-3</v>
      </c>
      <c r="G58" s="31">
        <v>5.50314465408805E-3</v>
      </c>
      <c r="H58" s="31">
        <v>6.2893081761006301E-3</v>
      </c>
      <c r="I58" s="31">
        <v>7.0754716981132103E-3</v>
      </c>
      <c r="J58" s="31">
        <v>7.8616352201257896E-3</v>
      </c>
      <c r="K58" s="31">
        <v>8.6477987421383698E-3</v>
      </c>
      <c r="L58" s="31">
        <v>9.4339622641509396E-3</v>
      </c>
      <c r="M58" s="31">
        <v>1.0220125786163501E-2</v>
      </c>
      <c r="N58" s="31">
        <v>1.10062893081761E-2</v>
      </c>
      <c r="O58" s="31">
        <v>1.1792452830188699E-2</v>
      </c>
      <c r="P58" s="31">
        <v>1.25786163522013E-2</v>
      </c>
      <c r="Q58" s="31">
        <v>1.3364779874213801E-2</v>
      </c>
      <c r="R58" s="31">
        <v>1.41509433962264E-2</v>
      </c>
      <c r="S58" s="31">
        <v>1.4937106918239001E-2</v>
      </c>
      <c r="T58" s="31">
        <v>1.57232704402516E-2</v>
      </c>
      <c r="U58" s="31">
        <v>1.6509433962264199E-2</v>
      </c>
      <c r="V58" s="31">
        <v>1.7295597484276701E-2</v>
      </c>
      <c r="W58" s="31">
        <v>1.8081761006289301E-2</v>
      </c>
      <c r="X58" s="31">
        <v>1.88679245283019E-2</v>
      </c>
    </row>
    <row r="59" spans="1:31" x14ac:dyDescent="0.25">
      <c r="A59" s="31" t="e">
        <f>($A$16-$A$16*$A$17)*A57/($I$2-$G$2)+0.1624</f>
        <v>#VALUE!</v>
      </c>
      <c r="B59" s="31" t="e">
        <f t="shared" ref="B59:X59" si="4">($A$16-$A$16*$A$17)*B57/($I$2-$G$2)+0.1624</f>
        <v>#VALUE!</v>
      </c>
      <c r="C59" s="31" t="e">
        <f t="shared" si="4"/>
        <v>#VALUE!</v>
      </c>
      <c r="D59" s="31" t="e">
        <f t="shared" si="4"/>
        <v>#VALUE!</v>
      </c>
      <c r="E59" s="31" t="e">
        <f t="shared" si="4"/>
        <v>#VALUE!</v>
      </c>
      <c r="F59" s="31" t="e">
        <f t="shared" si="4"/>
        <v>#VALUE!</v>
      </c>
      <c r="G59" s="31" t="e">
        <f t="shared" si="4"/>
        <v>#VALUE!</v>
      </c>
      <c r="H59" s="31" t="e">
        <f t="shared" si="4"/>
        <v>#VALUE!</v>
      </c>
      <c r="I59" s="31" t="e">
        <f t="shared" si="4"/>
        <v>#VALUE!</v>
      </c>
      <c r="J59" s="31" t="e">
        <f t="shared" si="4"/>
        <v>#VALUE!</v>
      </c>
      <c r="K59" s="31" t="e">
        <f t="shared" si="4"/>
        <v>#VALUE!</v>
      </c>
      <c r="L59" s="31" t="e">
        <f t="shared" si="4"/>
        <v>#VALUE!</v>
      </c>
      <c r="M59" s="31" t="e">
        <f t="shared" si="4"/>
        <v>#VALUE!</v>
      </c>
      <c r="N59" s="31" t="e">
        <f t="shared" si="4"/>
        <v>#VALUE!</v>
      </c>
      <c r="O59" s="31" t="e">
        <f t="shared" si="4"/>
        <v>#VALUE!</v>
      </c>
      <c r="P59" s="31" t="e">
        <f t="shared" si="4"/>
        <v>#VALUE!</v>
      </c>
      <c r="Q59" s="31" t="e">
        <f t="shared" si="4"/>
        <v>#VALUE!</v>
      </c>
      <c r="R59" s="31" t="e">
        <f t="shared" si="4"/>
        <v>#VALUE!</v>
      </c>
      <c r="S59" s="31" t="e">
        <f t="shared" si="4"/>
        <v>#VALUE!</v>
      </c>
      <c r="T59" s="31" t="e">
        <f t="shared" si="4"/>
        <v>#VALUE!</v>
      </c>
      <c r="U59" s="31" t="e">
        <f t="shared" si="4"/>
        <v>#VALUE!</v>
      </c>
      <c r="V59" s="31" t="e">
        <f t="shared" si="4"/>
        <v>#VALUE!</v>
      </c>
      <c r="W59" s="31" t="e">
        <f t="shared" si="4"/>
        <v>#VALUE!</v>
      </c>
      <c r="X59" s="31" t="e">
        <f t="shared" si="4"/>
        <v>#VALUE!</v>
      </c>
    </row>
    <row r="61" spans="1:31" x14ac:dyDescent="0.25">
      <c r="A61" t="s">
        <v>1790</v>
      </c>
    </row>
    <row r="62" spans="1:31" x14ac:dyDescent="0.25">
      <c r="B62" t="s">
        <v>1779</v>
      </c>
      <c r="C62" t="s">
        <v>720</v>
      </c>
    </row>
    <row r="63" spans="1:31" s="31" customFormat="1" x14ac:dyDescent="0.25">
      <c r="A63" s="31" t="s">
        <v>943</v>
      </c>
      <c r="B63" s="31">
        <f>'Indoor Inputs'!G50</f>
        <v>3.1428571428571428</v>
      </c>
      <c r="C63" s="31">
        <f>24*7*B63</f>
        <v>528</v>
      </c>
      <c r="D63" s="31">
        <f>i_count_clone</f>
        <v>528</v>
      </c>
    </row>
    <row r="64" spans="1:31" s="31" customFormat="1" x14ac:dyDescent="0.25">
      <c r="A64" s="31" t="s">
        <v>944</v>
      </c>
      <c r="B64" s="31">
        <f>'Indoor Inputs'!G51</f>
        <v>7.1428571428571432</v>
      </c>
      <c r="C64" s="31">
        <f t="shared" ref="C64:C66" si="5">24*7*B64</f>
        <v>1200</v>
      </c>
      <c r="D64" s="31">
        <f>i_count_veg+i_count_clone</f>
        <v>1728</v>
      </c>
    </row>
    <row r="65" spans="1:47" s="31" customFormat="1" x14ac:dyDescent="0.25">
      <c r="A65" s="31" t="s">
        <v>945</v>
      </c>
      <c r="B65" s="31">
        <f>'Indoor Inputs'!G52</f>
        <v>8.1428571428571423</v>
      </c>
      <c r="C65" s="31">
        <f t="shared" si="5"/>
        <v>1368</v>
      </c>
      <c r="D65" s="31">
        <f>i_count_flower+i_count_veg+i_count_clone</f>
        <v>3096</v>
      </c>
    </row>
    <row r="66" spans="1:47" s="31" customFormat="1" x14ac:dyDescent="0.25">
      <c r="A66" s="31" t="s">
        <v>942</v>
      </c>
      <c r="B66" s="31">
        <f>'Indoor Inputs'!G53</f>
        <v>2</v>
      </c>
      <c r="C66" s="31">
        <f t="shared" si="5"/>
        <v>336</v>
      </c>
      <c r="E66" s="31">
        <f>i_count_flower*2+length_break</f>
        <v>2784</v>
      </c>
    </row>
    <row r="67" spans="1:47" s="31" customFormat="1" x14ac:dyDescent="0.25">
      <c r="A67" s="31" t="s">
        <v>1798</v>
      </c>
      <c r="B67" s="31">
        <f>2/7</f>
        <v>0.2857142857142857</v>
      </c>
      <c r="C67" s="31">
        <f>24*7*B67</f>
        <v>48</v>
      </c>
    </row>
    <row r="68" spans="1:47" s="31" customFormat="1" x14ac:dyDescent="0.25">
      <c r="B68" s="847" t="s">
        <v>1800</v>
      </c>
      <c r="C68" s="848"/>
      <c r="D68" s="849" t="s">
        <v>1798</v>
      </c>
      <c r="E68" s="850"/>
      <c r="F68" s="847" t="s">
        <v>1792</v>
      </c>
      <c r="G68" s="848"/>
      <c r="H68" s="849" t="s">
        <v>1798</v>
      </c>
      <c r="I68" s="850"/>
      <c r="J68" s="847" t="s">
        <v>1793</v>
      </c>
      <c r="K68" s="848"/>
      <c r="L68" s="849" t="s">
        <v>1798</v>
      </c>
      <c r="M68" s="850"/>
      <c r="N68" s="847" t="s">
        <v>1794</v>
      </c>
      <c r="O68" s="848"/>
      <c r="P68" s="849" t="s">
        <v>1798</v>
      </c>
      <c r="Q68" s="850"/>
      <c r="R68" s="847" t="s">
        <v>1795</v>
      </c>
      <c r="S68" s="848"/>
      <c r="T68" s="849" t="s">
        <v>1798</v>
      </c>
      <c r="U68" s="850"/>
      <c r="V68" s="847" t="s">
        <v>1796</v>
      </c>
      <c r="W68" s="848"/>
      <c r="X68" s="849" t="s">
        <v>1798</v>
      </c>
      <c r="Y68" s="851"/>
      <c r="Z68" s="850"/>
      <c r="AA68" s="847" t="s">
        <v>1797</v>
      </c>
      <c r="AB68" s="848"/>
      <c r="AC68" s="849" t="s">
        <v>1798</v>
      </c>
      <c r="AD68" s="850"/>
      <c r="AE68" s="847" t="s">
        <v>1799</v>
      </c>
      <c r="AF68" s="848"/>
      <c r="AG68" s="849" t="s">
        <v>1798</v>
      </c>
      <c r="AH68" s="850"/>
      <c r="AI68" s="847" t="s">
        <v>1801</v>
      </c>
      <c r="AJ68" s="848"/>
      <c r="AK68" s="849" t="s">
        <v>1798</v>
      </c>
      <c r="AL68" s="850"/>
      <c r="AM68" s="847" t="s">
        <v>1802</v>
      </c>
      <c r="AN68" s="848"/>
    </row>
    <row r="69" spans="1:47" x14ac:dyDescent="0.25">
      <c r="B69" s="69" t="s">
        <v>1510</v>
      </c>
      <c r="C69" s="69" t="s">
        <v>1791</v>
      </c>
      <c r="D69" s="69" t="s">
        <v>1510</v>
      </c>
      <c r="E69" s="69" t="s">
        <v>1791</v>
      </c>
      <c r="F69" s="69" t="s">
        <v>1510</v>
      </c>
      <c r="G69" s="69" t="s">
        <v>1791</v>
      </c>
      <c r="H69" s="69" t="s">
        <v>1510</v>
      </c>
      <c r="I69" s="69" t="s">
        <v>1791</v>
      </c>
      <c r="J69" s="69" t="s">
        <v>1510</v>
      </c>
      <c r="K69" s="69" t="s">
        <v>1791</v>
      </c>
      <c r="L69" s="69" t="s">
        <v>1510</v>
      </c>
      <c r="M69" s="69" t="s">
        <v>1791</v>
      </c>
      <c r="N69" s="69" t="s">
        <v>1510</v>
      </c>
      <c r="O69" s="69" t="s">
        <v>1791</v>
      </c>
      <c r="P69" s="69" t="s">
        <v>1510</v>
      </c>
      <c r="Q69" s="69" t="s">
        <v>1791</v>
      </c>
      <c r="R69" s="69" t="s">
        <v>1510</v>
      </c>
      <c r="S69" s="69" t="s">
        <v>1791</v>
      </c>
      <c r="T69" s="69" t="s">
        <v>1510</v>
      </c>
      <c r="U69" s="69" t="s">
        <v>1791</v>
      </c>
      <c r="V69" s="69" t="s">
        <v>1510</v>
      </c>
      <c r="W69" s="69" t="s">
        <v>1791</v>
      </c>
      <c r="X69" s="69" t="s">
        <v>1510</v>
      </c>
      <c r="Y69" s="69"/>
      <c r="Z69" s="69" t="s">
        <v>1791</v>
      </c>
      <c r="AA69" s="69" t="s">
        <v>1510</v>
      </c>
      <c r="AB69" s="69" t="s">
        <v>1791</v>
      </c>
      <c r="AC69" s="69" t="s">
        <v>1510</v>
      </c>
      <c r="AD69" s="69" t="s">
        <v>1791</v>
      </c>
      <c r="AE69" s="69" t="s">
        <v>1510</v>
      </c>
      <c r="AF69" s="69" t="s">
        <v>1791</v>
      </c>
      <c r="AG69" s="69" t="s">
        <v>1510</v>
      </c>
      <c r="AH69" s="69" t="s">
        <v>1791</v>
      </c>
      <c r="AI69" s="69" t="s">
        <v>1510</v>
      </c>
      <c r="AJ69" s="69" t="s">
        <v>1791</v>
      </c>
      <c r="AK69" s="69" t="s">
        <v>1510</v>
      </c>
      <c r="AL69" s="69" t="s">
        <v>1791</v>
      </c>
      <c r="AM69" s="69" t="s">
        <v>1510</v>
      </c>
      <c r="AN69" s="69" t="s">
        <v>1791</v>
      </c>
    </row>
    <row r="70" spans="1:47" x14ac:dyDescent="0.25">
      <c r="A70" s="69" t="s">
        <v>943</v>
      </c>
      <c r="B70" s="31">
        <f>F71-length_break-length_clone</f>
        <v>-407</v>
      </c>
      <c r="C70" s="31">
        <f>B70+length_clone</f>
        <v>121</v>
      </c>
      <c r="D70" s="31">
        <f>C70+1</f>
        <v>122</v>
      </c>
      <c r="E70" s="31">
        <f>F70-1</f>
        <v>1010</v>
      </c>
      <c r="F70" s="31">
        <f>J71-length_break-length_clone</f>
        <v>1011</v>
      </c>
      <c r="G70" s="31">
        <f>F70+length_clone</f>
        <v>1539</v>
      </c>
      <c r="H70" s="31">
        <f>G70+1</f>
        <v>1540</v>
      </c>
      <c r="I70" s="31">
        <f>J70-1</f>
        <v>2428</v>
      </c>
      <c r="J70" s="31">
        <f>N71-length_break-length_clone</f>
        <v>2429</v>
      </c>
      <c r="K70" s="31">
        <f>J70+length_clone</f>
        <v>2957</v>
      </c>
      <c r="L70" s="31">
        <f>K70+1</f>
        <v>2958</v>
      </c>
      <c r="M70" s="31">
        <f>N70-1</f>
        <v>3846</v>
      </c>
      <c r="N70" s="31">
        <f>R71-length_break-length_clone</f>
        <v>3847</v>
      </c>
      <c r="O70" s="31">
        <f>N70+length_clone</f>
        <v>4375</v>
      </c>
      <c r="P70" s="31">
        <f>O70+1</f>
        <v>4376</v>
      </c>
      <c r="Q70" s="31">
        <f>R70-1</f>
        <v>5264</v>
      </c>
      <c r="R70" s="31">
        <f>V71-length_break-length_clone</f>
        <v>5265</v>
      </c>
      <c r="S70" s="31">
        <f>R70+length_clone</f>
        <v>5793</v>
      </c>
      <c r="T70" s="31">
        <f>S70+1</f>
        <v>5794</v>
      </c>
      <c r="U70" s="31">
        <f>V70-1</f>
        <v>6682</v>
      </c>
      <c r="V70" s="31">
        <f>AA71-length_clone-length_break</f>
        <v>6683</v>
      </c>
      <c r="W70" s="31">
        <f>V70+length_clone</f>
        <v>7211</v>
      </c>
      <c r="X70" s="31">
        <f>W70+1</f>
        <v>7212</v>
      </c>
      <c r="Z70" s="31">
        <f>AA70-1</f>
        <v>8100</v>
      </c>
      <c r="AA70" s="31">
        <f>AE71-length_break-length_clone</f>
        <v>8101</v>
      </c>
      <c r="AB70" s="31">
        <f>AA70+length_clone</f>
        <v>8629</v>
      </c>
      <c r="AC70" s="31">
        <f>AB70+1</f>
        <v>8630</v>
      </c>
      <c r="AD70" s="31"/>
      <c r="AE70" s="31"/>
      <c r="AF70" s="31"/>
      <c r="AG70" s="31"/>
      <c r="AH70" s="31"/>
    </row>
    <row r="71" spans="1:47" x14ac:dyDescent="0.25">
      <c r="A71" s="69" t="s">
        <v>944</v>
      </c>
      <c r="B71" s="31"/>
      <c r="C71" s="31"/>
      <c r="D71" s="31"/>
      <c r="E71" s="31"/>
      <c r="F71" s="31">
        <f>K72-length_veg</f>
        <v>169</v>
      </c>
      <c r="G71" s="31">
        <f>F71+length_veg</f>
        <v>1369</v>
      </c>
      <c r="H71" s="31">
        <f>G71+1</f>
        <v>1370</v>
      </c>
      <c r="I71" s="31">
        <f>J71-1</f>
        <v>1586</v>
      </c>
      <c r="J71" s="31">
        <f>O72-length_veg</f>
        <v>1587</v>
      </c>
      <c r="K71" s="31">
        <f>J71+length_veg</f>
        <v>2787</v>
      </c>
      <c r="L71" s="31">
        <f>K71+1</f>
        <v>2788</v>
      </c>
      <c r="M71" s="31">
        <f>N71-1</f>
        <v>3004</v>
      </c>
      <c r="N71" s="31">
        <f>S72-length_veg</f>
        <v>3005</v>
      </c>
      <c r="O71" s="31">
        <f>N71+length_veg</f>
        <v>4205</v>
      </c>
      <c r="P71" s="31">
        <f>O71+1</f>
        <v>4206</v>
      </c>
      <c r="Q71" s="31">
        <f>R71-1</f>
        <v>4422</v>
      </c>
      <c r="R71" s="31">
        <f>W72-length_veg</f>
        <v>4423</v>
      </c>
      <c r="S71" s="31">
        <f>R71+length_veg</f>
        <v>5623</v>
      </c>
      <c r="T71" s="31">
        <f>S71+1</f>
        <v>5624</v>
      </c>
      <c r="U71" s="31">
        <f>V71-1</f>
        <v>5840</v>
      </c>
      <c r="V71" s="31">
        <f>AB72-length_veg</f>
        <v>5841</v>
      </c>
      <c r="W71" s="31">
        <f>V71+length_veg</f>
        <v>7041</v>
      </c>
      <c r="X71" s="31">
        <f>W71+1</f>
        <v>7042</v>
      </c>
      <c r="Z71" s="31">
        <f>AA71-1</f>
        <v>7258</v>
      </c>
      <c r="AA71" s="31">
        <f>AF72-length_veg</f>
        <v>7259</v>
      </c>
      <c r="AB71" s="31">
        <f>AA71+length_veg</f>
        <v>8459</v>
      </c>
      <c r="AC71" s="31">
        <f>AB71+1</f>
        <v>8460</v>
      </c>
      <c r="AD71" s="31">
        <f>AE71-1</f>
        <v>8676</v>
      </c>
      <c r="AE71" s="31">
        <f>AJ72-length_veg</f>
        <v>8677</v>
      </c>
      <c r="AF71" s="31">
        <f>AE71+length_veg</f>
        <v>9877</v>
      </c>
      <c r="AG71" s="31">
        <f>AF71+1</f>
        <v>9878</v>
      </c>
      <c r="AH71" s="31"/>
    </row>
    <row r="72" spans="1:47" x14ac:dyDescent="0.25">
      <c r="A72" s="69" t="s">
        <v>945</v>
      </c>
      <c r="B72" s="31"/>
      <c r="C72" s="31"/>
      <c r="D72" s="31"/>
      <c r="E72" s="31"/>
      <c r="F72" s="31"/>
      <c r="G72" s="31"/>
      <c r="H72" s="31"/>
      <c r="I72" s="31"/>
      <c r="J72" s="31">
        <v>1</v>
      </c>
      <c r="K72" s="31">
        <f>J72+length_flower</f>
        <v>1369</v>
      </c>
      <c r="L72" s="31">
        <f>K72+1</f>
        <v>1370</v>
      </c>
      <c r="M72" s="31">
        <f>L72+length_break</f>
        <v>1418</v>
      </c>
      <c r="N72" s="31">
        <f>M72+1</f>
        <v>1419</v>
      </c>
      <c r="O72" s="31">
        <f>N72+length_flower</f>
        <v>2787</v>
      </c>
      <c r="P72" s="31">
        <f>O72+1</f>
        <v>2788</v>
      </c>
      <c r="Q72" s="31">
        <f>P72+length_break</f>
        <v>2836</v>
      </c>
      <c r="R72" s="31">
        <f>Q72+1</f>
        <v>2837</v>
      </c>
      <c r="S72" s="31">
        <f>R72+length_flower</f>
        <v>4205</v>
      </c>
      <c r="T72" s="31">
        <f>S72+1</f>
        <v>4206</v>
      </c>
      <c r="U72" s="31">
        <f>T72+length_break</f>
        <v>4254</v>
      </c>
      <c r="V72" s="31">
        <f>U72+1</f>
        <v>4255</v>
      </c>
      <c r="W72" s="31">
        <f>V72+length_flower</f>
        <v>5623</v>
      </c>
      <c r="X72" s="31">
        <f>W72+1</f>
        <v>5624</v>
      </c>
      <c r="Z72" s="31">
        <f>X72+length_break</f>
        <v>5672</v>
      </c>
      <c r="AA72" s="31">
        <f>Z72+1</f>
        <v>5673</v>
      </c>
      <c r="AB72" s="31">
        <f>AA72+length_flower</f>
        <v>7041</v>
      </c>
      <c r="AC72" s="31">
        <f>AB72+1</f>
        <v>7042</v>
      </c>
      <c r="AD72" s="31">
        <f>AC72+length_break</f>
        <v>7090</v>
      </c>
      <c r="AE72" s="31">
        <f>AD72+1</f>
        <v>7091</v>
      </c>
      <c r="AF72" s="31">
        <f>AE72+length_flower</f>
        <v>8459</v>
      </c>
      <c r="AG72" s="31">
        <f>AF72+1</f>
        <v>8460</v>
      </c>
      <c r="AH72" s="31">
        <f>AG72+length_break</f>
        <v>8508</v>
      </c>
      <c r="AI72" s="31">
        <f>AH72+1</f>
        <v>8509</v>
      </c>
      <c r="AJ72" s="31">
        <f>AI72+length_flower</f>
        <v>9877</v>
      </c>
    </row>
    <row r="73" spans="1:47" x14ac:dyDescent="0.25">
      <c r="A73" s="69" t="s">
        <v>942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>
        <f>K72+length_break</f>
        <v>1417</v>
      </c>
      <c r="O73" s="31">
        <f>N73+length_cure</f>
        <v>1753</v>
      </c>
      <c r="P73" s="31">
        <f>O73+1</f>
        <v>1754</v>
      </c>
      <c r="Q73" s="31">
        <f>R73-1</f>
        <v>2834</v>
      </c>
      <c r="R73" s="31">
        <f>O72+length_break</f>
        <v>2835</v>
      </c>
      <c r="S73" s="31">
        <f>R73+length_cure</f>
        <v>3171</v>
      </c>
      <c r="T73" s="31">
        <f>S73+1</f>
        <v>3172</v>
      </c>
      <c r="U73" s="31">
        <f>V73-1</f>
        <v>4252</v>
      </c>
      <c r="V73" s="31">
        <f>S72+length_break</f>
        <v>4253</v>
      </c>
      <c r="W73" s="31">
        <f>V73+length_cure</f>
        <v>4589</v>
      </c>
      <c r="X73" s="31">
        <f>W73+1</f>
        <v>4590</v>
      </c>
      <c r="Z73" s="31">
        <f>AA73-1</f>
        <v>5670</v>
      </c>
      <c r="AA73" s="31">
        <f>W72+length_break</f>
        <v>5671</v>
      </c>
      <c r="AB73" s="31">
        <f>AA73+length_cure</f>
        <v>6007</v>
      </c>
      <c r="AC73" s="31">
        <f>AB73+1</f>
        <v>6008</v>
      </c>
      <c r="AD73" s="31">
        <f>AE73-1</f>
        <v>7088</v>
      </c>
      <c r="AE73" s="31">
        <f>AB72+length_break</f>
        <v>7089</v>
      </c>
      <c r="AF73" s="31">
        <f>AE73+length_cure</f>
        <v>7425</v>
      </c>
      <c r="AG73" s="31">
        <f>AF73+1</f>
        <v>7426</v>
      </c>
      <c r="AH73" s="31">
        <f>AI73-1</f>
        <v>8506</v>
      </c>
      <c r="AI73">
        <f>AF72+length_break</f>
        <v>8507</v>
      </c>
      <c r="AJ73">
        <f>AI73+length_cure</f>
        <v>8843</v>
      </c>
      <c r="AK73">
        <f>AJ73+1</f>
        <v>8844</v>
      </c>
      <c r="AL73">
        <f>AM73-1</f>
        <v>9924</v>
      </c>
      <c r="AM73">
        <f>AJ72+length_break</f>
        <v>9925</v>
      </c>
      <c r="AN73">
        <f>AM73+length_cure</f>
        <v>10261</v>
      </c>
    </row>
    <row r="74" spans="1:47" x14ac:dyDescent="0.25"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U74" s="31"/>
    </row>
    <row r="75" spans="1:47" x14ac:dyDescent="0.25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</row>
    <row r="76" spans="1:47" x14ac:dyDescent="0.25">
      <c r="A76" s="31"/>
      <c r="B76" s="847" t="s">
        <v>1800</v>
      </c>
      <c r="C76" s="848"/>
      <c r="D76" s="849" t="s">
        <v>1798</v>
      </c>
      <c r="E76" s="850"/>
      <c r="F76" s="847" t="s">
        <v>1792</v>
      </c>
      <c r="G76" s="848"/>
      <c r="H76" s="849" t="s">
        <v>1798</v>
      </c>
      <c r="I76" s="850"/>
      <c r="J76" s="847" t="s">
        <v>1793</v>
      </c>
      <c r="K76" s="848"/>
      <c r="L76" s="849" t="s">
        <v>1798</v>
      </c>
      <c r="M76" s="850"/>
      <c r="N76" s="847" t="s">
        <v>1794</v>
      </c>
      <c r="O76" s="848"/>
      <c r="P76" s="849" t="s">
        <v>1798</v>
      </c>
      <c r="Q76" s="850"/>
      <c r="R76" s="847" t="s">
        <v>1795</v>
      </c>
      <c r="S76" s="848"/>
      <c r="T76" s="849" t="s">
        <v>1798</v>
      </c>
      <c r="U76" s="850"/>
      <c r="V76" s="847" t="s">
        <v>1796</v>
      </c>
      <c r="W76" s="848"/>
      <c r="X76" s="849" t="s">
        <v>1798</v>
      </c>
      <c r="Y76" s="851"/>
      <c r="Z76" s="850"/>
      <c r="AA76" s="847" t="s">
        <v>1797</v>
      </c>
      <c r="AB76" s="848"/>
      <c r="AC76" s="849" t="s">
        <v>1798</v>
      </c>
      <c r="AD76" s="850"/>
      <c r="AE76" s="847" t="s">
        <v>1799</v>
      </c>
      <c r="AF76" s="848"/>
      <c r="AG76" s="849" t="s">
        <v>1798</v>
      </c>
      <c r="AH76" s="850"/>
      <c r="AI76" s="847" t="s">
        <v>1801</v>
      </c>
      <c r="AJ76" s="848"/>
      <c r="AK76" s="849" t="s">
        <v>1798</v>
      </c>
      <c r="AL76" s="850"/>
      <c r="AM76" s="847" t="s">
        <v>1802</v>
      </c>
      <c r="AN76" s="848"/>
    </row>
    <row r="77" spans="1:47" x14ac:dyDescent="0.25">
      <c r="A77" s="31"/>
      <c r="B77" s="69" t="s">
        <v>1510</v>
      </c>
      <c r="C77" s="69" t="s">
        <v>1791</v>
      </c>
      <c r="D77" s="69" t="s">
        <v>1510</v>
      </c>
      <c r="E77" s="69" t="s">
        <v>1791</v>
      </c>
      <c r="F77" s="69" t="s">
        <v>1510</v>
      </c>
      <c r="G77" s="69" t="s">
        <v>1791</v>
      </c>
      <c r="H77" s="69" t="s">
        <v>1510</v>
      </c>
      <c r="I77" s="69" t="s">
        <v>1791</v>
      </c>
      <c r="J77" s="69" t="s">
        <v>1510</v>
      </c>
      <c r="K77" s="69" t="s">
        <v>1791</v>
      </c>
      <c r="L77" s="69" t="s">
        <v>1510</v>
      </c>
      <c r="M77" s="69" t="s">
        <v>1791</v>
      </c>
      <c r="N77" s="69" t="s">
        <v>1510</v>
      </c>
      <c r="O77" s="69" t="s">
        <v>1791</v>
      </c>
      <c r="P77" s="69" t="s">
        <v>1510</v>
      </c>
      <c r="Q77" s="69" t="s">
        <v>1791</v>
      </c>
      <c r="R77" s="69" t="s">
        <v>1510</v>
      </c>
      <c r="S77" s="69" t="s">
        <v>1791</v>
      </c>
      <c r="T77" s="69" t="s">
        <v>1510</v>
      </c>
      <c r="U77" s="69" t="s">
        <v>1791</v>
      </c>
      <c r="V77" s="69" t="s">
        <v>1510</v>
      </c>
      <c r="W77" s="69" t="s">
        <v>1791</v>
      </c>
      <c r="X77" s="69" t="s">
        <v>1510</v>
      </c>
      <c r="Y77" s="69"/>
      <c r="Z77" s="69" t="s">
        <v>1791</v>
      </c>
      <c r="AA77" s="69" t="s">
        <v>1510</v>
      </c>
      <c r="AB77" s="69" t="s">
        <v>1791</v>
      </c>
      <c r="AC77" s="69" t="s">
        <v>1510</v>
      </c>
      <c r="AD77" s="69" t="s">
        <v>1791</v>
      </c>
      <c r="AE77" s="69" t="s">
        <v>1510</v>
      </c>
      <c r="AF77" s="69" t="s">
        <v>1791</v>
      </c>
      <c r="AG77" s="69" t="s">
        <v>1510</v>
      </c>
      <c r="AH77" s="69" t="s">
        <v>1791</v>
      </c>
      <c r="AI77" s="69" t="s">
        <v>1510</v>
      </c>
      <c r="AJ77" s="69" t="s">
        <v>1791</v>
      </c>
      <c r="AK77" s="69" t="s">
        <v>1510</v>
      </c>
      <c r="AL77" s="69" t="s">
        <v>1791</v>
      </c>
      <c r="AM77" s="69" t="s">
        <v>1510</v>
      </c>
      <c r="AN77" s="69" t="s">
        <v>1791</v>
      </c>
    </row>
    <row r="78" spans="1:47" x14ac:dyDescent="0.25">
      <c r="A78" s="69" t="s">
        <v>943</v>
      </c>
      <c r="B78" s="31">
        <f>E79-length_break-length_clone</f>
        <v>-408</v>
      </c>
      <c r="C78" s="31">
        <f>B78+length_clone</f>
        <v>120</v>
      </c>
      <c r="D78" s="31">
        <f>C78+1</f>
        <v>121</v>
      </c>
      <c r="E78" s="31">
        <f>F78-1</f>
        <v>1007</v>
      </c>
      <c r="F78" s="31">
        <f>I79-length_break-length_clone</f>
        <v>1008</v>
      </c>
      <c r="G78" s="31">
        <f>F78+length_clone</f>
        <v>1536</v>
      </c>
      <c r="H78" s="31">
        <f>G78+1</f>
        <v>1537</v>
      </c>
      <c r="I78" s="31">
        <f>J78-1</f>
        <v>2423</v>
      </c>
      <c r="J78" s="31">
        <f>M79-length_break-length_clone</f>
        <v>2424</v>
      </c>
      <c r="K78" s="31">
        <f>J78+length_clone</f>
        <v>2952</v>
      </c>
      <c r="L78" s="31">
        <f>K78+1</f>
        <v>2953</v>
      </c>
      <c r="M78" s="31">
        <f>N78-1</f>
        <v>3839</v>
      </c>
      <c r="N78" s="31">
        <f>Q79-length_break-length_clone</f>
        <v>3840</v>
      </c>
      <c r="O78" s="31">
        <f>N78+length_clone</f>
        <v>4368</v>
      </c>
      <c r="P78" s="31">
        <f>O78+1</f>
        <v>4369</v>
      </c>
      <c r="Q78" s="31">
        <f>R78-1</f>
        <v>5255</v>
      </c>
      <c r="R78" s="31">
        <f>U79-length_break-length_clone</f>
        <v>5256</v>
      </c>
      <c r="S78" s="31">
        <f>R78+length_clone</f>
        <v>5784</v>
      </c>
      <c r="T78" s="31">
        <f>S78+1</f>
        <v>5785</v>
      </c>
      <c r="U78" s="31">
        <f>V78-1</f>
        <v>6671</v>
      </c>
      <c r="V78" s="31">
        <f>Z79-length_clone-length_break</f>
        <v>6672</v>
      </c>
      <c r="W78" s="31">
        <f>V78+length_clone</f>
        <v>7200</v>
      </c>
      <c r="X78" s="31">
        <f>W78+1</f>
        <v>7201</v>
      </c>
      <c r="Z78" s="31">
        <f>AA78-1</f>
        <v>8087</v>
      </c>
      <c r="AA78" s="31">
        <f>AD79-length_break-length_clone</f>
        <v>8088</v>
      </c>
      <c r="AB78" s="31">
        <f>AA78+length_clone</f>
        <v>8616</v>
      </c>
      <c r="AC78" s="31">
        <f>AB78+1</f>
        <v>8617</v>
      </c>
      <c r="AD78" s="31">
        <f>AC78+(Z78-X78)</f>
        <v>9503</v>
      </c>
      <c r="AE78" s="31"/>
      <c r="AF78" s="31"/>
      <c r="AG78" s="31"/>
      <c r="AH78" s="31"/>
      <c r="AI78" s="31"/>
      <c r="AJ78" s="31"/>
      <c r="AK78" s="31"/>
      <c r="AL78" s="31"/>
      <c r="AM78" s="31"/>
      <c r="AN78" s="31"/>
    </row>
    <row r="79" spans="1:47" x14ac:dyDescent="0.25">
      <c r="A79" s="69" t="s">
        <v>944</v>
      </c>
      <c r="B79">
        <f>D88</f>
        <v>-1247</v>
      </c>
      <c r="C79">
        <v>-48</v>
      </c>
      <c r="D79">
        <f>C79+1</f>
        <v>-47</v>
      </c>
      <c r="E79" s="31">
        <f>C80-length_veg</f>
        <v>168</v>
      </c>
      <c r="F79" s="31">
        <f>E79+1</f>
        <v>169</v>
      </c>
      <c r="G79" s="31">
        <f>length_veg+((C90-2)*length_break+(C90-1)*length_flower)-length_veg</f>
        <v>1368</v>
      </c>
      <c r="H79" s="31">
        <f>G79+1</f>
        <v>1369</v>
      </c>
      <c r="I79" s="31">
        <f>((C90-1)*length_break+(C90)*length_flower)-length_veg</f>
        <v>1584</v>
      </c>
      <c r="J79" s="31">
        <f>I79+1</f>
        <v>1585</v>
      </c>
      <c r="K79" s="31">
        <f>length_veg+((C91-2)*length_break+(C91-1)*length_flower)-length_veg</f>
        <v>2784</v>
      </c>
      <c r="L79" s="31">
        <f>K79+1</f>
        <v>2785</v>
      </c>
      <c r="M79" s="31">
        <f>K80-length_veg</f>
        <v>3000</v>
      </c>
      <c r="N79" s="31">
        <f>M79+1</f>
        <v>3001</v>
      </c>
      <c r="O79" s="31">
        <f>length_veg+((C92-2)*length_break+(C92-1)*length_flower)-length_veg</f>
        <v>4200</v>
      </c>
      <c r="P79" s="31">
        <f>O79+1</f>
        <v>4201</v>
      </c>
      <c r="Q79" s="31">
        <f>O80-length_veg</f>
        <v>4416</v>
      </c>
      <c r="R79" s="31">
        <f>Q79+1</f>
        <v>4417</v>
      </c>
      <c r="S79" s="31">
        <f>length_veg+((C93-2)*length_break+(C93-1)*length_flower)-length_veg</f>
        <v>5616</v>
      </c>
      <c r="T79" s="31">
        <f>S79+1</f>
        <v>5617</v>
      </c>
      <c r="U79" s="31">
        <f>S80-length_veg</f>
        <v>5832</v>
      </c>
      <c r="V79" s="31">
        <f>U79+1</f>
        <v>5833</v>
      </c>
      <c r="W79" s="31">
        <f>length_veg+((C94-2)*length_break+(C94-1)*length_flower)-length_veg</f>
        <v>7032</v>
      </c>
      <c r="X79" s="31">
        <f>W79+1</f>
        <v>7033</v>
      </c>
      <c r="Z79" s="31">
        <f>W80-length_veg</f>
        <v>7248</v>
      </c>
      <c r="AA79" s="31">
        <f>Z79+1</f>
        <v>7249</v>
      </c>
      <c r="AB79" s="31">
        <f>length_veg+((C95-2)*length_break+(C95-1)*length_flower)-length_veg</f>
        <v>8448</v>
      </c>
      <c r="AC79" s="31">
        <f>AB79+1</f>
        <v>8449</v>
      </c>
      <c r="AD79" s="31">
        <f>AB80-length_veg</f>
        <v>8664</v>
      </c>
      <c r="AE79" s="31">
        <f>AD79+1</f>
        <v>8665</v>
      </c>
      <c r="AF79" s="31">
        <f>length_veg+((C96-2)*length_break+(C96-1)*length_flower)-length_veg</f>
        <v>9864</v>
      </c>
      <c r="AG79" s="31"/>
      <c r="AH79" s="31"/>
      <c r="AI79" s="31"/>
      <c r="AJ79" s="31"/>
      <c r="AK79" s="31"/>
      <c r="AL79" s="31"/>
      <c r="AM79" s="31"/>
      <c r="AN79" s="31"/>
    </row>
    <row r="80" spans="1:47" x14ac:dyDescent="0.25">
      <c r="A80" s="69" t="s">
        <v>945</v>
      </c>
      <c r="B80" s="31">
        <v>1</v>
      </c>
      <c r="C80" s="31">
        <f>i_count_flower</f>
        <v>1368</v>
      </c>
      <c r="D80" s="31">
        <f>C80+1</f>
        <v>1369</v>
      </c>
      <c r="E80" s="31">
        <f>D80+length_break-1</f>
        <v>1416</v>
      </c>
      <c r="F80" s="31">
        <f>E80+1</f>
        <v>1417</v>
      </c>
      <c r="G80" s="31">
        <f>F80+length_flower-1</f>
        <v>2784</v>
      </c>
      <c r="H80" s="31">
        <f>G80+1</f>
        <v>2785</v>
      </c>
      <c r="I80" s="31">
        <f>H80+length_break-1</f>
        <v>2832</v>
      </c>
      <c r="J80" s="31">
        <f>I80+1</f>
        <v>2833</v>
      </c>
      <c r="K80" s="31">
        <f>J80+length_flower-1</f>
        <v>4200</v>
      </c>
      <c r="L80" s="31">
        <f>K80+1</f>
        <v>4201</v>
      </c>
      <c r="M80" s="31">
        <f>L80+length_break-1</f>
        <v>4248</v>
      </c>
      <c r="N80" s="31">
        <f>M80+1</f>
        <v>4249</v>
      </c>
      <c r="O80" s="31">
        <f>N80+length_flower-1</f>
        <v>5616</v>
      </c>
      <c r="P80" s="31">
        <f>O80+1</f>
        <v>5617</v>
      </c>
      <c r="Q80" s="31">
        <f>P80+length_break-1</f>
        <v>5664</v>
      </c>
      <c r="R80" s="31">
        <f>Q80+1</f>
        <v>5665</v>
      </c>
      <c r="S80" s="31">
        <f>R80+length_flower-1</f>
        <v>7032</v>
      </c>
      <c r="T80" s="31">
        <f>S80+1</f>
        <v>7033</v>
      </c>
      <c r="U80" s="31">
        <f>T80+length_break-1</f>
        <v>7080</v>
      </c>
      <c r="V80" s="31">
        <f>U80+1</f>
        <v>7081</v>
      </c>
      <c r="W80" s="31">
        <f>V80+length_flower-1</f>
        <v>8448</v>
      </c>
      <c r="X80" s="31">
        <f>W80+1</f>
        <v>8449</v>
      </c>
      <c r="Z80" s="31">
        <f>X80+length_break-1</f>
        <v>8496</v>
      </c>
      <c r="AA80" s="31">
        <f>Z80+1</f>
        <v>8497</v>
      </c>
      <c r="AB80" s="31">
        <f>AA80+length_flower-1</f>
        <v>9864</v>
      </c>
      <c r="AC80" s="31">
        <f>AB80+1</f>
        <v>9865</v>
      </c>
      <c r="AD80" s="31">
        <f>AC80+length_break-1</f>
        <v>9912</v>
      </c>
      <c r="AE80" s="31"/>
      <c r="AH80" s="31"/>
    </row>
    <row r="81" spans="1:34" x14ac:dyDescent="0.25">
      <c r="A81" s="69" t="s">
        <v>942</v>
      </c>
      <c r="B81">
        <v>0</v>
      </c>
      <c r="C81">
        <f>B81+length_cure</f>
        <v>336</v>
      </c>
      <c r="D81">
        <f>C81+1</f>
        <v>337</v>
      </c>
      <c r="E81">
        <f>F81-1</f>
        <v>1415</v>
      </c>
      <c r="F81" s="31">
        <f>C80+length_break</f>
        <v>1416</v>
      </c>
      <c r="G81" s="31">
        <f>F81+length_cure</f>
        <v>1752</v>
      </c>
      <c r="H81" s="31">
        <f>G81+1</f>
        <v>1753</v>
      </c>
      <c r="I81" s="31">
        <f>J81-1</f>
        <v>2831</v>
      </c>
      <c r="J81" s="31">
        <f>G80+length_break</f>
        <v>2832</v>
      </c>
      <c r="K81" s="31">
        <f>J81+length_cure</f>
        <v>3168</v>
      </c>
      <c r="L81" s="31">
        <f>K81+1</f>
        <v>3169</v>
      </c>
      <c r="M81" s="31">
        <f>N81-1</f>
        <v>4247</v>
      </c>
      <c r="N81" s="31">
        <f>K80+length_break</f>
        <v>4248</v>
      </c>
      <c r="O81" s="31">
        <f>N81+length_cure</f>
        <v>4584</v>
      </c>
      <c r="P81" s="31">
        <f>O81+1</f>
        <v>4585</v>
      </c>
      <c r="Q81" s="31">
        <f>R81-1</f>
        <v>5663</v>
      </c>
      <c r="R81" s="31">
        <f>O80+length_break</f>
        <v>5664</v>
      </c>
      <c r="S81" s="31">
        <f>R81+length_cure</f>
        <v>6000</v>
      </c>
      <c r="T81" s="31">
        <f>S81+1</f>
        <v>6001</v>
      </c>
      <c r="U81" s="31">
        <f>V81-1</f>
        <v>7079</v>
      </c>
      <c r="V81" s="31">
        <f>S80+length_break</f>
        <v>7080</v>
      </c>
      <c r="W81" s="31">
        <f>V81+length_cure</f>
        <v>7416</v>
      </c>
      <c r="X81" s="31">
        <f>W81+1</f>
        <v>7417</v>
      </c>
      <c r="Z81" s="31">
        <f>AA81-1</f>
        <v>8495</v>
      </c>
      <c r="AA81" s="31">
        <f>W80+length_break</f>
        <v>8496</v>
      </c>
      <c r="AB81" s="31">
        <f>AA81+length_cure</f>
        <v>8832</v>
      </c>
      <c r="AC81" s="31">
        <f>AB81+1</f>
        <v>8833</v>
      </c>
      <c r="AD81" s="31">
        <f>AE81-1</f>
        <v>9911</v>
      </c>
      <c r="AE81" s="31">
        <f>AB80+length_break</f>
        <v>9912</v>
      </c>
      <c r="AF81" s="31">
        <f>AE81+length_cure</f>
        <v>10248</v>
      </c>
      <c r="AG81" s="31"/>
      <c r="AH81" s="31"/>
    </row>
    <row r="82" spans="1:34" x14ac:dyDescent="0.25">
      <c r="B82" s="31"/>
      <c r="C82" s="31"/>
      <c r="D82" s="148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Z82" s="31"/>
      <c r="AA82" s="31"/>
      <c r="AB82" s="31"/>
      <c r="AC82" s="31"/>
      <c r="AD82" s="31"/>
      <c r="AE82" s="31"/>
      <c r="AF82" s="31"/>
      <c r="AG82" s="31"/>
      <c r="AH82" s="31"/>
    </row>
    <row r="83" spans="1:34" x14ac:dyDescent="0.25">
      <c r="B83" s="31">
        <v>-407</v>
      </c>
      <c r="C83" s="31">
        <v>120</v>
      </c>
      <c r="D83" s="31">
        <v>121</v>
      </c>
      <c r="E83" s="31">
        <v>1008</v>
      </c>
      <c r="F83" s="31">
        <v>1009</v>
      </c>
      <c r="G83" s="31">
        <v>1536</v>
      </c>
      <c r="H83" s="31">
        <v>1537</v>
      </c>
      <c r="I83" s="31">
        <v>2424</v>
      </c>
      <c r="J83" s="31">
        <v>2425</v>
      </c>
      <c r="K83" s="31"/>
      <c r="L83" s="31"/>
      <c r="M83" s="31">
        <v>3839</v>
      </c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Z83" s="31"/>
      <c r="AA83" s="31">
        <f>365*24</f>
        <v>8760</v>
      </c>
      <c r="AB83" s="31"/>
      <c r="AC83" s="31"/>
      <c r="AD83" s="31"/>
      <c r="AE83" s="31"/>
      <c r="AF83" s="31"/>
      <c r="AG83" s="31"/>
      <c r="AH83" s="31"/>
    </row>
    <row r="84" spans="1:34" x14ac:dyDescent="0.25">
      <c r="S84" s="31"/>
    </row>
    <row r="85" spans="1:34" s="31" customFormat="1" x14ac:dyDescent="0.25"/>
    <row r="86" spans="1:34" s="31" customFormat="1" x14ac:dyDescent="0.25"/>
    <row r="87" spans="1:34" x14ac:dyDescent="0.25">
      <c r="B87" t="s">
        <v>1870</v>
      </c>
      <c r="C87" t="s">
        <v>581</v>
      </c>
      <c r="D87" t="s">
        <v>1885</v>
      </c>
      <c r="G87" t="s">
        <v>1871</v>
      </c>
      <c r="H87" t="s">
        <v>1886</v>
      </c>
      <c r="L87" t="s">
        <v>1880</v>
      </c>
      <c r="M87" t="s">
        <v>1881</v>
      </c>
      <c r="O87" t="s">
        <v>1882</v>
      </c>
      <c r="S87" t="s">
        <v>1883</v>
      </c>
      <c r="T87" t="s">
        <v>1881</v>
      </c>
      <c r="V87" t="s">
        <v>1884</v>
      </c>
    </row>
    <row r="88" spans="1:34" x14ac:dyDescent="0.25">
      <c r="B88">
        <v>1</v>
      </c>
      <c r="C88">
        <v>0</v>
      </c>
      <c r="D88">
        <f t="shared" ref="D88:D96" si="6">1+((C89-2)*length_break+(C89-1)*length_flower)-length_veg</f>
        <v>-1247</v>
      </c>
      <c r="E88">
        <f t="shared" ref="E88:E91" si="7">length_veg+((C89-2)*length_break+(C89-1)*length_flower)-length_veg</f>
        <v>-48</v>
      </c>
      <c r="H88">
        <f t="shared" ref="H88:H93" si="8">E88+1</f>
        <v>-47</v>
      </c>
      <c r="I88">
        <f t="shared" ref="I88:I93" si="9">((C89-1)*length_break+(C89)*length_flower)-length_veg</f>
        <v>168</v>
      </c>
      <c r="L88">
        <f>1+((C89-1)*length_break+C89*length_flower)-length_veg-length_clone-length_break</f>
        <v>-407</v>
      </c>
      <c r="M88">
        <f>L88+length_clone</f>
        <v>121</v>
      </c>
      <c r="O88">
        <f>M88+1</f>
        <v>122</v>
      </c>
      <c r="P88">
        <f>((C89)*length_break+C90*length_flower)-length_veg-length_clone-length_break</f>
        <v>1008</v>
      </c>
    </row>
    <row r="89" spans="1:34" x14ac:dyDescent="0.25">
      <c r="B89">
        <f>length_veg</f>
        <v>1200</v>
      </c>
      <c r="C89">
        <v>1</v>
      </c>
      <c r="D89" s="31">
        <f t="shared" si="6"/>
        <v>169</v>
      </c>
      <c r="E89" s="31">
        <f>length_veg+((C90-2)*length_break+(C90-1)*length_flower)-length_veg</f>
        <v>1368</v>
      </c>
      <c r="H89" s="31">
        <f t="shared" si="8"/>
        <v>1369</v>
      </c>
      <c r="I89" s="31">
        <f>((C90-1)*length_break+(C90)*length_flower)-length_veg</f>
        <v>1584</v>
      </c>
      <c r="L89" s="31">
        <f>1+((C90-1)*length_break+C90*length_flower)-length_veg-length_clone-length_break</f>
        <v>1009</v>
      </c>
      <c r="M89" s="31">
        <f>L89+length_clone</f>
        <v>1537</v>
      </c>
      <c r="O89" s="31">
        <f>M89+1</f>
        <v>1538</v>
      </c>
      <c r="P89" s="31">
        <f>((C90)*length_break+C91*length_flower)-length_veg-length_clone-length_break</f>
        <v>2424</v>
      </c>
      <c r="S89">
        <f>(C89-1)*length_break+(C89-1)*length_flower</f>
        <v>0</v>
      </c>
      <c r="T89">
        <f>S89+length_cure</f>
        <v>336</v>
      </c>
      <c r="V89">
        <f>T89+1</f>
        <v>337</v>
      </c>
      <c r="W89">
        <f>C89*length_flower+C89*length_break-1</f>
        <v>1415</v>
      </c>
    </row>
    <row r="90" spans="1:34" x14ac:dyDescent="0.25">
      <c r="C90">
        <v>2</v>
      </c>
      <c r="D90" s="31">
        <f t="shared" si="6"/>
        <v>1585</v>
      </c>
      <c r="E90" s="31">
        <f>length_veg+((C91-2)*length_break+(C91-1)*length_flower)-length_veg</f>
        <v>2784</v>
      </c>
      <c r="H90" s="31">
        <f t="shared" si="8"/>
        <v>2785</v>
      </c>
      <c r="I90" s="31">
        <f t="shared" si="9"/>
        <v>3000</v>
      </c>
      <c r="L90" s="31">
        <f>1+((C91-1)*length_break+C91*length_flower)-length_veg-length_clone-length_break</f>
        <v>2425</v>
      </c>
      <c r="M90" s="31">
        <f>L90+length_clone</f>
        <v>2953</v>
      </c>
      <c r="O90" s="31">
        <f t="shared" ref="O90:O91" si="10">M90+1</f>
        <v>2954</v>
      </c>
      <c r="P90" s="31">
        <f>((C91)*length_break+C92*length_flower)-length_veg-length_clone-length_break</f>
        <v>3840</v>
      </c>
      <c r="S90" s="31">
        <f>(C90-1)*length_break+(C90-1)*length_flower</f>
        <v>1416</v>
      </c>
      <c r="T90">
        <f>S90+length_cure</f>
        <v>1752</v>
      </c>
      <c r="V90">
        <f>T90+1</f>
        <v>1753</v>
      </c>
      <c r="W90">
        <f>C90*length_flower+C90*length_break-1</f>
        <v>2831</v>
      </c>
    </row>
    <row r="91" spans="1:34" x14ac:dyDescent="0.25">
      <c r="C91">
        <v>3</v>
      </c>
      <c r="D91" s="31">
        <f t="shared" si="6"/>
        <v>3001</v>
      </c>
      <c r="E91" s="31">
        <f t="shared" si="7"/>
        <v>4200</v>
      </c>
      <c r="H91" s="31">
        <f t="shared" si="8"/>
        <v>4201</v>
      </c>
      <c r="I91" s="31">
        <f t="shared" si="9"/>
        <v>4416</v>
      </c>
      <c r="L91" s="31">
        <f>1+((C92-1)*length_break+C92*length_flower)-length_veg-length_clone-length_break</f>
        <v>3841</v>
      </c>
      <c r="M91" s="31">
        <f>L91+length_clone</f>
        <v>4369</v>
      </c>
      <c r="O91" s="31">
        <f t="shared" si="10"/>
        <v>4370</v>
      </c>
      <c r="P91" s="31">
        <f>((C92)*length_break+C93*length_flower)-length_veg-length_clone-length_break</f>
        <v>5256</v>
      </c>
      <c r="S91" s="31">
        <f>(C91-1)*length_break+(C91-1)*length_flower</f>
        <v>2832</v>
      </c>
      <c r="T91" s="31">
        <f>S91+length_cure</f>
        <v>3168</v>
      </c>
      <c r="V91" s="31">
        <f>T91+1</f>
        <v>3169</v>
      </c>
      <c r="W91" s="31">
        <f>C91*length_flower+C91*length_break-1</f>
        <v>4247</v>
      </c>
    </row>
    <row r="92" spans="1:34" x14ac:dyDescent="0.25">
      <c r="C92">
        <v>4</v>
      </c>
      <c r="D92" s="31">
        <f t="shared" si="6"/>
        <v>4417</v>
      </c>
      <c r="E92" s="31">
        <f>length_veg+((C93-2)*length_break+(C93-1)*length_flower)-length_veg</f>
        <v>5616</v>
      </c>
      <c r="H92" s="31">
        <f t="shared" si="8"/>
        <v>5617</v>
      </c>
      <c r="I92" s="31">
        <f>((C93-1)*length_break+(C93)*length_flower)-length_veg</f>
        <v>5832</v>
      </c>
    </row>
    <row r="93" spans="1:34" x14ac:dyDescent="0.25">
      <c r="C93">
        <v>5</v>
      </c>
      <c r="D93" s="31">
        <f t="shared" si="6"/>
        <v>5833</v>
      </c>
      <c r="E93" s="31">
        <f>length_veg+((C94-2)*length_break+(C94-1)*length_flower)-length_veg</f>
        <v>7032</v>
      </c>
      <c r="H93" s="31">
        <f t="shared" si="8"/>
        <v>7033</v>
      </c>
      <c r="I93" s="31">
        <f t="shared" si="9"/>
        <v>7248</v>
      </c>
    </row>
    <row r="94" spans="1:34" x14ac:dyDescent="0.25">
      <c r="C94">
        <v>6</v>
      </c>
      <c r="D94" s="31">
        <f t="shared" si="6"/>
        <v>7249</v>
      </c>
      <c r="E94" s="31">
        <f>length_veg+((C95-2)*length_break+(C95-1)*length_flower)-length_veg</f>
        <v>8448</v>
      </c>
      <c r="H94" s="31">
        <f t="shared" ref="H94:H95" si="11">E94+1</f>
        <v>8449</v>
      </c>
      <c r="I94" s="31">
        <f t="shared" ref="I94:I95" si="12">((C95-1)*length_break+(C95)*length_flower)-length_veg</f>
        <v>8664</v>
      </c>
    </row>
    <row r="95" spans="1:34" x14ac:dyDescent="0.25">
      <c r="C95" s="31">
        <v>7</v>
      </c>
      <c r="D95" s="31">
        <f t="shared" si="6"/>
        <v>8665</v>
      </c>
      <c r="E95" s="31">
        <f>length_veg+((C96-2)*length_break+(C96-1)*length_flower)-length_veg</f>
        <v>9864</v>
      </c>
      <c r="H95" s="31">
        <f t="shared" si="11"/>
        <v>9865</v>
      </c>
      <c r="I95" s="31">
        <f t="shared" si="12"/>
        <v>10080</v>
      </c>
    </row>
    <row r="96" spans="1:34" x14ac:dyDescent="0.25">
      <c r="C96" s="31">
        <v>8</v>
      </c>
      <c r="D96" s="31">
        <f t="shared" si="6"/>
        <v>-2663</v>
      </c>
      <c r="E96" s="31">
        <f>length_veg+((C97-2)*length_break+(C97-1)*length_flower)-length_veg</f>
        <v>-1464</v>
      </c>
    </row>
    <row r="97" spans="3:14" x14ac:dyDescent="0.25">
      <c r="N97" s="31"/>
    </row>
    <row r="98" spans="3:14" x14ac:dyDescent="0.25">
      <c r="N98" s="31"/>
    </row>
    <row r="102" spans="3:14" x14ac:dyDescent="0.25">
      <c r="C102" t="s">
        <v>2058</v>
      </c>
      <c r="D102" t="s">
        <v>1870</v>
      </c>
    </row>
    <row r="103" spans="3:14" x14ac:dyDescent="0.25">
      <c r="C103">
        <v>1</v>
      </c>
      <c r="D103">
        <f t="shared" ref="D103:D112" si="13">(C103-1)*24+1</f>
        <v>1</v>
      </c>
      <c r="E103">
        <f t="shared" ref="E103:E112" si="14">C103*24</f>
        <v>24</v>
      </c>
    </row>
    <row r="104" spans="3:14" x14ac:dyDescent="0.25">
      <c r="C104">
        <v>2</v>
      </c>
      <c r="D104" s="31">
        <f t="shared" si="13"/>
        <v>25</v>
      </c>
      <c r="E104">
        <f t="shared" si="14"/>
        <v>48</v>
      </c>
    </row>
    <row r="105" spans="3:14" x14ac:dyDescent="0.25">
      <c r="C105">
        <v>3</v>
      </c>
      <c r="D105" s="31">
        <f t="shared" si="13"/>
        <v>49</v>
      </c>
      <c r="E105">
        <f t="shared" si="14"/>
        <v>72</v>
      </c>
    </row>
    <row r="106" spans="3:14" x14ac:dyDescent="0.25">
      <c r="C106">
        <v>4</v>
      </c>
      <c r="D106" s="31">
        <f t="shared" si="13"/>
        <v>73</v>
      </c>
      <c r="E106" s="31">
        <f t="shared" si="14"/>
        <v>96</v>
      </c>
    </row>
    <row r="107" spans="3:14" x14ac:dyDescent="0.25">
      <c r="C107" s="31">
        <v>5</v>
      </c>
      <c r="D107" s="31">
        <f t="shared" si="13"/>
        <v>97</v>
      </c>
      <c r="E107" s="31">
        <f t="shared" si="14"/>
        <v>120</v>
      </c>
    </row>
    <row r="108" spans="3:14" x14ac:dyDescent="0.25">
      <c r="C108" s="31">
        <v>6</v>
      </c>
      <c r="D108" s="31">
        <f t="shared" si="13"/>
        <v>121</v>
      </c>
      <c r="E108" s="31">
        <f t="shared" si="14"/>
        <v>144</v>
      </c>
    </row>
    <row r="109" spans="3:14" x14ac:dyDescent="0.25">
      <c r="C109" s="31">
        <v>7</v>
      </c>
      <c r="D109" s="31">
        <f t="shared" si="13"/>
        <v>145</v>
      </c>
      <c r="E109" s="31">
        <f t="shared" si="14"/>
        <v>168</v>
      </c>
    </row>
    <row r="110" spans="3:14" x14ac:dyDescent="0.25">
      <c r="C110" s="31">
        <v>8</v>
      </c>
      <c r="D110" s="31">
        <f t="shared" si="13"/>
        <v>169</v>
      </c>
      <c r="E110" s="31">
        <f t="shared" si="14"/>
        <v>192</v>
      </c>
    </row>
    <row r="111" spans="3:14" x14ac:dyDescent="0.25">
      <c r="C111" s="31">
        <v>9</v>
      </c>
      <c r="D111" s="31">
        <f t="shared" si="13"/>
        <v>193</v>
      </c>
      <c r="E111" s="31">
        <f t="shared" si="14"/>
        <v>216</v>
      </c>
    </row>
    <row r="112" spans="3:14" x14ac:dyDescent="0.25">
      <c r="C112" s="31">
        <v>10</v>
      </c>
      <c r="D112" s="31">
        <f t="shared" si="13"/>
        <v>217</v>
      </c>
      <c r="E112" s="31">
        <f t="shared" si="14"/>
        <v>240</v>
      </c>
    </row>
    <row r="117" spans="2:8" x14ac:dyDescent="0.25">
      <c r="B117" s="31">
        <v>1149596080.1667399</v>
      </c>
      <c r="D117" s="31">
        <v>1.14281857253926E-3</v>
      </c>
      <c r="E117" s="246">
        <f>D117*$B$117</f>
        <v>1313779.7513328826</v>
      </c>
      <c r="F117" s="246">
        <v>1313779.75133287</v>
      </c>
      <c r="G117">
        <f>F117/E117</f>
        <v>0.99999999999999045</v>
      </c>
      <c r="H117">
        <f t="shared" ref="H117:H126" si="15">F117/indoor_annual_bud_yield</f>
        <v>779.91860553212632</v>
      </c>
    </row>
    <row r="118" spans="2:8" x14ac:dyDescent="0.25">
      <c r="D118" s="31">
        <v>2.8096708315874701</v>
      </c>
      <c r="E118" s="246">
        <f t="shared" ref="E118:E126" si="16">D118*$B$117</f>
        <v>3229986574.5517802</v>
      </c>
      <c r="F118" s="246">
        <v>3229986574.5517702</v>
      </c>
      <c r="G118" s="31">
        <f t="shared" ref="G118:G125" si="17">F118/E118</f>
        <v>0.99999999999999689</v>
      </c>
      <c r="H118" s="31">
        <f t="shared" si="15"/>
        <v>1917464.9499325701</v>
      </c>
    </row>
    <row r="119" spans="2:8" x14ac:dyDescent="0.25">
      <c r="D119" s="31">
        <v>3.73997828322927E-3</v>
      </c>
      <c r="E119" s="246">
        <f t="shared" si="16"/>
        <v>4299464.3743091021</v>
      </c>
      <c r="F119" s="246">
        <v>4299464.37430909</v>
      </c>
      <c r="G119" s="31">
        <f t="shared" si="17"/>
        <v>0.99999999999999722</v>
      </c>
      <c r="H119" s="31">
        <f t="shared" si="15"/>
        <v>2552.3549559538001</v>
      </c>
    </row>
    <row r="120" spans="2:8" x14ac:dyDescent="0.25">
      <c r="D120" s="31">
        <v>0.49450586212171299</v>
      </c>
      <c r="E120" s="246">
        <f t="shared" si="16"/>
        <v>568482000.71459556</v>
      </c>
      <c r="F120" s="246">
        <v>568482000.71459305</v>
      </c>
      <c r="G120" s="31">
        <f t="shared" si="17"/>
        <v>0.99999999999999556</v>
      </c>
      <c r="H120" s="31">
        <f t="shared" si="15"/>
        <v>337476.42161300359</v>
      </c>
    </row>
    <row r="121" spans="2:8" x14ac:dyDescent="0.25">
      <c r="D121" s="240">
        <v>3.9162687329008098E-8</v>
      </c>
      <c r="E121" s="246">
        <f t="shared" si="16"/>
        <v>45.021271842223364</v>
      </c>
      <c r="F121" s="246">
        <v>45.0212718422232</v>
      </c>
      <c r="G121" s="31">
        <f t="shared" si="17"/>
        <v>0.99999999999999634</v>
      </c>
      <c r="H121" s="31">
        <f t="shared" si="15"/>
        <v>2.6726646927573938E-2</v>
      </c>
    </row>
    <row r="122" spans="2:8" x14ac:dyDescent="0.25">
      <c r="D122" s="240">
        <v>1.1134464926483001E-7</v>
      </c>
      <c r="E122" s="246">
        <f t="shared" si="16"/>
        <v>128.00137234238906</v>
      </c>
      <c r="F122" s="246">
        <v>128.001372342389</v>
      </c>
      <c r="G122" s="31">
        <f t="shared" si="17"/>
        <v>0.99999999999999956</v>
      </c>
      <c r="H122" s="31">
        <f t="shared" si="15"/>
        <v>7.5987357639051178E-2</v>
      </c>
    </row>
    <row r="123" spans="2:8" x14ac:dyDescent="0.25">
      <c r="D123" s="240">
        <v>3.7329263009826202E-8</v>
      </c>
      <c r="E123" s="246">
        <f t="shared" si="16"/>
        <v>42.913574431609483</v>
      </c>
      <c r="F123" s="246">
        <v>42.913574431609298</v>
      </c>
      <c r="G123" s="31">
        <f t="shared" si="17"/>
        <v>0.99999999999999567</v>
      </c>
      <c r="H123" s="31">
        <f t="shared" si="15"/>
        <v>2.5475423178918998E-2</v>
      </c>
    </row>
    <row r="124" spans="2:8" x14ac:dyDescent="0.25">
      <c r="D124" s="31">
        <v>1.5997197218336999E-2</v>
      </c>
      <c r="E124" s="246">
        <f t="shared" si="16"/>
        <v>18390315.215854488</v>
      </c>
      <c r="F124" s="246">
        <v>18390315.215854399</v>
      </c>
      <c r="G124" s="31">
        <f t="shared" si="17"/>
        <v>0.99999999999999512</v>
      </c>
      <c r="H124" s="31">
        <f t="shared" si="15"/>
        <v>10917.31622739203</v>
      </c>
    </row>
    <row r="125" spans="2:8" x14ac:dyDescent="0.25">
      <c r="D125" s="31">
        <v>0.40172217543202099</v>
      </c>
      <c r="E125" s="246">
        <f t="shared" si="16"/>
        <v>461818238.19270676</v>
      </c>
      <c r="F125" s="246">
        <v>461818238.19270599</v>
      </c>
      <c r="G125" s="31">
        <f t="shared" si="17"/>
        <v>0.99999999999999833</v>
      </c>
      <c r="H125" s="31">
        <f t="shared" si="15"/>
        <v>274156.02651444759</v>
      </c>
    </row>
    <row r="126" spans="2:8" x14ac:dyDescent="0.25">
      <c r="D126" s="31">
        <v>1.3557025343112999E-3</v>
      </c>
      <c r="E126" s="246">
        <f t="shared" si="16"/>
        <v>1558510.3193163855</v>
      </c>
      <c r="F126" s="246">
        <v>1558510.31931638</v>
      </c>
      <c r="G126" s="31">
        <f>F126/E126</f>
        <v>0.99999999999999645</v>
      </c>
      <c r="H126" s="31">
        <f t="shared" si="15"/>
        <v>925.20165097345011</v>
      </c>
    </row>
    <row r="127" spans="2:8" x14ac:dyDescent="0.25">
      <c r="H127" s="31"/>
    </row>
    <row r="131" spans="1:38" x14ac:dyDescent="0.25">
      <c r="C131" s="31"/>
      <c r="D131" s="31" t="s">
        <v>468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</row>
    <row r="132" spans="1:38" ht="15.75" thickBot="1" x14ac:dyDescent="0.3">
      <c r="B132">
        <f>LCA!A2</f>
        <v>0</v>
      </c>
      <c r="C132" s="31">
        <f>LCA!B2</f>
        <v>0</v>
      </c>
      <c r="D132" s="31" t="str">
        <f>LCA!C2</f>
        <v>Acidification</v>
      </c>
      <c r="E132" s="31" t="str">
        <f>LCA!D2</f>
        <v>Ecotoxicity</v>
      </c>
      <c r="F132" s="31" t="str">
        <f>LCA!E2</f>
        <v>Eutrophication</v>
      </c>
      <c r="G132" s="31" t="str">
        <f>LCA!F2</f>
        <v>Global Warming</v>
      </c>
      <c r="H132" s="31" t="str">
        <f>LCA!G2</f>
        <v>Human Health - carcinogenics</v>
      </c>
      <c r="I132" s="31" t="str">
        <f>LCA!H2</f>
        <v>Human Health - non-carcinogenics</v>
      </c>
      <c r="J132" s="31" t="str">
        <f>LCA!I2</f>
        <v>Ozone Depletion</v>
      </c>
      <c r="K132" s="31" t="str">
        <f>LCA!J2</f>
        <v>Photochemical ozone formation</v>
      </c>
      <c r="L132" s="31" t="str">
        <f>LCA!K2</f>
        <v>Resource depletion - fossil fuels</v>
      </c>
      <c r="M132" s="31" t="str">
        <f>LCA!L2</f>
        <v>Respiratory effects</v>
      </c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Z132" s="31"/>
      <c r="AA132" s="31"/>
      <c r="AB132" s="31"/>
      <c r="AC132" s="31"/>
      <c r="AD132" s="31"/>
      <c r="AE132" s="335"/>
      <c r="AF132" s="31"/>
      <c r="AG132" s="31"/>
      <c r="AH132" s="31"/>
      <c r="AI132" s="31"/>
      <c r="AJ132" s="31"/>
      <c r="AK132" s="31"/>
    </row>
    <row r="133" spans="1:38" ht="15.75" thickBot="1" x14ac:dyDescent="0.3">
      <c r="A133" s="531" t="s">
        <v>2181</v>
      </c>
      <c r="B133" s="31" t="str">
        <f>LCA!A3</f>
        <v>Process</v>
      </c>
      <c r="C133" s="31" t="str">
        <f>LCA!B3</f>
        <v>Units</v>
      </c>
      <c r="D133" s="31" t="str">
        <f>LCA!C3</f>
        <v>kg SO2 eq</v>
      </c>
      <c r="E133" s="31" t="str">
        <f>LCA!D3</f>
        <v>CTUe</v>
      </c>
      <c r="F133" s="31" t="str">
        <f>LCA!E3</f>
        <v>kg N eq</v>
      </c>
      <c r="G133" s="31" t="str">
        <f>LCA!F3</f>
        <v>kg CO2 eq</v>
      </c>
      <c r="H133" s="31" t="str">
        <f>LCA!G3</f>
        <v>CTUh</v>
      </c>
      <c r="I133" s="31" t="str">
        <f>LCA!H3</f>
        <v>CTUh</v>
      </c>
      <c r="J133" s="31" t="str">
        <f>LCA!I3</f>
        <v>kg CFC-11 eq</v>
      </c>
      <c r="K133" s="31" t="str">
        <f>LCA!J3</f>
        <v>kg O3 eq</v>
      </c>
      <c r="L133" s="31" t="str">
        <f>LCA!K3</f>
        <v>MJ surplus</v>
      </c>
      <c r="M133" s="31" t="str">
        <f>LCA!L3</f>
        <v>kg PM2.5 eq</v>
      </c>
      <c r="N133" s="31"/>
      <c r="O133" s="531" t="s">
        <v>2181</v>
      </c>
      <c r="P133" s="503" t="s">
        <v>2179</v>
      </c>
      <c r="Q133" s="504"/>
      <c r="R133" s="504"/>
      <c r="S133" s="504"/>
      <c r="T133" s="504"/>
      <c r="U133" s="504"/>
      <c r="V133" s="504"/>
      <c r="W133" s="504"/>
      <c r="X133" s="504"/>
      <c r="Y133" s="505"/>
      <c r="Z133" s="530"/>
      <c r="AA133" s="531" t="s">
        <v>2181</v>
      </c>
      <c r="AB133" s="503" t="s">
        <v>2180</v>
      </c>
      <c r="AC133" s="504"/>
      <c r="AD133" s="504"/>
      <c r="AE133" s="504"/>
      <c r="AF133" s="504"/>
      <c r="AG133" s="504"/>
      <c r="AH133" s="504"/>
      <c r="AI133" s="504"/>
      <c r="AJ133" s="504"/>
      <c r="AK133" s="505"/>
    </row>
    <row r="134" spans="1:38" x14ac:dyDescent="0.25">
      <c r="A134" s="531">
        <v>1</v>
      </c>
      <c r="B134" s="31" t="str">
        <f>LCA!A4</f>
        <v>Simple Heating Load</v>
      </c>
      <c r="C134" s="31" t="str">
        <f>LCA!B4</f>
        <v>per kg-dry weed</v>
      </c>
      <c r="D134" s="31">
        <f>LCA!C4</f>
        <v>0.19353724731941779</v>
      </c>
      <c r="E134" s="31">
        <f>LCA!D4</f>
        <v>62.120747865913224</v>
      </c>
      <c r="F134" s="31">
        <f>LCA!E4</f>
        <v>4.5482777892178014E-2</v>
      </c>
      <c r="G134" s="335">
        <f>LCA!F4</f>
        <v>136.11484925686196</v>
      </c>
      <c r="H134" s="31">
        <f>LCA!G4</f>
        <v>8.9460767819515352E-7</v>
      </c>
      <c r="I134" s="31">
        <f>LCA!H4</f>
        <v>2.09100509147091E-6</v>
      </c>
      <c r="J134" s="31">
        <f>LCA!I4</f>
        <v>1.6333577983339467E-5</v>
      </c>
      <c r="K134" s="31">
        <f>LCA!J4</f>
        <v>3.5175674355155602</v>
      </c>
      <c r="L134" s="31">
        <f>LCA!K4</f>
        <v>322.95361551726995</v>
      </c>
      <c r="M134" s="31">
        <f>LCA!L4</f>
        <v>1.8608927595250135E-2</v>
      </c>
      <c r="N134" s="31"/>
      <c r="O134" s="531">
        <v>1</v>
      </c>
      <c r="P134" s="31">
        <v>0.19353724731941799</v>
      </c>
      <c r="Q134" s="31">
        <v>62.120747865913202</v>
      </c>
      <c r="R134" s="31">
        <v>4.5482777892178E-2</v>
      </c>
      <c r="S134" s="31">
        <v>136.11484925686199</v>
      </c>
      <c r="T134" s="240">
        <v>8.9460767819515299E-7</v>
      </c>
      <c r="U134" s="240">
        <v>2.09100509147091E-6</v>
      </c>
      <c r="V134" s="240">
        <v>1.6333577983339501E-5</v>
      </c>
      <c r="W134" s="31">
        <v>3.5175674355155602</v>
      </c>
      <c r="X134" s="31">
        <v>322.95361551727001</v>
      </c>
      <c r="Y134" s="31">
        <v>1.86089275952501E-2</v>
      </c>
      <c r="Z134" s="31"/>
      <c r="AA134" s="531">
        <v>1</v>
      </c>
      <c r="AB134" s="31">
        <f>IF(ABS(((P134-D134)/P134))&lt;(0.0000000001),0,ABS((P134-D134)/P134))</f>
        <v>0</v>
      </c>
      <c r="AC134" s="31">
        <f t="shared" ref="AC134:AK150" si="18">IF(ABS(((Q134-E134)/Q134))&lt;(0.0000000001),0,ABS((Q134-E134)/Q134))</f>
        <v>0</v>
      </c>
      <c r="AD134" s="31">
        <f t="shared" si="18"/>
        <v>0</v>
      </c>
      <c r="AE134" s="687">
        <f>IF(ABS(((S134-G134)/S134))&lt;(0.0000000001),0,ABS((S134-G134)/S134))</f>
        <v>0</v>
      </c>
      <c r="AF134" s="31">
        <f t="shared" si="18"/>
        <v>0</v>
      </c>
      <c r="AG134" s="31">
        <f t="shared" si="18"/>
        <v>0</v>
      </c>
      <c r="AH134" s="31">
        <f t="shared" si="18"/>
        <v>0</v>
      </c>
      <c r="AI134" s="31">
        <f t="shared" si="18"/>
        <v>0</v>
      </c>
      <c r="AJ134" s="31">
        <f t="shared" si="18"/>
        <v>0</v>
      </c>
      <c r="AK134" s="31">
        <f t="shared" si="18"/>
        <v>0</v>
      </c>
      <c r="AL134" s="31">
        <v>45.371616418953799</v>
      </c>
    </row>
    <row r="135" spans="1:38" x14ac:dyDescent="0.25">
      <c r="A135" s="531">
        <v>2</v>
      </c>
      <c r="B135" s="31" t="str">
        <f>LCA!A5</f>
        <v>Simple Cooling Load</v>
      </c>
      <c r="C135" s="31" t="str">
        <f>LCA!B5</f>
        <v>per kg-dry weed</v>
      </c>
      <c r="D135" s="31">
        <f>LCA!C5</f>
        <v>2.3150845282854576E-2</v>
      </c>
      <c r="E135" s="31">
        <f>LCA!D5</f>
        <v>56.917393784827226</v>
      </c>
      <c r="F135" s="31">
        <f>LCA!E5</f>
        <v>7.5763258208076403E-2</v>
      </c>
      <c r="G135" s="335">
        <f>LCA!F5</f>
        <v>12.373921006303924</v>
      </c>
      <c r="H135" s="31">
        <f>LCA!G5</f>
        <v>7.9334492543306339E-7</v>
      </c>
      <c r="I135" s="31">
        <f>LCA!H5</f>
        <v>2.2555835284303165E-6</v>
      </c>
      <c r="J135" s="31">
        <f>LCA!I5</f>
        <v>7.5620401455611335E-7</v>
      </c>
      <c r="K135" s="31">
        <f>LCA!J5</f>
        <v>0.32406599495328808</v>
      </c>
      <c r="L135" s="31">
        <f>LCA!K5</f>
        <v>8.1379565869796231</v>
      </c>
      <c r="M135" s="31">
        <f>LCA!L5</f>
        <v>2.7463379031090009E-2</v>
      </c>
      <c r="N135" s="31"/>
      <c r="O135" s="531">
        <v>2</v>
      </c>
      <c r="P135" s="31">
        <v>12.373921006303901</v>
      </c>
      <c r="Q135" s="31">
        <v>12.373921006303901</v>
      </c>
      <c r="R135" s="31">
        <v>12.373921006303901</v>
      </c>
      <c r="S135" s="31">
        <v>12.373921006303901</v>
      </c>
      <c r="T135" s="240">
        <v>12.373921006303901</v>
      </c>
      <c r="U135" s="240">
        <v>12.373921006303901</v>
      </c>
      <c r="V135" s="240">
        <v>12.373921006303901</v>
      </c>
      <c r="W135" s="31">
        <v>12.373921006303901</v>
      </c>
      <c r="X135" s="31">
        <v>12.373921006303901</v>
      </c>
      <c r="Y135" s="31">
        <v>12.373921006303901</v>
      </c>
      <c r="Z135" s="31"/>
      <c r="AA135" s="531">
        <v>2</v>
      </c>
      <c r="AB135" s="31">
        <f t="shared" ref="AB135:AB155" si="19">IF(ABS(((P135-D135)/P135))&lt;(0.0000000001),0,ABS((P135-D135)/P135))</f>
        <v>0.99812906149384173</v>
      </c>
      <c r="AC135" s="31">
        <f t="shared" si="18"/>
        <v>3.5997864182121924</v>
      </c>
      <c r="AD135" s="31">
        <f t="shared" si="18"/>
        <v>0.99387718265136182</v>
      </c>
      <c r="AE135" s="687">
        <f>IF(ABS(((S135-G135)/S135))&lt;(0.0000000001),0,ABS((S135-G135)/S135))</f>
        <v>0</v>
      </c>
      <c r="AF135" s="31">
        <f t="shared" si="18"/>
        <v>0.99999993588572889</v>
      </c>
      <c r="AG135" s="31">
        <f t="shared" si="18"/>
        <v>0.99999981771473034</v>
      </c>
      <c r="AH135" s="31">
        <f t="shared" si="18"/>
        <v>0.99999993888727634</v>
      </c>
      <c r="AI135" s="31">
        <f t="shared" si="18"/>
        <v>0.97381056539893918</v>
      </c>
      <c r="AJ135" s="31">
        <f t="shared" si="18"/>
        <v>0.34233000333251384</v>
      </c>
      <c r="AK135" s="31">
        <f t="shared" si="18"/>
        <v>0.9977805435304542</v>
      </c>
      <c r="AL135" s="31">
        <v>4.1246403354346501</v>
      </c>
    </row>
    <row r="136" spans="1:38" x14ac:dyDescent="0.25">
      <c r="A136" s="531">
        <v>3</v>
      </c>
      <c r="B136" s="31" t="str">
        <f>LCA!A6</f>
        <v>Heating (Heat+Hum)</v>
      </c>
      <c r="C136" s="31" t="str">
        <f>LCA!B6</f>
        <v>per kg-dry weed</v>
      </c>
      <c r="D136" s="31">
        <f>LCA!C6</f>
        <v>1.5781668308302546</v>
      </c>
      <c r="E136" s="31">
        <f>LCA!D6</f>
        <v>506.55315783504699</v>
      </c>
      <c r="F136" s="31">
        <f>LCA!E6</f>
        <v>0.37088163874206981</v>
      </c>
      <c r="G136" s="335">
        <f>LCA!F6</f>
        <v>1109.9255737894716</v>
      </c>
      <c r="H136" s="31">
        <f>LCA!G6</f>
        <v>7.2949273790358707E-6</v>
      </c>
      <c r="I136" s="31">
        <f>LCA!H6</f>
        <v>1.7050748236644394E-5</v>
      </c>
      <c r="J136" s="31">
        <f>LCA!I6</f>
        <v>1.3318940596247398E-4</v>
      </c>
      <c r="K136" s="31">
        <f>LCA!J6</f>
        <v>28.683410190170296</v>
      </c>
      <c r="L136" s="31">
        <f>LCA!K6</f>
        <v>2633.470770951315</v>
      </c>
      <c r="M136" s="31">
        <f>LCA!L6</f>
        <v>0.15174336048954984</v>
      </c>
      <c r="N136" s="31"/>
      <c r="O136" s="531">
        <v>3</v>
      </c>
      <c r="P136" s="31">
        <v>1.5781668308302601</v>
      </c>
      <c r="Q136" s="31">
        <v>506.55315783504699</v>
      </c>
      <c r="R136" s="31">
        <v>0.37088163874206997</v>
      </c>
      <c r="S136" s="31">
        <v>1109.92557378947</v>
      </c>
      <c r="T136" s="240">
        <v>7.2949273790358699E-6</v>
      </c>
      <c r="U136" s="240">
        <v>1.7050748236644401E-5</v>
      </c>
      <c r="V136" s="31">
        <v>1.3318940596247401E-4</v>
      </c>
      <c r="W136" s="31">
        <v>28.683410190170299</v>
      </c>
      <c r="X136" s="31">
        <v>2633.47077095132</v>
      </c>
      <c r="Y136" s="31">
        <v>0.15174336048955001</v>
      </c>
      <c r="Z136" s="31"/>
      <c r="AA136" s="531">
        <v>3</v>
      </c>
      <c r="AB136" s="31">
        <f t="shared" si="19"/>
        <v>0</v>
      </c>
      <c r="AC136" s="31">
        <f t="shared" si="18"/>
        <v>0</v>
      </c>
      <c r="AD136" s="31">
        <f t="shared" si="18"/>
        <v>0</v>
      </c>
      <c r="AE136" s="687">
        <f>IF(ABS(((S136-G136)/S136))&lt;(0.0000000001),0,ABS((S136-G136)/S136))</f>
        <v>0</v>
      </c>
      <c r="AF136" s="31">
        <f t="shared" si="18"/>
        <v>0</v>
      </c>
      <c r="AG136" s="31">
        <f t="shared" si="18"/>
        <v>0</v>
      </c>
      <c r="AH136" s="31">
        <f t="shared" si="18"/>
        <v>0</v>
      </c>
      <c r="AI136" s="31">
        <f t="shared" si="18"/>
        <v>0</v>
      </c>
      <c r="AJ136" s="31">
        <f t="shared" si="18"/>
        <v>0</v>
      </c>
      <c r="AK136" s="31">
        <f t="shared" si="18"/>
        <v>0</v>
      </c>
      <c r="AL136" s="31">
        <v>369.97519126315802</v>
      </c>
    </row>
    <row r="137" spans="1:38" s="31" customFormat="1" x14ac:dyDescent="0.25">
      <c r="A137" s="531">
        <v>4</v>
      </c>
      <c r="B137" s="31" t="str">
        <f>LCA!A7</f>
        <v>Humidification (Heat+Hum)</v>
      </c>
      <c r="C137" s="31" t="str">
        <f>LCA!B7</f>
        <v>per kg-dry weed</v>
      </c>
      <c r="D137" s="31">
        <f>LCA!C7</f>
        <v>0.88963228153020479</v>
      </c>
      <c r="E137" s="31">
        <f>LCA!D7</f>
        <v>285.55031870999551</v>
      </c>
      <c r="F137" s="31">
        <f>LCA!E7</f>
        <v>0.20907059507655915</v>
      </c>
      <c r="G137" s="335">
        <f>LCA!F7</f>
        <v>625.67885805810306</v>
      </c>
      <c r="H137" s="31">
        <f>LCA!G7</f>
        <v>4.1122413429476465E-6</v>
      </c>
      <c r="I137" s="31">
        <f>LCA!H7</f>
        <v>9.6117189635666668E-6</v>
      </c>
      <c r="J137" s="31">
        <f>LCA!I7</f>
        <v>7.5080525573910598E-5</v>
      </c>
      <c r="K137" s="31">
        <f>LCA!J7</f>
        <v>16.169195265701649</v>
      </c>
      <c r="L137" s="31">
        <f>LCA!K7</f>
        <v>1484.520244968015</v>
      </c>
      <c r="M137" s="31">
        <f>LCA!L7</f>
        <v>8.553962062956226E-2</v>
      </c>
      <c r="O137" s="531">
        <v>4</v>
      </c>
      <c r="P137" s="31">
        <v>0.88963228153020502</v>
      </c>
      <c r="Q137" s="31">
        <v>285.55031870999602</v>
      </c>
      <c r="R137" s="31">
        <v>0.20907059507655901</v>
      </c>
      <c r="S137" s="31">
        <v>625.67885805810295</v>
      </c>
      <c r="T137" s="240">
        <v>4.1122413429476499E-6</v>
      </c>
      <c r="U137" s="240">
        <v>9.6117189635666702E-6</v>
      </c>
      <c r="V137" s="240">
        <v>7.5080525573910598E-5</v>
      </c>
      <c r="W137" s="31">
        <v>16.169195265701699</v>
      </c>
      <c r="X137" s="31">
        <v>1484.5202449680201</v>
      </c>
      <c r="Y137" s="31">
        <v>8.5539620629562302E-2</v>
      </c>
      <c r="AA137" s="531">
        <v>4</v>
      </c>
      <c r="AB137" s="31">
        <f t="shared" ref="AB137" si="20">IF(ABS(((P137-D137)/P137))&lt;(0.0000000001),0,ABS((P137-D137)/P137))</f>
        <v>0</v>
      </c>
      <c r="AC137" s="31">
        <f t="shared" ref="AC137" si="21">IF(ABS(((Q137-E137)/Q137))&lt;(0.0000000001),0,ABS((Q137-E137)/Q137))</f>
        <v>0</v>
      </c>
      <c r="AD137" s="31">
        <f t="shared" ref="AD137" si="22">IF(ABS(((R137-F137)/R137))&lt;(0.0000000001),0,ABS((R137-F137)/R137))</f>
        <v>0</v>
      </c>
      <c r="AE137" s="687">
        <f>IF(ABS(((S137-G137)/S137))&lt;(0.0000000001),0,ABS((S137-G137)/S137))</f>
        <v>0</v>
      </c>
      <c r="AF137" s="31">
        <f t="shared" ref="AF137" si="23">IF(ABS(((T137-H137)/T137))&lt;(0.0000000001),0,ABS((T137-H137)/T137))</f>
        <v>0</v>
      </c>
      <c r="AG137" s="31">
        <f t="shared" ref="AG137" si="24">IF(ABS(((U137-I137)/U137))&lt;(0.0000000001),0,ABS((U137-I137)/U137))</f>
        <v>0</v>
      </c>
      <c r="AH137" s="31">
        <f t="shared" ref="AH137" si="25">IF(ABS(((V137-J137)/V137))&lt;(0.0000000001),0,ABS((V137-J137)/V137))</f>
        <v>0</v>
      </c>
      <c r="AI137" s="31">
        <f t="shared" ref="AI137" si="26">IF(ABS(((W137-K137)/W137))&lt;(0.0000000001),0,ABS((W137-K137)/W137))</f>
        <v>0</v>
      </c>
      <c r="AJ137" s="31">
        <f t="shared" ref="AJ137" si="27">IF(ABS(((X137-L137)/X137))&lt;(0.0000000001),0,ABS((X137-L137)/X137))</f>
        <v>0</v>
      </c>
      <c r="AK137" s="31">
        <f t="shared" ref="AK137" si="28">IF(ABS(((Y137-M137)/Y137))&lt;(0.0000000001),0,ABS((Y137-M137)/Y137))</f>
        <v>0</v>
      </c>
      <c r="AL137" s="31">
        <v>208.55961935270099</v>
      </c>
    </row>
    <row r="138" spans="1:38" x14ac:dyDescent="0.25">
      <c r="A138" s="531">
        <v>5</v>
      </c>
      <c r="B138" s="31" t="str">
        <f>LCA!A8</f>
        <v>Humidification</v>
      </c>
      <c r="C138" s="31" t="str">
        <f>LCA!B8</f>
        <v>per kg-dry weed</v>
      </c>
      <c r="D138" s="31">
        <f>LCA!C8</f>
        <v>1.1780992036724971E-2</v>
      </c>
      <c r="E138" s="31">
        <f>LCA!D8</f>
        <v>3.7814118267160906</v>
      </c>
      <c r="F138" s="31">
        <f>LCA!E8</f>
        <v>2.7686259445011707E-3</v>
      </c>
      <c r="G138" s="335">
        <f>LCA!F8</f>
        <v>8.2855779824570384</v>
      </c>
      <c r="H138" s="31">
        <f>LCA!G8</f>
        <v>5.4456524926262566E-8</v>
      </c>
      <c r="I138" s="31">
        <f>LCA!H8</f>
        <v>1.2728358325110163E-7</v>
      </c>
      <c r="J138" s="31">
        <f>LCA!I8</f>
        <v>9.9425694442871349E-7</v>
      </c>
      <c r="K138" s="31">
        <f>LCA!J8</f>
        <v>0.21412123258143567</v>
      </c>
      <c r="L138" s="31">
        <f>LCA!K8</f>
        <v>19.658820332197443</v>
      </c>
      <c r="M138" s="31">
        <f>LCA!L8</f>
        <v>1.1327619403918104E-3</v>
      </c>
      <c r="N138" s="31"/>
      <c r="O138" s="531">
        <v>5</v>
      </c>
      <c r="P138" s="31">
        <v>1.1780992036725E-2</v>
      </c>
      <c r="Q138" s="31">
        <v>3.7814118267160901</v>
      </c>
      <c r="R138" s="31">
        <v>2.7686259445011698E-3</v>
      </c>
      <c r="S138" s="31">
        <v>8.2855779824570508</v>
      </c>
      <c r="T138" s="240">
        <v>5.4456524926262599E-8</v>
      </c>
      <c r="U138" s="240">
        <v>1.27283583251102E-7</v>
      </c>
      <c r="V138" s="240">
        <v>9.9425694442871497E-7</v>
      </c>
      <c r="W138" s="31">
        <v>0.21412123258143601</v>
      </c>
      <c r="X138" s="31">
        <v>19.6588203321975</v>
      </c>
      <c r="Y138" s="31">
        <v>1.1327619403918099E-3</v>
      </c>
      <c r="Z138" s="31"/>
      <c r="AA138" s="531">
        <v>5</v>
      </c>
      <c r="AB138" s="31">
        <f t="shared" si="19"/>
        <v>0</v>
      </c>
      <c r="AC138" s="31">
        <f t="shared" si="18"/>
        <v>0</v>
      </c>
      <c r="AD138" s="31">
        <f t="shared" si="18"/>
        <v>0</v>
      </c>
      <c r="AE138" s="687">
        <f>IF(ABS(((S138-G138)/S138))&lt;(0.0000000001),0,ABS((S138-G138)/S138))</f>
        <v>0</v>
      </c>
      <c r="AF138" s="31">
        <f t="shared" si="18"/>
        <v>0</v>
      </c>
      <c r="AG138" s="31">
        <f t="shared" si="18"/>
        <v>0</v>
      </c>
      <c r="AH138" s="31">
        <f t="shared" si="18"/>
        <v>0</v>
      </c>
      <c r="AI138" s="31">
        <f t="shared" si="18"/>
        <v>0</v>
      </c>
      <c r="AJ138" s="31">
        <f t="shared" si="18"/>
        <v>0</v>
      </c>
      <c r="AK138" s="31">
        <f t="shared" si="18"/>
        <v>0</v>
      </c>
      <c r="AL138" s="31">
        <v>2.7618593274856802</v>
      </c>
    </row>
    <row r="139" spans="1:38" x14ac:dyDescent="0.25">
      <c r="A139" s="531">
        <v>6</v>
      </c>
      <c r="B139" s="31" t="str">
        <f>LCA!A9</f>
        <v>Humidification (Hum+Cool)</v>
      </c>
      <c r="C139" s="31" t="str">
        <f>LCA!B9</f>
        <v>per kg-dry weed</v>
      </c>
      <c r="D139" s="31">
        <f>LCA!C9</f>
        <v>2.2159586072143651E-2</v>
      </c>
      <c r="E139" s="31">
        <f>LCA!D9</f>
        <v>7.1126880136344974</v>
      </c>
      <c r="F139" s="31">
        <f>LCA!E9</f>
        <v>5.2076773099830566E-3</v>
      </c>
      <c r="G139" s="335">
        <f>LCA!F9</f>
        <v>15.584848702669689</v>
      </c>
      <c r="H139" s="31">
        <f>LCA!G9</f>
        <v>1.0243059731570913E-7</v>
      </c>
      <c r="I139" s="31">
        <f>LCA!H9</f>
        <v>2.3941545073887867E-7</v>
      </c>
      <c r="J139" s="31">
        <f>LCA!I9</f>
        <v>1.8701584950752114E-6</v>
      </c>
      <c r="K139" s="31">
        <f>LCA!J9</f>
        <v>0.40275367884730723</v>
      </c>
      <c r="L139" s="31">
        <f>LCA!K9</f>
        <v>36.977473532800992</v>
      </c>
      <c r="M139" s="31">
        <f>LCA!L9</f>
        <v>2.1306809850232967E-3</v>
      </c>
      <c r="N139" s="31"/>
      <c r="O139" s="531">
        <v>6</v>
      </c>
      <c r="P139" s="31">
        <v>2.2159586072143699E-2</v>
      </c>
      <c r="Q139" s="31">
        <v>7.1126880136345001</v>
      </c>
      <c r="R139" s="31">
        <v>5.20767730998306E-3</v>
      </c>
      <c r="S139" s="31">
        <v>15.584848702669699</v>
      </c>
      <c r="T139" s="240">
        <v>1.02430597315709E-7</v>
      </c>
      <c r="U139" s="240">
        <v>2.3941545073887898E-7</v>
      </c>
      <c r="V139" s="240">
        <v>1.87015849507521E-6</v>
      </c>
      <c r="W139" s="31">
        <v>0.40275367884730701</v>
      </c>
      <c r="X139" s="31">
        <v>36.977473532801</v>
      </c>
      <c r="Y139" s="31">
        <v>2.1306809850233002E-3</v>
      </c>
      <c r="Z139" s="31"/>
      <c r="AA139" s="531">
        <v>6</v>
      </c>
      <c r="AB139" s="31">
        <f t="shared" si="19"/>
        <v>0</v>
      </c>
      <c r="AC139" s="31">
        <f t="shared" si="18"/>
        <v>0</v>
      </c>
      <c r="AD139" s="31">
        <f t="shared" si="18"/>
        <v>0</v>
      </c>
      <c r="AE139" s="687">
        <f>IF(ABS(((S139-G139)/S139))&lt;(0.0000000001),0,ABS((S139-G139)/S139))</f>
        <v>0</v>
      </c>
      <c r="AF139" s="31">
        <f t="shared" si="18"/>
        <v>0</v>
      </c>
      <c r="AG139" s="31">
        <f t="shared" si="18"/>
        <v>0</v>
      </c>
      <c r="AH139" s="31">
        <f t="shared" si="18"/>
        <v>0</v>
      </c>
      <c r="AI139" s="31">
        <f t="shared" si="18"/>
        <v>0</v>
      </c>
      <c r="AJ139" s="31">
        <f t="shared" si="18"/>
        <v>0</v>
      </c>
      <c r="AK139" s="31">
        <f t="shared" si="18"/>
        <v>0</v>
      </c>
      <c r="AL139" s="31">
        <v>5.1949495675565602</v>
      </c>
    </row>
    <row r="140" spans="1:38" x14ac:dyDescent="0.25">
      <c r="A140" s="531">
        <v>7</v>
      </c>
      <c r="B140" s="31" t="str">
        <f>LCA!A10</f>
        <v>Cooling (Hum+Cool)</v>
      </c>
      <c r="C140" s="31" t="str">
        <f>LCA!B10</f>
        <v>per kg-dry weed</v>
      </c>
      <c r="D140" s="31">
        <f>LCA!C10</f>
        <v>0.11528822888801399</v>
      </c>
      <c r="E140" s="31">
        <f>LCA!D10</f>
        <v>283.4412930587078</v>
      </c>
      <c r="F140" s="31">
        <f>LCA!E10</f>
        <v>0.3772912715227395</v>
      </c>
      <c r="G140" s="335">
        <f>LCA!F10</f>
        <v>61.620533496177849</v>
      </c>
      <c r="H140" s="31">
        <f>LCA!G10</f>
        <v>3.9507555872358922E-6</v>
      </c>
      <c r="I140" s="31">
        <f>LCA!H10</f>
        <v>1.123251557014615E-5</v>
      </c>
      <c r="J140" s="31">
        <f>LCA!I10</f>
        <v>3.7657986328795731E-6</v>
      </c>
      <c r="K140" s="31">
        <f>LCA!J10</f>
        <v>1.6138069320806212</v>
      </c>
      <c r="L140" s="31">
        <f>LCA!K10</f>
        <v>40.525976059079923</v>
      </c>
      <c r="M140" s="31">
        <f>LCA!L10</f>
        <v>0.13676409172495604</v>
      </c>
      <c r="N140" s="31"/>
      <c r="O140" s="531">
        <v>7</v>
      </c>
      <c r="P140" s="31">
        <v>61.620533496177998</v>
      </c>
      <c r="Q140" s="31">
        <v>61.620533496177998</v>
      </c>
      <c r="R140" s="31">
        <v>61.620533496177998</v>
      </c>
      <c r="S140" s="31">
        <v>61.620533496177998</v>
      </c>
      <c r="T140" s="240">
        <v>61.620533496177998</v>
      </c>
      <c r="U140" s="240">
        <v>61.620533496177998</v>
      </c>
      <c r="V140" s="240">
        <v>61.620533496177998</v>
      </c>
      <c r="W140" s="31">
        <v>61.620533496177998</v>
      </c>
      <c r="X140" s="31">
        <v>61.620533496177998</v>
      </c>
      <c r="Y140" s="31">
        <v>61.620533496177998</v>
      </c>
      <c r="Z140" s="31"/>
      <c r="AA140" s="531">
        <v>7</v>
      </c>
      <c r="AB140" s="31">
        <f t="shared" si="19"/>
        <v>0.99812906149384173</v>
      </c>
      <c r="AC140" s="31">
        <f t="shared" si="18"/>
        <v>3.5997864182121728</v>
      </c>
      <c r="AD140" s="31">
        <f t="shared" si="18"/>
        <v>0.99387718265136182</v>
      </c>
      <c r="AE140" s="687">
        <f>IF(ABS(((S140-G140)/S140))&lt;(0.0000000001),0,ABS((S140-G140)/S140))</f>
        <v>0</v>
      </c>
      <c r="AF140" s="31">
        <f t="shared" si="18"/>
        <v>0.999999935885729</v>
      </c>
      <c r="AG140" s="31">
        <f t="shared" si="18"/>
        <v>0.99999981771473023</v>
      </c>
      <c r="AH140" s="31">
        <f t="shared" si="18"/>
        <v>0.99999993888727645</v>
      </c>
      <c r="AI140" s="31">
        <f t="shared" si="18"/>
        <v>0.9738105653989394</v>
      </c>
      <c r="AJ140" s="31">
        <f t="shared" si="18"/>
        <v>0.34233000333251679</v>
      </c>
      <c r="AK140" s="31">
        <f t="shared" si="18"/>
        <v>0.9977805435304542</v>
      </c>
      <c r="AL140" s="31">
        <v>20.540177832059399</v>
      </c>
    </row>
    <row r="141" spans="1:38" x14ac:dyDescent="0.25">
      <c r="A141" s="531">
        <v>8</v>
      </c>
      <c r="B141" s="31" t="str">
        <f>LCA!A11</f>
        <v>Dehumidification (Electric)</v>
      </c>
      <c r="C141" s="31" t="str">
        <f>LCA!B11</f>
        <v>per kg-dry weed</v>
      </c>
      <c r="D141" s="31">
        <f>LCA!C11</f>
        <v>6.7859722821638241E-2</v>
      </c>
      <c r="E141" s="31">
        <f>LCA!D11</f>
        <v>166.83617892902112</v>
      </c>
      <c r="F141" s="31">
        <f>LCA!E11</f>
        <v>0.22207714833945524</v>
      </c>
      <c r="G141" s="335">
        <f>LCA!F11</f>
        <v>36.270418615189961</v>
      </c>
      <c r="H141" s="31">
        <f>LCA!G11</f>
        <v>2.3254514504363171E-6</v>
      </c>
      <c r="I141" s="31">
        <f>LCA!H11</f>
        <v>6.6115630410131117E-6</v>
      </c>
      <c r="J141" s="31">
        <f>LCA!I11</f>
        <v>2.2165840684181076E-6</v>
      </c>
      <c r="K141" s="31">
        <f>LCA!J11</f>
        <v>0.94990175627561269</v>
      </c>
      <c r="L141" s="31">
        <f>LCA!K11</f>
        <v>23.853966089780265</v>
      </c>
      <c r="M141" s="31">
        <f>LCA!L11</f>
        <v>8.050061524861804E-2</v>
      </c>
      <c r="N141" s="31"/>
      <c r="O141" s="531">
        <v>8</v>
      </c>
      <c r="P141" s="31">
        <v>36.270418615189897</v>
      </c>
      <c r="Q141" s="31">
        <v>36.270418615189897</v>
      </c>
      <c r="R141" s="31">
        <v>36.270418615189897</v>
      </c>
      <c r="S141" s="31">
        <v>36.270418615189897</v>
      </c>
      <c r="T141" s="240">
        <v>36.270418615189897</v>
      </c>
      <c r="U141" s="240">
        <v>36.270418615189897</v>
      </c>
      <c r="V141" s="240">
        <v>36.270418615189897</v>
      </c>
      <c r="W141" s="31">
        <v>36.270418615189897</v>
      </c>
      <c r="X141" s="31">
        <v>36.270418615189897</v>
      </c>
      <c r="Y141" s="31">
        <v>36.270418615189897</v>
      </c>
      <c r="Z141" s="31"/>
      <c r="AA141" s="531">
        <v>8</v>
      </c>
      <c r="AB141" s="31">
        <f t="shared" si="19"/>
        <v>0.99812906149384173</v>
      </c>
      <c r="AC141" s="31">
        <f t="shared" si="18"/>
        <v>3.599786418212191</v>
      </c>
      <c r="AD141" s="31">
        <f t="shared" si="18"/>
        <v>0.99387718265136171</v>
      </c>
      <c r="AE141" s="687">
        <f>IF(ABS(((S141-G141)/S141))&lt;(0.0000000001),0,ABS((S141-G141)/S141))</f>
        <v>0</v>
      </c>
      <c r="AF141" s="31">
        <f t="shared" si="18"/>
        <v>0.999999935885729</v>
      </c>
      <c r="AG141" s="31">
        <f t="shared" si="18"/>
        <v>0.99999981771473034</v>
      </c>
      <c r="AH141" s="31">
        <f t="shared" si="18"/>
        <v>0.99999993888727634</v>
      </c>
      <c r="AI141" s="31">
        <f t="shared" si="18"/>
        <v>0.97381056539893918</v>
      </c>
      <c r="AJ141" s="31">
        <f t="shared" si="18"/>
        <v>0.3423300033325139</v>
      </c>
      <c r="AK141" s="31">
        <f t="shared" si="18"/>
        <v>0.9977805435304542</v>
      </c>
      <c r="AL141" s="31">
        <v>12.090139538396601</v>
      </c>
    </row>
    <row r="142" spans="1:38" x14ac:dyDescent="0.25">
      <c r="A142" s="531">
        <v>9</v>
      </c>
      <c r="B142" s="31" t="str">
        <f>LCA!A12</f>
        <v>Dehumidification Reheat (NG)</v>
      </c>
      <c r="C142" s="31" t="str">
        <f>LCA!B12</f>
        <v>per kg-dry weed</v>
      </c>
      <c r="D142" s="31">
        <f>LCA!C12</f>
        <v>3.4392206233890346E-2</v>
      </c>
      <c r="E142" s="31">
        <f>LCA!D12</f>
        <v>11.039061480924747</v>
      </c>
      <c r="F142" s="31">
        <f>LCA!E12</f>
        <v>8.0824394219906389E-3</v>
      </c>
      <c r="G142" s="335">
        <f>LCA!F12</f>
        <v>24.188056986316422</v>
      </c>
      <c r="H142" s="31">
        <f>LCA!G12</f>
        <v>1.5897473066840805E-7</v>
      </c>
      <c r="I142" s="31">
        <f>LCA!H12</f>
        <v>3.7157849115882845E-7</v>
      </c>
      <c r="J142" s="31">
        <f>LCA!I12</f>
        <v>2.9025305997724656E-6</v>
      </c>
      <c r="K142" s="31">
        <f>LCA!J12</f>
        <v>0.62508331785976678</v>
      </c>
      <c r="L142" s="31">
        <f>LCA!K12</f>
        <v>57.389921075601102</v>
      </c>
      <c r="M142" s="31">
        <f>LCA!L12</f>
        <v>3.3068677193238329E-3</v>
      </c>
      <c r="N142" s="31"/>
      <c r="O142" s="531">
        <v>9</v>
      </c>
      <c r="P142" s="31">
        <v>3.4392206233890298E-2</v>
      </c>
      <c r="Q142" s="31">
        <v>11.039061480924699</v>
      </c>
      <c r="R142" s="31">
        <v>8.0824394219906406E-3</v>
      </c>
      <c r="S142" s="31">
        <v>24.188056986316401</v>
      </c>
      <c r="T142" s="240">
        <v>1.58974730668408E-7</v>
      </c>
      <c r="U142" s="240">
        <v>3.7157849115882802E-7</v>
      </c>
      <c r="V142" s="240">
        <v>2.90253059977246E-6</v>
      </c>
      <c r="W142" s="31">
        <v>0.62508331785976701</v>
      </c>
      <c r="X142" s="31">
        <v>57.389921075601102</v>
      </c>
      <c r="Y142" s="31">
        <v>3.3068677193238299E-3</v>
      </c>
      <c r="Z142" s="31"/>
      <c r="AA142" s="531">
        <v>9</v>
      </c>
      <c r="AB142" s="31">
        <f t="shared" si="19"/>
        <v>0</v>
      </c>
      <c r="AC142" s="31">
        <f t="shared" si="18"/>
        <v>0</v>
      </c>
      <c r="AD142" s="31">
        <f t="shared" si="18"/>
        <v>0</v>
      </c>
      <c r="AE142" s="687">
        <f>IF(ABS(((S142-G142)/S142))&lt;(0.0000000001),0,ABS((S142-G142)/S142))</f>
        <v>0</v>
      </c>
      <c r="AF142" s="31">
        <f t="shared" si="18"/>
        <v>0</v>
      </c>
      <c r="AG142" s="31">
        <f t="shared" si="18"/>
        <v>0</v>
      </c>
      <c r="AH142" s="31">
        <f t="shared" si="18"/>
        <v>0</v>
      </c>
      <c r="AI142" s="31">
        <f t="shared" si="18"/>
        <v>0</v>
      </c>
      <c r="AJ142" s="31">
        <f t="shared" si="18"/>
        <v>0</v>
      </c>
      <c r="AK142" s="31">
        <f t="shared" si="18"/>
        <v>0</v>
      </c>
      <c r="AL142" s="31">
        <v>8.0626856621054905</v>
      </c>
    </row>
    <row r="143" spans="1:38" x14ac:dyDescent="0.25">
      <c r="A143" s="531">
        <v>10</v>
      </c>
      <c r="B143" s="31" t="str">
        <f>LCA!A13</f>
        <v>Electricity from Lights</v>
      </c>
      <c r="C143" s="31" t="str">
        <f>LCA!B13</f>
        <v>per kg-dry weed</v>
      </c>
      <c r="D143" s="31">
        <f>LCA!C13</f>
        <v>1.565751811762258</v>
      </c>
      <c r="E143" s="31">
        <f>LCA!D13</f>
        <v>3849.4712115492362</v>
      </c>
      <c r="F143" s="31">
        <f>LCA!E13</f>
        <v>5.1240659835501425</v>
      </c>
      <c r="G143" s="335">
        <f>LCA!F13</f>
        <v>836.88042477533656</v>
      </c>
      <c r="H143" s="31">
        <f>LCA!G13</f>
        <v>5.3655978396139477E-5</v>
      </c>
      <c r="I143" s="31">
        <f>LCA!H13</f>
        <v>1.5255097397400114E-4</v>
      </c>
      <c r="J143" s="31">
        <f>LCA!I13</f>
        <v>5.1144042102428711E-5</v>
      </c>
      <c r="K143" s="31">
        <f>LCA!J13</f>
        <v>21.917425153561592</v>
      </c>
      <c r="L143" s="31">
        <f>LCA!K13</f>
        <v>550.39114617307894</v>
      </c>
      <c r="M143" s="31">
        <f>LCA!L13</f>
        <v>1.8574196730038641</v>
      </c>
      <c r="N143" s="31"/>
      <c r="O143" s="531">
        <v>10</v>
      </c>
      <c r="P143" s="31">
        <v>836.88042477533702</v>
      </c>
      <c r="Q143" s="31">
        <v>836.88042477533702</v>
      </c>
      <c r="R143" s="31">
        <v>836.88042477533702</v>
      </c>
      <c r="S143" s="31">
        <v>836.88042477533702</v>
      </c>
      <c r="T143" s="240">
        <v>836.88042477533702</v>
      </c>
      <c r="U143" s="240">
        <v>836.88042477533702</v>
      </c>
      <c r="V143" s="240">
        <v>836.88042477533702</v>
      </c>
      <c r="W143" s="31">
        <v>836.88042477533702</v>
      </c>
      <c r="X143" s="31">
        <v>836.88042477533702</v>
      </c>
      <c r="Y143" s="31">
        <v>836.88042477533702</v>
      </c>
      <c r="Z143" s="31"/>
      <c r="AA143" s="531">
        <v>10</v>
      </c>
      <c r="AB143" s="31">
        <f t="shared" si="19"/>
        <v>0.99812906149384173</v>
      </c>
      <c r="AC143" s="31">
        <f t="shared" si="18"/>
        <v>3.5997864182121813</v>
      </c>
      <c r="AD143" s="31">
        <f t="shared" si="18"/>
        <v>0.99387718265136171</v>
      </c>
      <c r="AE143" s="687">
        <f>IF(ABS(((S143-G143)/S143))&lt;(0.0000000001),0,ABS((S143-G143)/S143))</f>
        <v>0</v>
      </c>
      <c r="AF143" s="31">
        <f t="shared" si="18"/>
        <v>0.999999935885729</v>
      </c>
      <c r="AG143" s="31">
        <f t="shared" si="18"/>
        <v>0.99999981771473023</v>
      </c>
      <c r="AH143" s="31">
        <f t="shared" si="18"/>
        <v>0.99999993888727634</v>
      </c>
      <c r="AI143" s="31">
        <f t="shared" si="18"/>
        <v>0.97381056539893929</v>
      </c>
      <c r="AJ143" s="31">
        <f t="shared" si="18"/>
        <v>0.34233000333251545</v>
      </c>
      <c r="AK143" s="31">
        <f t="shared" si="18"/>
        <v>0.9977805435304542</v>
      </c>
      <c r="AL143" s="31">
        <v>836.88042477533702</v>
      </c>
    </row>
    <row r="144" spans="1:38" x14ac:dyDescent="0.25">
      <c r="A144" s="531">
        <v>11</v>
      </c>
      <c r="B144" s="31" t="str">
        <f>LCA!A14</f>
        <v>Water for Plants</v>
      </c>
      <c r="C144" s="31" t="str">
        <f>LCA!B14</f>
        <v>per kg-dry weed</v>
      </c>
      <c r="D144" s="31">
        <f>LCA!C14</f>
        <v>8.4110755931304324E-3</v>
      </c>
      <c r="E144" s="31">
        <f>LCA!D14</f>
        <v>5.9181094439307547</v>
      </c>
      <c r="F144" s="31">
        <f>LCA!E14</f>
        <v>6.6370339839266976E-3</v>
      </c>
      <c r="G144" s="335">
        <f>LCA!F14</f>
        <v>1.8738491283660272</v>
      </c>
      <c r="H144" s="31">
        <f>LCA!G14</f>
        <v>1.0310200763515999E-7</v>
      </c>
      <c r="I144" s="31">
        <f>LCA!H14</f>
        <v>2.7819697795111883E-7</v>
      </c>
      <c r="J144" s="31">
        <f>LCA!I14</f>
        <v>1.0822690025723172E-7</v>
      </c>
      <c r="K144" s="31">
        <f>LCA!J14</f>
        <v>9.4965316824508816E-2</v>
      </c>
      <c r="L144" s="31">
        <f>LCA!K14</f>
        <v>1.1659783713428342</v>
      </c>
      <c r="M144" s="31">
        <f>LCA!L14</f>
        <v>2.7411990459089088E-3</v>
      </c>
      <c r="N144" s="31"/>
      <c r="O144" s="531">
        <v>11</v>
      </c>
      <c r="P144" s="31">
        <v>8.4110755931304307E-3</v>
      </c>
      <c r="Q144" s="31">
        <v>5.9181094439307502</v>
      </c>
      <c r="R144" s="31">
        <v>6.6370339839267002E-3</v>
      </c>
      <c r="S144" s="31">
        <v>1.8738491283660299</v>
      </c>
      <c r="T144" s="240">
        <v>1.0310200763515999E-7</v>
      </c>
      <c r="U144" s="240">
        <v>2.7819697795111899E-7</v>
      </c>
      <c r="V144" s="240">
        <v>1.08226900257232E-7</v>
      </c>
      <c r="W144" s="31">
        <v>9.4965316824508803E-2</v>
      </c>
      <c r="X144" s="31">
        <v>1.16597837134283</v>
      </c>
      <c r="Y144" s="31">
        <v>2.7411990459089101E-3</v>
      </c>
      <c r="Z144" s="31"/>
      <c r="AA144" s="531">
        <v>11</v>
      </c>
      <c r="AB144" s="31">
        <f t="shared" si="19"/>
        <v>0</v>
      </c>
      <c r="AC144" s="31">
        <f t="shared" si="18"/>
        <v>0</v>
      </c>
      <c r="AD144" s="31">
        <f t="shared" si="18"/>
        <v>0</v>
      </c>
      <c r="AE144" s="687">
        <f>IF(ABS(((S144-G144)/S144))&lt;(0.0000000001),0,ABS((S144-G144)/S144))</f>
        <v>0</v>
      </c>
      <c r="AF144" s="31">
        <f t="shared" si="18"/>
        <v>0</v>
      </c>
      <c r="AG144" s="31">
        <f t="shared" si="18"/>
        <v>0</v>
      </c>
      <c r="AH144" s="31">
        <f t="shared" si="18"/>
        <v>0</v>
      </c>
      <c r="AI144" s="31">
        <f t="shared" si="18"/>
        <v>0</v>
      </c>
      <c r="AJ144" s="31">
        <f t="shared" si="18"/>
        <v>0</v>
      </c>
      <c r="AK144" s="31">
        <f t="shared" si="18"/>
        <v>0</v>
      </c>
      <c r="AL144" s="31">
        <v>1.8738491283660299</v>
      </c>
    </row>
    <row r="145" spans="1:38" x14ac:dyDescent="0.25">
      <c r="A145" s="531">
        <v>12</v>
      </c>
      <c r="B145" s="31" t="str">
        <f>LCA!A15</f>
        <v>Irrigation Pumping Load</v>
      </c>
      <c r="C145" s="31" t="str">
        <f>LCA!B15</f>
        <v>per kg-dry weed</v>
      </c>
      <c r="D145" s="31">
        <f>LCA!C15</f>
        <v>2.8471888530559632E-3</v>
      </c>
      <c r="E145" s="31">
        <f>LCA!D15</f>
        <v>6.999941779627969</v>
      </c>
      <c r="F145" s="31">
        <f>LCA!E15</f>
        <v>9.3176858816896649E-3</v>
      </c>
      <c r="G145" s="335">
        <f>LCA!F15</f>
        <v>1.5217971321261181</v>
      </c>
      <c r="H145" s="31">
        <f>LCA!G15</f>
        <v>9.7568913822528662E-8</v>
      </c>
      <c r="I145" s="31">
        <f>LCA!H15</f>
        <v>2.7740120072590167E-7</v>
      </c>
      <c r="J145" s="31">
        <f>LCA!I15</f>
        <v>9.3001167541596411E-8</v>
      </c>
      <c r="K145" s="31">
        <f>LCA!J15</f>
        <v>3.9855006467898725E-2</v>
      </c>
      <c r="L145" s="31">
        <f>LCA!K15</f>
        <v>1.0008403148139722</v>
      </c>
      <c r="M145" s="31">
        <f>LCA!L15</f>
        <v>3.3775624902335683E-3</v>
      </c>
      <c r="N145" s="31"/>
      <c r="O145" s="531">
        <v>12</v>
      </c>
      <c r="P145" s="31">
        <v>1.5217971321261199</v>
      </c>
      <c r="Q145" s="31">
        <v>1.5217971321261199</v>
      </c>
      <c r="R145" s="31">
        <v>1.5217971321261199</v>
      </c>
      <c r="S145" s="31">
        <v>1.5217971321261199</v>
      </c>
      <c r="T145" s="240">
        <v>1.5217971321261199</v>
      </c>
      <c r="U145" s="240">
        <v>1.5217971321261199</v>
      </c>
      <c r="V145" s="240">
        <v>1.5217971321261199</v>
      </c>
      <c r="W145" s="31">
        <v>1.5217971321261199</v>
      </c>
      <c r="X145" s="31">
        <v>1.5217971321261199</v>
      </c>
      <c r="Y145" s="31">
        <v>1.5217971321261199</v>
      </c>
      <c r="Z145" s="31"/>
      <c r="AA145" s="531">
        <v>12</v>
      </c>
      <c r="AB145" s="31">
        <f t="shared" si="19"/>
        <v>0.99812906149384173</v>
      </c>
      <c r="AC145" s="31">
        <f t="shared" si="18"/>
        <v>3.5997864182121777</v>
      </c>
      <c r="AD145" s="31">
        <f t="shared" si="18"/>
        <v>0.99387718265136182</v>
      </c>
      <c r="AE145" s="687">
        <f>IF(ABS(((S145-G145)/S145))&lt;(0.0000000001),0,ABS((S145-G145)/S145))</f>
        <v>0</v>
      </c>
      <c r="AF145" s="31">
        <f t="shared" si="18"/>
        <v>0.99999993588572889</v>
      </c>
      <c r="AG145" s="31">
        <f t="shared" si="18"/>
        <v>0.99999981771473023</v>
      </c>
      <c r="AH145" s="31">
        <f t="shared" si="18"/>
        <v>0.99999993888727645</v>
      </c>
      <c r="AI145" s="31">
        <f t="shared" si="18"/>
        <v>0.9738105653989394</v>
      </c>
      <c r="AJ145" s="31">
        <f t="shared" si="18"/>
        <v>0.34233000333251584</v>
      </c>
      <c r="AK145" s="31">
        <f t="shared" si="18"/>
        <v>0.99778054353045431</v>
      </c>
      <c r="AL145" s="31">
        <v>1.5217971321261199</v>
      </c>
    </row>
    <row r="146" spans="1:38" x14ac:dyDescent="0.25">
      <c r="A146" s="531">
        <v>13</v>
      </c>
      <c r="B146" s="31" t="str">
        <f>LCA!A16</f>
        <v>Water Heating Load</v>
      </c>
      <c r="C146" s="31" t="str">
        <f>LCA!B16</f>
        <v>per kg-dry weed</v>
      </c>
      <c r="D146" s="31">
        <f>LCA!C16</f>
        <v>3.7722804352421768E-3</v>
      </c>
      <c r="E146" s="31">
        <f>LCA!D16</f>
        <v>9.2743210183556712</v>
      </c>
      <c r="F146" s="31">
        <f>LCA!E16</f>
        <v>1.2345132679029671E-2</v>
      </c>
      <c r="G146" s="335">
        <f>LCA!F16</f>
        <v>2.0162503592852374</v>
      </c>
      <c r="H146" s="31">
        <f>LCA!G16</f>
        <v>1.2927042205349647E-7</v>
      </c>
      <c r="I146" s="31">
        <f>LCA!H16</f>
        <v>3.6753274061460319E-7</v>
      </c>
      <c r="J146" s="31">
        <f>LCA!I16</f>
        <v>1.2321855095607464E-7</v>
      </c>
      <c r="K146" s="31">
        <f>LCA!J16</f>
        <v>5.28044569238659E-2</v>
      </c>
      <c r="L146" s="31">
        <f>LCA!K16</f>
        <v>1.3260273670719374</v>
      </c>
      <c r="M146" s="31">
        <f>LCA!L16</f>
        <v>4.4749799041396785E-3</v>
      </c>
      <c r="N146" s="31"/>
      <c r="O146" s="531">
        <v>13</v>
      </c>
      <c r="P146" s="31">
        <v>2.0162503592852401</v>
      </c>
      <c r="Q146" s="31">
        <v>2.0162503592852401</v>
      </c>
      <c r="R146" s="31">
        <v>2.0162503592852401</v>
      </c>
      <c r="S146" s="31">
        <v>2.0162503592852401</v>
      </c>
      <c r="T146" s="240">
        <v>2.0162503592852401</v>
      </c>
      <c r="U146" s="240">
        <v>2.0162503592852401</v>
      </c>
      <c r="V146" s="240">
        <v>2.0162503592852401</v>
      </c>
      <c r="W146" s="31">
        <v>2.0162503592852401</v>
      </c>
      <c r="X146" s="31">
        <v>2.0162503592852401</v>
      </c>
      <c r="Y146" s="31">
        <v>2.0162503592852401</v>
      </c>
      <c r="Z146" s="31"/>
      <c r="AA146" s="531">
        <v>13</v>
      </c>
      <c r="AB146" s="31">
        <f>IF(ABS(((P146-D146)/P146))&lt;(0.0000000001),0,ABS((P146-D146)/P146))</f>
        <v>0.99812906149384173</v>
      </c>
      <c r="AC146" s="31">
        <f t="shared" si="18"/>
        <v>3.5997864182121777</v>
      </c>
      <c r="AD146" s="31">
        <f t="shared" si="18"/>
        <v>0.99387718265136171</v>
      </c>
      <c r="AE146" s="687">
        <f>IF(ABS(((S146-G146)/S146))&lt;(0.0000000001),0,ABS((S146-G146)/S146))</f>
        <v>0</v>
      </c>
      <c r="AF146" s="31">
        <f t="shared" si="18"/>
        <v>0.999999935885729</v>
      </c>
      <c r="AG146" s="31">
        <f t="shared" si="18"/>
        <v>0.99999981771473023</v>
      </c>
      <c r="AH146" s="31">
        <f t="shared" si="18"/>
        <v>0.99999993888727645</v>
      </c>
      <c r="AI146" s="31">
        <f t="shared" si="18"/>
        <v>0.97381056539893929</v>
      </c>
      <c r="AJ146" s="31">
        <f t="shared" si="18"/>
        <v>0.34233000333251595</v>
      </c>
      <c r="AK146" s="31">
        <f t="shared" si="18"/>
        <v>0.9977805435304542</v>
      </c>
      <c r="AL146" s="31">
        <v>2.0162503592852401</v>
      </c>
    </row>
    <row r="147" spans="1:38" x14ac:dyDescent="0.25">
      <c r="A147" s="531">
        <v>14</v>
      </c>
      <c r="B147" s="31" t="str">
        <f>LCA!A17</f>
        <v>CO2</v>
      </c>
      <c r="C147" s="31" t="str">
        <f>LCA!B17</f>
        <v>per kg-dry weed</v>
      </c>
      <c r="D147" s="31">
        <f>LCA!C17</f>
        <v>1.821375128929601</v>
      </c>
      <c r="E147" s="31">
        <f>LCA!D17</f>
        <v>2712.9060844454293</v>
      </c>
      <c r="F147" s="31">
        <f>LCA!E17</f>
        <v>1.55481126493344</v>
      </c>
      <c r="G147" s="335">
        <f>LCA!F17</f>
        <v>573.97799175148657</v>
      </c>
      <c r="H147" s="31">
        <f>LCA!G17</f>
        <v>2.4812777014100626E-5</v>
      </c>
      <c r="I147" s="31">
        <f>LCA!H17</f>
        <v>1.2778076847024772E-4</v>
      </c>
      <c r="J147" s="31">
        <f>LCA!I17</f>
        <v>2.5678298100356842E-5</v>
      </c>
      <c r="K147" s="31">
        <f>LCA!J17</f>
        <v>76.371937265292971</v>
      </c>
      <c r="L147" s="31">
        <f>LCA!K17</f>
        <v>410.8727157130603</v>
      </c>
      <c r="M147" s="31">
        <f>LCA!L17</f>
        <v>0.44695784036917491</v>
      </c>
      <c r="N147" s="31"/>
      <c r="O147" s="531">
        <v>14</v>
      </c>
      <c r="P147" s="31">
        <v>1.8213751289296001</v>
      </c>
      <c r="Q147" s="31">
        <v>2712.9060844454302</v>
      </c>
      <c r="R147" s="31">
        <v>1.55481126493344</v>
      </c>
      <c r="S147" s="31">
        <v>573.977991751486</v>
      </c>
      <c r="T147" s="240">
        <v>2.4812777014100599E-5</v>
      </c>
      <c r="U147" s="31">
        <v>1.2778076847024799E-4</v>
      </c>
      <c r="V147" s="240">
        <v>2.5678298100356801E-5</v>
      </c>
      <c r="W147" s="31">
        <v>76.3719372652929</v>
      </c>
      <c r="X147" s="31">
        <v>410.87271571306002</v>
      </c>
      <c r="Y147" s="31">
        <v>0.44695784036917502</v>
      </c>
      <c r="Z147" s="31"/>
      <c r="AA147" s="531">
        <v>14</v>
      </c>
      <c r="AB147" s="31">
        <f t="shared" si="19"/>
        <v>0</v>
      </c>
      <c r="AC147" s="31">
        <f t="shared" si="18"/>
        <v>0</v>
      </c>
      <c r="AD147" s="31">
        <f t="shared" si="18"/>
        <v>0</v>
      </c>
      <c r="AE147" s="687">
        <f>IF(ABS(((S147-G147)/S147))&lt;(0.0000000001),0,ABS((S147-G147)/S147))</f>
        <v>0</v>
      </c>
      <c r="AF147" s="31">
        <f t="shared" si="18"/>
        <v>0</v>
      </c>
      <c r="AG147" s="31">
        <f t="shared" si="18"/>
        <v>0</v>
      </c>
      <c r="AH147" s="31">
        <f t="shared" si="18"/>
        <v>0</v>
      </c>
      <c r="AI147" s="31">
        <f t="shared" si="18"/>
        <v>0</v>
      </c>
      <c r="AJ147" s="31">
        <f t="shared" si="18"/>
        <v>0</v>
      </c>
      <c r="AK147" s="31">
        <f t="shared" si="18"/>
        <v>0</v>
      </c>
      <c r="AL147" s="31">
        <v>191.32599725047501</v>
      </c>
    </row>
    <row r="148" spans="1:38" x14ac:dyDescent="0.25">
      <c r="A148" s="531">
        <v>15</v>
      </c>
      <c r="B148" s="31" t="str">
        <f>LCA!A18</f>
        <v>Ammonium Nitrate (N)</v>
      </c>
      <c r="C148" s="31" t="str">
        <f>LCA!B18</f>
        <v>per kg-dry weed</v>
      </c>
      <c r="D148" s="31">
        <f>LCA!C18</f>
        <v>8.7106309655617057E-3</v>
      </c>
      <c r="E148" s="31">
        <f>LCA!D18</f>
        <v>6.0902759993390037</v>
      </c>
      <c r="F148" s="31">
        <f>LCA!E18</f>
        <v>3.9737553447075366E-3</v>
      </c>
      <c r="G148" s="335">
        <f>LCA!F18</f>
        <v>2.0966714736283056</v>
      </c>
      <c r="H148" s="31">
        <f>LCA!G18</f>
        <v>3.5167704289155918E-8</v>
      </c>
      <c r="I148" s="31">
        <f>LCA!H18</f>
        <v>2.9311869112196256E-7</v>
      </c>
      <c r="J148" s="31">
        <f>LCA!I18</f>
        <v>1.3806344475134168E-7</v>
      </c>
      <c r="K148" s="31">
        <f>LCA!J18</f>
        <v>9.2876967979070954E-2</v>
      </c>
      <c r="L148" s="31">
        <f>LCA!K18</f>
        <v>1.685549958350878</v>
      </c>
      <c r="M148" s="31">
        <f>LCA!L18</f>
        <v>8.0559010935173981E-4</v>
      </c>
      <c r="N148" s="31"/>
      <c r="O148" s="531">
        <v>15</v>
      </c>
      <c r="P148" s="31">
        <v>8.7106309655617005E-3</v>
      </c>
      <c r="Q148" s="31">
        <v>6.0902759993390001</v>
      </c>
      <c r="R148" s="31">
        <v>3.9737553447075401E-3</v>
      </c>
      <c r="S148" s="31">
        <v>2.0966714736283101</v>
      </c>
      <c r="T148" s="240">
        <v>3.5167704289155898E-8</v>
      </c>
      <c r="U148" s="240">
        <v>2.9311869112196299E-7</v>
      </c>
      <c r="V148" s="240">
        <v>1.38063444751342E-7</v>
      </c>
      <c r="W148" s="31">
        <v>9.2876967979070996E-2</v>
      </c>
      <c r="X148" s="31">
        <v>1.68554995835088</v>
      </c>
      <c r="Y148" s="31">
        <v>8.0559010935174003E-4</v>
      </c>
      <c r="Z148" s="31"/>
      <c r="AA148" s="531">
        <v>15</v>
      </c>
      <c r="AB148" s="31">
        <f t="shared" si="19"/>
        <v>0</v>
      </c>
      <c r="AC148" s="31">
        <f t="shared" si="18"/>
        <v>0</v>
      </c>
      <c r="AD148" s="31">
        <f t="shared" si="18"/>
        <v>0</v>
      </c>
      <c r="AE148" s="687">
        <f>IF(ABS(((S148-G148)/S148))&lt;(0.0000000001),0,ABS((S148-G148)/S148))</f>
        <v>0</v>
      </c>
      <c r="AF148" s="31">
        <f t="shared" si="18"/>
        <v>0</v>
      </c>
      <c r="AG148" s="31">
        <f t="shared" si="18"/>
        <v>0</v>
      </c>
      <c r="AH148" s="31">
        <f t="shared" si="18"/>
        <v>0</v>
      </c>
      <c r="AI148" s="31">
        <f t="shared" si="18"/>
        <v>0</v>
      </c>
      <c r="AJ148" s="31">
        <f t="shared" si="18"/>
        <v>0</v>
      </c>
      <c r="AK148" s="31">
        <f t="shared" si="18"/>
        <v>0</v>
      </c>
      <c r="AL148" s="31">
        <v>2.0966714736283101</v>
      </c>
    </row>
    <row r="149" spans="1:38" x14ac:dyDescent="0.25">
      <c r="A149" s="531">
        <v>16</v>
      </c>
      <c r="B149" s="31" t="str">
        <f>LCA!A19</f>
        <v>Triple Superphosphate (P)</v>
      </c>
      <c r="C149" s="31" t="str">
        <f>LCA!B19</f>
        <v>per kg-dry weed</v>
      </c>
      <c r="D149" s="31">
        <f>LCA!C19</f>
        <v>1.1105074919868136E-2</v>
      </c>
      <c r="E149" s="31">
        <f>LCA!D19</f>
        <v>11.744103562306343</v>
      </c>
      <c r="F149" s="31">
        <f>LCA!E19</f>
        <v>1.4572824576420063E-2</v>
      </c>
      <c r="G149" s="335">
        <f>LCA!F19</f>
        <v>1.0265977798802086</v>
      </c>
      <c r="H149" s="31">
        <f>LCA!G19</f>
        <v>7.4698555259704126E-8</v>
      </c>
      <c r="I149" s="31">
        <f>LCA!H19</f>
        <v>6.2735625991254741E-7</v>
      </c>
      <c r="J149" s="31">
        <f>LCA!I19</f>
        <v>1.2215082608607326E-7</v>
      </c>
      <c r="K149" s="31">
        <f>LCA!J19</f>
        <v>7.7481560675837544E-2</v>
      </c>
      <c r="L149" s="31">
        <f>LCA!K19</f>
        <v>1.683161779689599</v>
      </c>
      <c r="M149" s="31">
        <f>LCA!L19</f>
        <v>1.9021256350443762E-3</v>
      </c>
      <c r="N149" s="31"/>
      <c r="O149" s="531">
        <v>16</v>
      </c>
      <c r="P149" s="31">
        <v>1.11050749198681E-2</v>
      </c>
      <c r="Q149" s="31">
        <v>11.7441035623063</v>
      </c>
      <c r="R149" s="31">
        <v>1.4572824576420101E-2</v>
      </c>
      <c r="S149" s="31">
        <v>1.0265977798802099</v>
      </c>
      <c r="T149" s="240">
        <v>7.46985552597041E-8</v>
      </c>
      <c r="U149" s="240">
        <v>6.2735625991254698E-7</v>
      </c>
      <c r="V149" s="240">
        <v>1.22150826086073E-7</v>
      </c>
      <c r="W149" s="31">
        <v>7.7481560675837502E-2</v>
      </c>
      <c r="X149" s="31">
        <v>1.6831617796895999</v>
      </c>
      <c r="Y149" s="240">
        <v>1.9021256350443801E-3</v>
      </c>
      <c r="Z149" s="31"/>
      <c r="AA149" s="531">
        <v>16</v>
      </c>
      <c r="AB149" s="31">
        <f t="shared" si="19"/>
        <v>0</v>
      </c>
      <c r="AC149" s="31">
        <f t="shared" si="18"/>
        <v>0</v>
      </c>
      <c r="AD149" s="31">
        <f t="shared" si="18"/>
        <v>0</v>
      </c>
      <c r="AE149" s="687">
        <f>IF(ABS(((S149-G149)/S149))&lt;(0.0000000001),0,ABS((S149-G149)/S149))</f>
        <v>0</v>
      </c>
      <c r="AF149" s="31">
        <f t="shared" si="18"/>
        <v>0</v>
      </c>
      <c r="AG149" s="31">
        <f t="shared" si="18"/>
        <v>0</v>
      </c>
      <c r="AH149" s="31">
        <f t="shared" si="18"/>
        <v>0</v>
      </c>
      <c r="AI149" s="31">
        <f t="shared" si="18"/>
        <v>0</v>
      </c>
      <c r="AJ149" s="31">
        <f t="shared" si="18"/>
        <v>0</v>
      </c>
      <c r="AK149" s="31">
        <f t="shared" si="18"/>
        <v>0</v>
      </c>
      <c r="AL149" s="31">
        <v>1.0265977798802099</v>
      </c>
    </row>
    <row r="150" spans="1:38" x14ac:dyDescent="0.25">
      <c r="A150" s="531">
        <v>17</v>
      </c>
      <c r="B150" s="31" t="str">
        <f>LCA!A20</f>
        <v>Potassium Chloride (K)</v>
      </c>
      <c r="C150" s="31" t="str">
        <f>LCA!B20</f>
        <v>per kg-dry weed</v>
      </c>
      <c r="D150" s="31">
        <f>LCA!C20</f>
        <v>7.3550471069326942E-4</v>
      </c>
      <c r="E150" s="31">
        <f>LCA!D20</f>
        <v>1.8856419801812649</v>
      </c>
      <c r="F150" s="31">
        <f>LCA!E20</f>
        <v>6.2483125460775335E-4</v>
      </c>
      <c r="G150" s="335">
        <f>LCA!F20</f>
        <v>0.18895370690436436</v>
      </c>
      <c r="H150" s="31">
        <f>LCA!G20</f>
        <v>1.3318643145783968E-8</v>
      </c>
      <c r="I150" s="31">
        <f>LCA!H20</f>
        <v>8.9713928647177623E-8</v>
      </c>
      <c r="J150" s="31">
        <f>LCA!I20</f>
        <v>3.148197400980462E-8</v>
      </c>
      <c r="K150" s="31">
        <f>LCA!J20</f>
        <v>9.698014419654049E-3</v>
      </c>
      <c r="L150" s="31">
        <f>LCA!K20</f>
        <v>0.346824132616669</v>
      </c>
      <c r="M150" s="31">
        <f>LCA!L20</f>
        <v>1.2126177902966293E-4</v>
      </c>
      <c r="N150" s="31"/>
      <c r="O150" s="531">
        <v>17</v>
      </c>
      <c r="P150" s="31">
        <v>7.3550471069326899E-4</v>
      </c>
      <c r="Q150" s="31">
        <v>1.88564198018127</v>
      </c>
      <c r="R150" s="31">
        <v>6.2483125460775302E-4</v>
      </c>
      <c r="S150" s="31">
        <v>0.188953706904364</v>
      </c>
      <c r="T150" s="240">
        <v>1.3318643145784001E-8</v>
      </c>
      <c r="U150" s="240">
        <v>8.9713928647177597E-8</v>
      </c>
      <c r="V150" s="240">
        <v>3.14819740098046E-8</v>
      </c>
      <c r="W150" s="31">
        <v>9.6980144196540507E-3</v>
      </c>
      <c r="X150" s="31">
        <v>0.346824132616669</v>
      </c>
      <c r="Y150" s="240">
        <v>1.2126177902966301E-4</v>
      </c>
      <c r="Z150" s="31"/>
      <c r="AA150" s="531">
        <v>17</v>
      </c>
      <c r="AB150" s="31">
        <f>IF(ABS(((P150-D150)/P150))&lt;(0.0000000001),0,ABS((P150-D150)/P150))</f>
        <v>0</v>
      </c>
      <c r="AC150" s="31">
        <f t="shared" si="18"/>
        <v>0</v>
      </c>
      <c r="AD150" s="31">
        <f t="shared" si="18"/>
        <v>0</v>
      </c>
      <c r="AE150" s="687">
        <f>IF(ABS(((S150-G150)/S150))&lt;(0.0000000001),0,ABS((S150-G150)/S150))</f>
        <v>0</v>
      </c>
      <c r="AF150" s="31">
        <f t="shared" si="18"/>
        <v>0</v>
      </c>
      <c r="AG150" s="31">
        <f t="shared" si="18"/>
        <v>0</v>
      </c>
      <c r="AH150" s="31">
        <f t="shared" si="18"/>
        <v>0</v>
      </c>
      <c r="AI150" s="31">
        <f t="shared" si="18"/>
        <v>0</v>
      </c>
      <c r="AJ150" s="31">
        <f t="shared" si="18"/>
        <v>0</v>
      </c>
      <c r="AK150" s="31">
        <f t="shared" si="18"/>
        <v>0</v>
      </c>
      <c r="AL150" s="31">
        <v>0.188953706904364</v>
      </c>
    </row>
    <row r="151" spans="1:38" x14ac:dyDescent="0.25">
      <c r="A151" s="531">
        <v>18</v>
      </c>
      <c r="B151" s="31" t="str">
        <f>LCA!A21</f>
        <v>Soil</v>
      </c>
      <c r="C151" s="31" t="str">
        <f>LCA!B21</f>
        <v>per kg-dry weed</v>
      </c>
      <c r="D151" s="31">
        <f>LCA!C21</f>
        <v>1.9855630527532982E-2</v>
      </c>
      <c r="E151" s="31">
        <f>LCA!D21</f>
        <v>10.106603661393853</v>
      </c>
      <c r="F151" s="31">
        <f>LCA!E21</f>
        <v>4.4942850804375089E-3</v>
      </c>
      <c r="G151" s="335">
        <f>LCA!F21</f>
        <v>3.8982274507707513</v>
      </c>
      <c r="H151" s="31">
        <f>LCA!G21</f>
        <v>1.1577871158800355E-7</v>
      </c>
      <c r="I151" s="31">
        <f>LCA!H21</f>
        <v>3.839078621063087E-7</v>
      </c>
      <c r="J151" s="31">
        <f>LCA!I21</f>
        <v>9.5239088319010696E-7</v>
      </c>
      <c r="K151" s="31">
        <f>LCA!J21</f>
        <v>0.49598590210429699</v>
      </c>
      <c r="L151" s="31">
        <f>LCA!K21</f>
        <v>8.0452989349310471</v>
      </c>
      <c r="M151" s="31">
        <f>LCA!L21</f>
        <v>2.2567755543984724E-3</v>
      </c>
      <c r="N151" s="31"/>
      <c r="O151" s="531">
        <v>18</v>
      </c>
      <c r="P151" s="31">
        <v>1.9855630527532999E-2</v>
      </c>
      <c r="Q151" s="31">
        <v>10.106603661393899</v>
      </c>
      <c r="R151" s="31">
        <v>4.4942850804375097E-3</v>
      </c>
      <c r="S151" s="31">
        <v>3.8982274507707499</v>
      </c>
      <c r="T151" s="240">
        <v>1.15778711588004E-7</v>
      </c>
      <c r="U151" s="240">
        <v>3.8390786210630902E-7</v>
      </c>
      <c r="V151" s="240">
        <v>9.5239088319010696E-7</v>
      </c>
      <c r="W151" s="31">
        <v>0.49598590210429699</v>
      </c>
      <c r="X151" s="31">
        <v>8.0452989349310506</v>
      </c>
      <c r="Y151" s="240">
        <v>2.2567755543984702E-3</v>
      </c>
      <c r="Z151" s="31"/>
      <c r="AA151" s="531">
        <v>18</v>
      </c>
      <c r="AB151" s="31">
        <f t="shared" si="19"/>
        <v>0</v>
      </c>
      <c r="AC151" s="31">
        <f t="shared" ref="AC151:AC155" si="29">IF(ABS(((Q151-E151)/Q151))&lt;(0.0000000001),0,ABS((Q151-E151)/Q151))</f>
        <v>0</v>
      </c>
      <c r="AD151" s="31">
        <f t="shared" ref="AD151:AD155" si="30">IF(ABS(((R151-F151)/R151))&lt;(0.0000000001),0,ABS((R151-F151)/R151))</f>
        <v>0</v>
      </c>
      <c r="AE151" s="687">
        <f>IF(ABS(((S151-G151)/S151))&lt;(0.0000000001),0,ABS((S151-G151)/S151))</f>
        <v>0</v>
      </c>
      <c r="AF151" s="31">
        <f t="shared" ref="AF151:AF155" si="31">IF(ABS(((T151-H151)/T151))&lt;(0.0000000001),0,ABS((T151-H151)/T151))</f>
        <v>0</v>
      </c>
      <c r="AG151" s="31">
        <f t="shared" ref="AG151:AG155" si="32">IF(ABS(((U151-I151)/U151))&lt;(0.0000000001),0,ABS((U151-I151)/U151))</f>
        <v>0</v>
      </c>
      <c r="AH151" s="31">
        <f t="shared" ref="AH151:AH155" si="33">IF(ABS(((V151-J151)/V151))&lt;(0.0000000001),0,ABS((V151-J151)/V151))</f>
        <v>0</v>
      </c>
      <c r="AI151" s="31">
        <f t="shared" ref="AI151:AI155" si="34">IF(ABS(((W151-K151)/W151))&lt;(0.0000000001),0,ABS((W151-K151)/W151))</f>
        <v>0</v>
      </c>
      <c r="AJ151" s="31">
        <f t="shared" ref="AJ151:AJ155" si="35">IF(ABS(((X151-L151)/X151))&lt;(0.0000000001),0,ABS((X151-L151)/X151))</f>
        <v>0</v>
      </c>
      <c r="AK151" s="31">
        <f t="shared" ref="AK151:AK155" si="36">IF(ABS(((Y151-M151)/Y151))&lt;(0.0000000001),0,ABS((Y151-M151)/Y151))</f>
        <v>0</v>
      </c>
      <c r="AL151" s="31">
        <v>3.8982274507707499</v>
      </c>
    </row>
    <row r="152" spans="1:38" x14ac:dyDescent="0.25">
      <c r="A152" s="531">
        <v>19</v>
      </c>
      <c r="B152" s="31" t="str">
        <f>LCA!A22</f>
        <v>Soil Amendments</v>
      </c>
      <c r="C152" s="31" t="str">
        <f>LCA!B22</f>
        <v>per kg-dry weed</v>
      </c>
      <c r="D152" s="31">
        <f>LCA!C22</f>
        <v>0.8204832265663442</v>
      </c>
      <c r="E152" s="31">
        <f>LCA!D22</f>
        <v>279.22557766600067</v>
      </c>
      <c r="F152" s="31">
        <f>LCA!E22</f>
        <v>0.28492289488465855</v>
      </c>
      <c r="G152" s="335">
        <f>LCA!F22</f>
        <v>133.33488267000425</v>
      </c>
      <c r="H152" s="31">
        <f>LCA!G22</f>
        <v>4.7323867476942918E-6</v>
      </c>
      <c r="I152" s="31">
        <f>LCA!H22</f>
        <v>1.2640578874320909E-5</v>
      </c>
      <c r="J152" s="31">
        <f>LCA!I22</f>
        <v>1.264407219755736E-5</v>
      </c>
      <c r="K152" s="31">
        <f>LCA!J22</f>
        <v>7.2852282349025614</v>
      </c>
      <c r="L152" s="31">
        <f>LCA!K22</f>
        <v>73.666654241673072</v>
      </c>
      <c r="M152" s="31">
        <f>LCA!L22</f>
        <v>9.4338608763818901E-2</v>
      </c>
      <c r="N152" s="31"/>
      <c r="O152" s="531">
        <v>19</v>
      </c>
      <c r="P152" s="31">
        <v>0.82048322656634398</v>
      </c>
      <c r="Q152" s="31">
        <v>279.22557766600102</v>
      </c>
      <c r="R152" s="31">
        <v>0.28492289488465899</v>
      </c>
      <c r="S152" s="31">
        <v>133.33488267000399</v>
      </c>
      <c r="T152" s="240">
        <v>4.7323867476942901E-6</v>
      </c>
      <c r="U152" s="240">
        <v>1.26405788743209E-5</v>
      </c>
      <c r="V152" s="240">
        <v>1.2644072197557401E-5</v>
      </c>
      <c r="W152" s="31">
        <v>7.2852282349025597</v>
      </c>
      <c r="X152" s="31">
        <v>73.666654241673101</v>
      </c>
      <c r="Y152" s="31">
        <v>9.4338608763818901E-2</v>
      </c>
      <c r="Z152" s="31"/>
      <c r="AA152" s="531">
        <v>19</v>
      </c>
      <c r="AB152" s="31">
        <f t="shared" si="19"/>
        <v>0</v>
      </c>
      <c r="AC152" s="31">
        <f t="shared" si="29"/>
        <v>0</v>
      </c>
      <c r="AD152" s="31">
        <f t="shared" si="30"/>
        <v>0</v>
      </c>
      <c r="AE152" s="687">
        <f>IF(ABS(((S152-G152)/S152))&lt;(0.0000000001),0,ABS((S152-G152)/S152))</f>
        <v>0</v>
      </c>
      <c r="AF152" s="31">
        <f t="shared" si="31"/>
        <v>0</v>
      </c>
      <c r="AG152" s="31">
        <f t="shared" si="32"/>
        <v>0</v>
      </c>
      <c r="AH152" s="31">
        <f t="shared" si="33"/>
        <v>0</v>
      </c>
      <c r="AI152" s="31">
        <f t="shared" si="34"/>
        <v>0</v>
      </c>
      <c r="AJ152" s="31">
        <f t="shared" si="35"/>
        <v>0</v>
      </c>
      <c r="AK152" s="31">
        <f t="shared" si="36"/>
        <v>0</v>
      </c>
      <c r="AL152" s="31">
        <v>133.33488267000399</v>
      </c>
    </row>
    <row r="153" spans="1:38" x14ac:dyDescent="0.25">
      <c r="A153" s="531">
        <v>20</v>
      </c>
      <c r="B153" s="31" t="str">
        <f>LCA!A23</f>
        <v xml:space="preserve">Neem Oil </v>
      </c>
      <c r="C153" s="31" t="str">
        <f>LCA!B23</f>
        <v>per kg-dry weed</v>
      </c>
      <c r="D153" s="31">
        <f>LCA!C23</f>
        <v>1.2440258086287865E-2</v>
      </c>
      <c r="E153" s="31">
        <f>LCA!D23</f>
        <v>8.4598734852015234</v>
      </c>
      <c r="F153" s="31">
        <f>LCA!E23</f>
        <v>2.9038646886514592E-2</v>
      </c>
      <c r="G153" s="335">
        <f>LCA!F23</f>
        <v>7.5105598976807784</v>
      </c>
      <c r="H153" s="31">
        <f>LCA!G23</f>
        <v>8.6438701848807691E-8</v>
      </c>
      <c r="I153" s="31">
        <f>LCA!H23</f>
        <v>1.7539828820300429E-7</v>
      </c>
      <c r="J153" s="31">
        <f>LCA!I23</f>
        <v>1.0272452152466924E-7</v>
      </c>
      <c r="K153" s="31">
        <f>LCA!J23</f>
        <v>0.13057387860778519</v>
      </c>
      <c r="L153" s="31">
        <f>LCA!K23</f>
        <v>0.83642470210543551</v>
      </c>
      <c r="M153" s="31">
        <f>LCA!L23</f>
        <v>3.0456938480880264E-3</v>
      </c>
      <c r="N153" s="31"/>
      <c r="O153" s="531">
        <v>20</v>
      </c>
      <c r="P153" s="31">
        <v>1.24402580862879E-2</v>
      </c>
      <c r="Q153" s="31">
        <v>8.4598734852015198</v>
      </c>
      <c r="R153" s="31">
        <v>2.9038646886514599E-2</v>
      </c>
      <c r="S153" s="31">
        <v>7.5105598976807801</v>
      </c>
      <c r="T153" s="240">
        <v>8.6438701848807704E-8</v>
      </c>
      <c r="U153" s="240">
        <v>1.75398288203004E-7</v>
      </c>
      <c r="V153" s="240">
        <v>1.02724521524669E-7</v>
      </c>
      <c r="W153" s="31">
        <v>0.13057387860778499</v>
      </c>
      <c r="X153" s="31">
        <v>0.83642470210543596</v>
      </c>
      <c r="Y153" s="31">
        <v>3.0456938480880298E-3</v>
      </c>
      <c r="Z153" s="31"/>
      <c r="AA153" s="531">
        <v>20</v>
      </c>
      <c r="AB153" s="31">
        <f t="shared" si="19"/>
        <v>0</v>
      </c>
      <c r="AC153" s="31">
        <f t="shared" si="29"/>
        <v>0</v>
      </c>
      <c r="AD153" s="31">
        <f t="shared" si="30"/>
        <v>0</v>
      </c>
      <c r="AE153" s="687">
        <f>IF(ABS(((S153-G153)/S153))&lt;(0.0000000001),0,ABS((S153-G153)/S153))</f>
        <v>0</v>
      </c>
      <c r="AF153" s="31">
        <f t="shared" si="31"/>
        <v>0</v>
      </c>
      <c r="AG153" s="31">
        <f t="shared" si="32"/>
        <v>0</v>
      </c>
      <c r="AH153" s="31">
        <f t="shared" si="33"/>
        <v>0</v>
      </c>
      <c r="AI153" s="31">
        <f t="shared" si="34"/>
        <v>0</v>
      </c>
      <c r="AJ153" s="31">
        <f t="shared" si="35"/>
        <v>0</v>
      </c>
      <c r="AK153" s="31">
        <f t="shared" si="36"/>
        <v>0</v>
      </c>
      <c r="AL153" s="31">
        <v>7.5105598976807801</v>
      </c>
    </row>
    <row r="154" spans="1:38" x14ac:dyDescent="0.25">
      <c r="A154" s="531">
        <v>21</v>
      </c>
      <c r="B154" s="31" t="str">
        <f>LCA!A24</f>
        <v>Neem Oil (water)</v>
      </c>
      <c r="C154" s="31" t="str">
        <f>LCA!B24</f>
        <v>per kg-dry weed</v>
      </c>
      <c r="D154" s="31">
        <f>LCA!C24</f>
        <v>2.2544667925630029E-4</v>
      </c>
      <c r="E154" s="31">
        <f>LCA!D24</f>
        <v>0.15862633819380162</v>
      </c>
      <c r="F154" s="31">
        <f>LCA!E24</f>
        <v>1.7789606753856261E-4</v>
      </c>
      <c r="G154" s="335">
        <f>LCA!F24</f>
        <v>5.0225807477281878E-2</v>
      </c>
      <c r="H154" s="31">
        <f>LCA!G24</f>
        <v>2.763499743717508E-9</v>
      </c>
      <c r="I154" s="31">
        <f>LCA!H24</f>
        <v>7.4566664113020232E-9</v>
      </c>
      <c r="J154" s="31">
        <f>LCA!I24</f>
        <v>2.900865055727642E-9</v>
      </c>
      <c r="K154" s="31">
        <f>LCA!J24</f>
        <v>2.5454075505032705E-3</v>
      </c>
      <c r="L154" s="31">
        <f>LCA!K24</f>
        <v>3.1252358749290228E-2</v>
      </c>
      <c r="M154" s="31">
        <f>LCA!L24</f>
        <v>7.3473863745254634E-5</v>
      </c>
      <c r="N154" s="31"/>
      <c r="O154" s="531">
        <v>21</v>
      </c>
      <c r="P154" s="240">
        <v>2.2544667925629999E-4</v>
      </c>
      <c r="Q154" s="31">
        <v>0.15862633819380201</v>
      </c>
      <c r="R154" s="240">
        <v>1.7789606753856299E-4</v>
      </c>
      <c r="S154" s="31">
        <v>5.0225807477281899E-2</v>
      </c>
      <c r="T154" s="240">
        <v>2.76349974371751E-9</v>
      </c>
      <c r="U154" s="240">
        <v>7.4566664113020199E-9</v>
      </c>
      <c r="V154" s="240">
        <v>2.9008650557276399E-9</v>
      </c>
      <c r="W154" s="31">
        <v>2.5454075505032701E-3</v>
      </c>
      <c r="X154" s="31">
        <v>3.12523587492902E-2</v>
      </c>
      <c r="Y154" s="240">
        <v>7.3473863745254593E-5</v>
      </c>
      <c r="Z154" s="31"/>
      <c r="AA154" s="531">
        <v>21</v>
      </c>
      <c r="AB154" s="31">
        <f t="shared" si="19"/>
        <v>0</v>
      </c>
      <c r="AC154" s="31">
        <f t="shared" si="29"/>
        <v>0</v>
      </c>
      <c r="AD154" s="31">
        <f t="shared" si="30"/>
        <v>0</v>
      </c>
      <c r="AE154" s="687">
        <f>IF(ABS(((S154-G154)/S154))&lt;(0.0000000001),0,ABS((S154-G154)/S154))</f>
        <v>0</v>
      </c>
      <c r="AF154" s="31">
        <f t="shared" si="31"/>
        <v>0</v>
      </c>
      <c r="AG154" s="31">
        <f t="shared" si="32"/>
        <v>0</v>
      </c>
      <c r="AH154" s="31">
        <f t="shared" si="33"/>
        <v>0</v>
      </c>
      <c r="AI154" s="31">
        <f t="shared" si="34"/>
        <v>0</v>
      </c>
      <c r="AJ154" s="31">
        <f t="shared" si="35"/>
        <v>0</v>
      </c>
      <c r="AK154" s="31">
        <f t="shared" si="36"/>
        <v>0</v>
      </c>
      <c r="AL154" s="31">
        <v>5.0225807477281899E-2</v>
      </c>
    </row>
    <row r="155" spans="1:38" x14ac:dyDescent="0.25">
      <c r="A155" s="531">
        <v>22</v>
      </c>
      <c r="B155" s="31" t="str">
        <f>LCA!A25</f>
        <v>Neem Oil (Soap)</v>
      </c>
      <c r="C155" s="31" t="str">
        <f>LCA!B25</f>
        <v>per kg-dry weed</v>
      </c>
      <c r="D155" s="31">
        <f>LCA!C25</f>
        <v>3.4246265901776889E-3</v>
      </c>
      <c r="E155" s="31">
        <f>LCA!D25</f>
        <v>3.9186071513646996</v>
      </c>
      <c r="F155" s="31">
        <f>LCA!E25</f>
        <v>5.6094158572360395E-3</v>
      </c>
      <c r="G155" s="335">
        <f>LCA!F25</f>
        <v>1.2143363828235918</v>
      </c>
      <c r="H155" s="31">
        <f>LCA!G25</f>
        <v>2.4751819836114187E-8</v>
      </c>
      <c r="I155" s="31">
        <f>LCA!H25</f>
        <v>1.0062100626444713E-7</v>
      </c>
      <c r="J155" s="31">
        <f>LCA!I25</f>
        <v>4.9090171499385932E-8</v>
      </c>
      <c r="K155" s="31">
        <f>LCA!J25</f>
        <v>3.0717665503356473E-2</v>
      </c>
      <c r="L155" s="31">
        <f>LCA!K25</f>
        <v>0.30688102458030808</v>
      </c>
      <c r="M155" s="31">
        <f>LCA!L25</f>
        <v>6.7471071166662149E-4</v>
      </c>
      <c r="N155" s="31"/>
      <c r="O155" s="531">
        <v>22</v>
      </c>
      <c r="P155" s="240">
        <v>3.4246265901776902E-3</v>
      </c>
      <c r="Q155" s="31">
        <v>3.9186071513647001</v>
      </c>
      <c r="R155" s="240">
        <v>5.6094158572360404E-3</v>
      </c>
      <c r="S155" s="31">
        <v>1.21433638282359</v>
      </c>
      <c r="T155" s="240">
        <v>2.47518198361142E-8</v>
      </c>
      <c r="U155" s="240">
        <v>1.00621006264447E-7</v>
      </c>
      <c r="V155" s="240">
        <v>4.9090171499385899E-8</v>
      </c>
      <c r="W155" s="31">
        <v>3.07176655033565E-2</v>
      </c>
      <c r="X155" s="31">
        <v>0.30688102458030803</v>
      </c>
      <c r="Y155" s="240">
        <v>6.7471071166662203E-4</v>
      </c>
      <c r="Z155" s="31"/>
      <c r="AA155" s="531">
        <v>22</v>
      </c>
      <c r="AB155" s="31">
        <f t="shared" si="19"/>
        <v>0</v>
      </c>
      <c r="AC155" s="31">
        <f t="shared" si="29"/>
        <v>0</v>
      </c>
      <c r="AD155" s="31">
        <f t="shared" si="30"/>
        <v>0</v>
      </c>
      <c r="AE155" s="687">
        <f>IF(ABS(((S155-G155)/S155))&lt;(0.0000000001),0,ABS((S155-G155)/S155))</f>
        <v>0</v>
      </c>
      <c r="AF155" s="31">
        <f t="shared" si="31"/>
        <v>0</v>
      </c>
      <c r="AG155" s="31">
        <f t="shared" si="32"/>
        <v>0</v>
      </c>
      <c r="AH155" s="31">
        <f t="shared" si="33"/>
        <v>0</v>
      </c>
      <c r="AI155" s="31">
        <f t="shared" si="34"/>
        <v>0</v>
      </c>
      <c r="AJ155" s="31">
        <f t="shared" si="35"/>
        <v>0</v>
      </c>
      <c r="AK155" s="31">
        <f t="shared" si="36"/>
        <v>0</v>
      </c>
      <c r="AL155" s="31">
        <v>1.21433638282359</v>
      </c>
    </row>
    <row r="156" spans="1:38" x14ac:dyDescent="0.25">
      <c r="A156" s="531">
        <v>23</v>
      </c>
      <c r="B156" s="31" t="str">
        <f>LCA!A26</f>
        <v>Fungicides</v>
      </c>
      <c r="C156" s="31" t="str">
        <f>LCA!B26</f>
        <v>per kg-dry weed</v>
      </c>
      <c r="D156" s="31">
        <f>LCA!C26</f>
        <v>3.4815960999028873E-2</v>
      </c>
      <c r="E156" s="31">
        <f>LCA!D26</f>
        <v>32.452669146335467</v>
      </c>
      <c r="F156" s="31">
        <f>LCA!E26</f>
        <v>2.1045280468746083E-2</v>
      </c>
      <c r="G156" s="335">
        <f>LCA!F26</f>
        <v>7.3918207234744413</v>
      </c>
      <c r="H156" s="31">
        <f>LCA!G26</f>
        <v>3.5119775907570086E-7</v>
      </c>
      <c r="I156" s="31">
        <f>LCA!H26</f>
        <v>1.521220534638989E-6</v>
      </c>
      <c r="J156" s="31">
        <f>LCA!I26</f>
        <v>1.301002687614367E-6</v>
      </c>
      <c r="K156" s="31">
        <f>LCA!J26</f>
        <v>0.38457013883235175</v>
      </c>
      <c r="L156" s="31">
        <f>LCA!K26</f>
        <v>15.390974567453952</v>
      </c>
      <c r="M156" s="31">
        <f>LCA!L26</f>
        <v>6.8594043547646616E-3</v>
      </c>
      <c r="N156" s="31"/>
      <c r="O156" s="531">
        <v>23</v>
      </c>
      <c r="P156" s="31">
        <v>3.4815960999028901E-2</v>
      </c>
      <c r="Q156" s="31">
        <v>32.452669146335502</v>
      </c>
      <c r="R156" s="31">
        <v>2.1045280468746101E-2</v>
      </c>
      <c r="S156" s="31">
        <v>7.3918207234744404</v>
      </c>
      <c r="T156" s="240">
        <v>3.5119775907570102E-7</v>
      </c>
      <c r="U156" s="240">
        <v>1.5212205346389901E-6</v>
      </c>
      <c r="V156" s="240">
        <v>1.30100268761437E-6</v>
      </c>
      <c r="W156" s="31">
        <v>0.38457013883235203</v>
      </c>
      <c r="X156" s="31">
        <v>15.390974567454</v>
      </c>
      <c r="Y156" s="240">
        <v>6.8594043547646599E-3</v>
      </c>
      <c r="Z156" s="31"/>
      <c r="AA156" s="531">
        <v>23</v>
      </c>
      <c r="AB156" s="31">
        <f t="shared" ref="AB156:AB163" si="37">IF(ABS(((P156-D156)/P156))&lt;(0.0000000001),0,ABS((P156-D156)/P156))</f>
        <v>0</v>
      </c>
      <c r="AC156" s="31">
        <f t="shared" ref="AC156:AC163" si="38">IF(ABS(((Q156-E156)/Q156))&lt;(0.0000000001),0,ABS((Q156-E156)/Q156))</f>
        <v>0</v>
      </c>
      <c r="AD156" s="31">
        <f t="shared" ref="AD156:AD163" si="39">IF(ABS(((R156-F156)/R156))&lt;(0.0000000001),0,ABS((R156-F156)/R156))</f>
        <v>0</v>
      </c>
      <c r="AE156" s="687">
        <f>IF(ABS(((S156-G156)/S156))&lt;(0.0000000001),0,ABS((S156-G156)/S156))</f>
        <v>0</v>
      </c>
      <c r="AF156" s="31">
        <f t="shared" ref="AF156:AF163" si="40">IF(ABS(((T156-H156)/T156))&lt;(0.0000000001),0,ABS((T156-H156)/T156))</f>
        <v>0</v>
      </c>
      <c r="AG156" s="31">
        <f t="shared" ref="AG156:AG163" si="41">IF(ABS(((U156-I156)/U156))&lt;(0.0000000001),0,ABS((U156-I156)/U156))</f>
        <v>0</v>
      </c>
      <c r="AH156" s="31">
        <f t="shared" ref="AH156:AH163" si="42">IF(ABS(((V156-J156)/V156))&lt;(0.0000000001),0,ABS((V156-J156)/V156))</f>
        <v>0</v>
      </c>
      <c r="AI156" s="31">
        <f t="shared" ref="AI156:AI163" si="43">IF(ABS(((W156-K156)/W156))&lt;(0.0000000001),0,ABS((W156-K156)/W156))</f>
        <v>0</v>
      </c>
      <c r="AJ156" s="31">
        <f t="shared" ref="AJ156:AJ163" si="44">IF(ABS(((X156-L156)/X156))&lt;(0.0000000001),0,ABS((X156-L156)/X156))</f>
        <v>0</v>
      </c>
      <c r="AK156" s="31">
        <f t="shared" ref="AK156:AK163" si="45">IF(ABS(((Y156-M156)/Y156))&lt;(0.0000000001),0,ABS((Y156-M156)/Y156))</f>
        <v>0</v>
      </c>
      <c r="AL156" s="31">
        <v>7.3918207234744404</v>
      </c>
    </row>
    <row r="157" spans="1:38" x14ac:dyDescent="0.25">
      <c r="A157" s="531">
        <v>24</v>
      </c>
      <c r="B157" s="31" t="str">
        <f>LCA!A27</f>
        <v>Extractor Fan Electricity</v>
      </c>
      <c r="C157" s="31" t="str">
        <f>LCA!B27</f>
        <v>per kg-dry weed</v>
      </c>
      <c r="D157" s="31">
        <f>LCA!C27</f>
        <v>0.12833715631188239</v>
      </c>
      <c r="E157" s="31">
        <f>LCA!D27</f>
        <v>315.52266769447533</v>
      </c>
      <c r="F157" s="31">
        <f>LCA!E27</f>
        <v>0.41999507977138112</v>
      </c>
      <c r="G157" s="335">
        <f>LCA!F27</f>
        <v>68.595069206954761</v>
      </c>
      <c r="H157" s="31">
        <f>LCA!G27</f>
        <v>4.3979228602916718E-6</v>
      </c>
      <c r="I157" s="31">
        <f>LCA!H27</f>
        <v>1.2503870693527245E-5</v>
      </c>
      <c r="J157" s="31">
        <f>LCA!I27</f>
        <v>4.1920315061513144E-6</v>
      </c>
      <c r="K157" s="31">
        <f>LCA!J27</f>
        <v>1.7964660789507758</v>
      </c>
      <c r="L157" s="31">
        <f>LCA!K27</f>
        <v>45.112918936743839</v>
      </c>
      <c r="M157" s="31">
        <f>LCA!L27</f>
        <v>0.15224377013031812</v>
      </c>
      <c r="N157" s="31"/>
      <c r="O157" s="531">
        <v>24</v>
      </c>
      <c r="P157" s="31">
        <v>68.595069206954804</v>
      </c>
      <c r="Q157" s="31">
        <v>68.595069206954804</v>
      </c>
      <c r="R157" s="31">
        <v>68.595069206954804</v>
      </c>
      <c r="S157" s="31">
        <v>68.595069206954804</v>
      </c>
      <c r="T157" s="240">
        <v>68.595069206954804</v>
      </c>
      <c r="U157" s="240">
        <v>68.595069206954804</v>
      </c>
      <c r="V157" s="240">
        <v>68.595069206954804</v>
      </c>
      <c r="W157" s="31">
        <v>68.595069206954804</v>
      </c>
      <c r="X157" s="31">
        <v>68.595069206954804</v>
      </c>
      <c r="Y157" s="31">
        <v>68.595069206954804</v>
      </c>
      <c r="Z157" s="31"/>
      <c r="AA157" s="531">
        <v>24</v>
      </c>
      <c r="AB157" s="31">
        <f t="shared" si="37"/>
        <v>0.99812906149384173</v>
      </c>
      <c r="AC157" s="31">
        <f t="shared" si="38"/>
        <v>3.5997864182121813</v>
      </c>
      <c r="AD157" s="31">
        <f t="shared" si="39"/>
        <v>0.99387718265136182</v>
      </c>
      <c r="AE157" s="687">
        <f>IF(ABS(((S157-G157)/S157))&lt;(0.0000000001),0,ABS((S157-G157)/S157))</f>
        <v>0</v>
      </c>
      <c r="AF157" s="31">
        <f t="shared" si="40"/>
        <v>0.99999993588572889</v>
      </c>
      <c r="AG157" s="31">
        <f t="shared" si="41"/>
        <v>0.99999981771473023</v>
      </c>
      <c r="AH157" s="31">
        <f t="shared" si="42"/>
        <v>0.99999993888727634</v>
      </c>
      <c r="AI157" s="31">
        <f t="shared" si="43"/>
        <v>0.9738105653989394</v>
      </c>
      <c r="AJ157" s="31">
        <f t="shared" si="44"/>
        <v>0.34233000333251545</v>
      </c>
      <c r="AK157" s="31">
        <f t="shared" si="45"/>
        <v>0.99778054353045431</v>
      </c>
      <c r="AL157" s="31">
        <v>68.595069206954804</v>
      </c>
    </row>
    <row r="158" spans="1:38" x14ac:dyDescent="0.25">
      <c r="A158" s="531">
        <v>25</v>
      </c>
      <c r="B158" s="31" t="str">
        <f>LCA!A28</f>
        <v>Intake Fan Electricity</v>
      </c>
      <c r="C158" s="31" t="str">
        <f>LCA!B28</f>
        <v>per kg-dry weed</v>
      </c>
      <c r="D158" s="31">
        <f>LCA!C28</f>
        <v>0.12833715631188239</v>
      </c>
      <c r="E158" s="31">
        <f>LCA!D28</f>
        <v>315.52266769447533</v>
      </c>
      <c r="F158" s="31">
        <f>LCA!E28</f>
        <v>0.41999507977138112</v>
      </c>
      <c r="G158" s="335">
        <f>LCA!F28</f>
        <v>68.595069206954761</v>
      </c>
      <c r="H158" s="31">
        <f>LCA!G28</f>
        <v>4.3979228602916718E-6</v>
      </c>
      <c r="I158" s="31">
        <f>LCA!H28</f>
        <v>1.2503870693527245E-5</v>
      </c>
      <c r="J158" s="31">
        <f>LCA!I28</f>
        <v>4.1920315061513144E-6</v>
      </c>
      <c r="K158" s="31">
        <f>LCA!J28</f>
        <v>1.7964660789507758</v>
      </c>
      <c r="L158" s="31">
        <f>LCA!K28</f>
        <v>45.112918936743839</v>
      </c>
      <c r="M158" s="31">
        <f>LCA!L28</f>
        <v>0.15224377013031812</v>
      </c>
      <c r="N158" s="31"/>
      <c r="O158" s="531">
        <v>25</v>
      </c>
      <c r="P158" s="31">
        <v>68.595069206954804</v>
      </c>
      <c r="Q158" s="31">
        <v>68.595069206954804</v>
      </c>
      <c r="R158" s="31">
        <v>68.595069206954804</v>
      </c>
      <c r="S158" s="31">
        <v>68.595069206954804</v>
      </c>
      <c r="T158" s="240">
        <v>68.595069206954804</v>
      </c>
      <c r="U158" s="240">
        <v>68.595069206954804</v>
      </c>
      <c r="V158" s="240">
        <v>68.595069206954804</v>
      </c>
      <c r="W158" s="31">
        <v>68.595069206954804</v>
      </c>
      <c r="X158" s="31">
        <v>68.595069206954804</v>
      </c>
      <c r="Y158" s="31">
        <v>68.595069206954804</v>
      </c>
      <c r="Z158" s="31"/>
      <c r="AA158" s="531">
        <v>25</v>
      </c>
      <c r="AB158" s="31">
        <f t="shared" si="37"/>
        <v>0.99812906149384173</v>
      </c>
      <c r="AC158" s="31">
        <f t="shared" si="38"/>
        <v>3.5997864182121813</v>
      </c>
      <c r="AD158" s="31">
        <f t="shared" si="39"/>
        <v>0.99387718265136182</v>
      </c>
      <c r="AE158" s="687">
        <f>IF(ABS(((S158-G158)/S158))&lt;(0.0000000001),0,ABS((S158-G158)/S158))</f>
        <v>0</v>
      </c>
      <c r="AF158" s="31">
        <f t="shared" si="40"/>
        <v>0.99999993588572889</v>
      </c>
      <c r="AG158" s="31">
        <f t="shared" si="41"/>
        <v>0.99999981771473023</v>
      </c>
      <c r="AH158" s="31">
        <f t="shared" si="42"/>
        <v>0.99999993888727634</v>
      </c>
      <c r="AI158" s="31">
        <f t="shared" si="43"/>
        <v>0.9738105653989394</v>
      </c>
      <c r="AJ158" s="31">
        <f t="shared" si="44"/>
        <v>0.34233000333251545</v>
      </c>
      <c r="AK158" s="31">
        <f t="shared" si="45"/>
        <v>0.99778054353045431</v>
      </c>
      <c r="AL158" s="31">
        <v>68.595069206954804</v>
      </c>
    </row>
    <row r="159" spans="1:38" x14ac:dyDescent="0.25">
      <c r="A159" s="531">
        <v>26</v>
      </c>
      <c r="B159" s="31" t="str">
        <f>LCA!A29</f>
        <v>Circulation Fan Electricity</v>
      </c>
      <c r="C159" s="31" t="str">
        <f>LCA!B29</f>
        <v>per kg-dry weed</v>
      </c>
      <c r="D159" s="31">
        <f>LCA!C29</f>
        <v>0.15991379136626774</v>
      </c>
      <c r="E159" s="31">
        <f>LCA!D29</f>
        <v>393.15524438148168</v>
      </c>
      <c r="F159" s="31">
        <f>LCA!E29</f>
        <v>0.52333250549982124</v>
      </c>
      <c r="G159" s="335">
        <f>LCA!F29</f>
        <v>85.472499945832467</v>
      </c>
      <c r="H159" s="31">
        <f>LCA!G29</f>
        <v>5.4800070294257103E-6</v>
      </c>
      <c r="I159" s="31">
        <f>LCA!H29</f>
        <v>1.5580377708356416E-5</v>
      </c>
      <c r="J159" s="31">
        <f>LCA!I29</f>
        <v>5.2234572663149716E-6</v>
      </c>
      <c r="K159" s="31">
        <f>LCA!J29</f>
        <v>2.2384764475205454</v>
      </c>
      <c r="L159" s="31">
        <f>LCA!K29</f>
        <v>56.212698754537243</v>
      </c>
      <c r="M159" s="31">
        <f>LCA!L29</f>
        <v>0.18970249297303154</v>
      </c>
      <c r="N159" s="31"/>
      <c r="O159" s="531">
        <v>26</v>
      </c>
      <c r="P159" s="31">
        <v>85.472499945832496</v>
      </c>
      <c r="Q159" s="31">
        <v>85.472499945832496</v>
      </c>
      <c r="R159" s="31">
        <v>85.472499945832496</v>
      </c>
      <c r="S159" s="31">
        <v>85.472499945832496</v>
      </c>
      <c r="T159" s="240">
        <v>85.472499945832496</v>
      </c>
      <c r="U159" s="240">
        <v>85.472499945832496</v>
      </c>
      <c r="V159" s="240">
        <v>85.472499945832496</v>
      </c>
      <c r="W159" s="31">
        <v>85.472499945832496</v>
      </c>
      <c r="X159" s="31">
        <v>85.472499945832496</v>
      </c>
      <c r="Y159" s="31">
        <v>85.472499945832496</v>
      </c>
      <c r="Z159" s="31"/>
      <c r="AA159" s="531">
        <v>26</v>
      </c>
      <c r="AB159" s="31">
        <f t="shared" si="37"/>
        <v>0.99812906149384173</v>
      </c>
      <c r="AC159" s="31">
        <f t="shared" si="38"/>
        <v>3.5997864182121808</v>
      </c>
      <c r="AD159" s="31">
        <f t="shared" si="39"/>
        <v>0.99387718265136182</v>
      </c>
      <c r="AE159" s="687">
        <f>IF(ABS(((S159-G159)/S159))&lt;(0.0000000001),0,ABS((S159-G159)/S159))</f>
        <v>0</v>
      </c>
      <c r="AF159" s="31">
        <f t="shared" si="40"/>
        <v>0.99999993588572889</v>
      </c>
      <c r="AG159" s="31">
        <f t="shared" si="41"/>
        <v>0.99999981771473023</v>
      </c>
      <c r="AH159" s="31">
        <f t="shared" si="42"/>
        <v>0.99999993888727634</v>
      </c>
      <c r="AI159" s="31">
        <f t="shared" si="43"/>
        <v>0.9738105653989394</v>
      </c>
      <c r="AJ159" s="31">
        <f t="shared" si="44"/>
        <v>0.34233000333251529</v>
      </c>
      <c r="AK159" s="31">
        <f t="shared" si="45"/>
        <v>0.9977805435304542</v>
      </c>
      <c r="AL159" s="31">
        <v>85.472499945832496</v>
      </c>
    </row>
    <row r="160" spans="1:38" x14ac:dyDescent="0.25">
      <c r="A160" s="531">
        <v>27</v>
      </c>
      <c r="B160" s="31" t="str">
        <f>LCA!A30</f>
        <v>Landfill Operations</v>
      </c>
      <c r="C160" s="31" t="str">
        <f>LCA!B30</f>
        <v>per kg-dry weed</v>
      </c>
      <c r="D160" s="31">
        <f>LCA!C30</f>
        <v>1.1007461179546693E-2</v>
      </c>
      <c r="E160" s="31">
        <f>LCA!D30</f>
        <v>1.7390183393856442</v>
      </c>
      <c r="F160" s="31">
        <f>LCA!E30</f>
        <v>2.2454586458520425E-3</v>
      </c>
      <c r="G160" s="335">
        <f>LCA!F30</f>
        <v>1.3033532362270852</v>
      </c>
      <c r="H160" s="31">
        <f>LCA!G30</f>
        <v>4.0894489773141567E-8</v>
      </c>
      <c r="I160" s="31">
        <f>LCA!H30</f>
        <v>6.9504078149815991E-8</v>
      </c>
      <c r="J160" s="31">
        <f>LCA!I30</f>
        <v>2.5516567320214034E-7</v>
      </c>
      <c r="K160" s="31">
        <f>LCA!J30</f>
        <v>0.30491595735713195</v>
      </c>
      <c r="L160" s="31">
        <f>LCA!K30</f>
        <v>2.1842700548763716</v>
      </c>
      <c r="M160" s="31">
        <f>LCA!L30</f>
        <v>1.6861944247787348E-3</v>
      </c>
      <c r="N160" s="31"/>
      <c r="O160" s="531">
        <v>27</v>
      </c>
      <c r="P160" s="31">
        <v>1.10074611795467E-2</v>
      </c>
      <c r="Q160" s="31">
        <v>1.73901833938564</v>
      </c>
      <c r="R160" s="31">
        <v>2.2454586458520399E-3</v>
      </c>
      <c r="S160" s="31">
        <v>1.3033532362270901</v>
      </c>
      <c r="T160" s="240">
        <v>4.08944897731416E-8</v>
      </c>
      <c r="U160" s="240">
        <v>6.9504078149816004E-8</v>
      </c>
      <c r="V160" s="240">
        <v>2.5516567320214002E-7</v>
      </c>
      <c r="W160" s="31">
        <v>0.30491595735713201</v>
      </c>
      <c r="X160" s="31">
        <v>2.1842700548763698</v>
      </c>
      <c r="Y160" s="31">
        <v>1.68619442477873E-3</v>
      </c>
      <c r="Z160" s="31"/>
      <c r="AA160" s="531">
        <v>27</v>
      </c>
      <c r="AB160" s="31">
        <f t="shared" si="37"/>
        <v>0</v>
      </c>
      <c r="AC160" s="31">
        <f t="shared" si="38"/>
        <v>0</v>
      </c>
      <c r="AD160" s="31">
        <f t="shared" si="39"/>
        <v>0</v>
      </c>
      <c r="AE160" s="687">
        <f>IF(ABS(((S160-G160)/S160))&lt;(0.0000000001),0,ABS((S160-G160)/S160))</f>
        <v>0</v>
      </c>
      <c r="AF160" s="31">
        <f t="shared" si="40"/>
        <v>0</v>
      </c>
      <c r="AG160" s="31">
        <f t="shared" si="41"/>
        <v>0</v>
      </c>
      <c r="AH160" s="31">
        <f t="shared" si="42"/>
        <v>0</v>
      </c>
      <c r="AI160" s="31">
        <f t="shared" si="43"/>
        <v>0</v>
      </c>
      <c r="AJ160" s="31">
        <f t="shared" si="44"/>
        <v>0</v>
      </c>
      <c r="AK160" s="31">
        <f t="shared" si="45"/>
        <v>0</v>
      </c>
      <c r="AL160" s="31">
        <v>1.3033532362270901</v>
      </c>
    </row>
    <row r="161" spans="1:38" x14ac:dyDescent="0.25">
      <c r="A161" s="531">
        <v>28</v>
      </c>
      <c r="B161" s="31" t="str">
        <f>LCA!A31</f>
        <v>Landfill Emissions</v>
      </c>
      <c r="C161" s="31" t="str">
        <f>LCA!B33</f>
        <v>per kg-dry weed</v>
      </c>
      <c r="D161" s="31">
        <f>LCA!C31</f>
        <v>0</v>
      </c>
      <c r="E161" s="31">
        <f>LCA!D31</f>
        <v>0</v>
      </c>
      <c r="F161" s="31">
        <f>LCA!E31</f>
        <v>0</v>
      </c>
      <c r="G161" s="335">
        <f>LCA!F31</f>
        <v>441.68081719485895</v>
      </c>
      <c r="H161" s="31">
        <f>LCA!G31</f>
        <v>0</v>
      </c>
      <c r="I161" s="31">
        <f>LCA!H31</f>
        <v>0</v>
      </c>
      <c r="J161" s="31">
        <f>LCA!I31</f>
        <v>0</v>
      </c>
      <c r="K161" s="31">
        <f>LCA!J31</f>
        <v>0</v>
      </c>
      <c r="L161" s="31">
        <f>LCA!K31</f>
        <v>0</v>
      </c>
      <c r="M161" s="31">
        <f>LCA!L31</f>
        <v>0</v>
      </c>
      <c r="N161" s="31"/>
      <c r="O161" s="531">
        <v>28</v>
      </c>
      <c r="P161" s="31">
        <v>441.680817194859</v>
      </c>
      <c r="Q161" s="31">
        <v>441.680817194859</v>
      </c>
      <c r="R161" s="31">
        <v>441.680817194859</v>
      </c>
      <c r="S161" s="31">
        <v>441.680817194859</v>
      </c>
      <c r="T161" s="240">
        <v>441.680817194859</v>
      </c>
      <c r="U161" s="240">
        <v>441.680817194859</v>
      </c>
      <c r="V161" s="240">
        <v>441.680817194859</v>
      </c>
      <c r="W161" s="31">
        <v>441.680817194859</v>
      </c>
      <c r="X161" s="31">
        <v>441.680817194859</v>
      </c>
      <c r="Y161" s="31">
        <v>441.680817194859</v>
      </c>
      <c r="Z161" s="31"/>
      <c r="AA161" s="531">
        <v>28</v>
      </c>
      <c r="AB161" s="31">
        <f t="shared" si="37"/>
        <v>1</v>
      </c>
      <c r="AC161" s="31">
        <f t="shared" si="38"/>
        <v>1</v>
      </c>
      <c r="AD161" s="31">
        <f t="shared" si="39"/>
        <v>1</v>
      </c>
      <c r="AE161" s="687">
        <f>IF(ABS(((S161-G161)/S161))&lt;(0.0000000001),0,ABS((S161-G161)/S161))</f>
        <v>0</v>
      </c>
      <c r="AF161" s="31">
        <f t="shared" si="40"/>
        <v>1</v>
      </c>
      <c r="AG161" s="31">
        <f t="shared" si="41"/>
        <v>1</v>
      </c>
      <c r="AH161" s="31">
        <f t="shared" si="42"/>
        <v>1</v>
      </c>
      <c r="AI161" s="31">
        <f t="shared" si="43"/>
        <v>1</v>
      </c>
      <c r="AJ161" s="31">
        <f t="shared" si="44"/>
        <v>1</v>
      </c>
      <c r="AK161" s="31">
        <f t="shared" si="45"/>
        <v>1</v>
      </c>
      <c r="AL161" s="31">
        <v>441.680817194859</v>
      </c>
    </row>
    <row r="162" spans="1:38" x14ac:dyDescent="0.25">
      <c r="A162" s="531">
        <v>29</v>
      </c>
      <c r="B162" s="31" t="str">
        <f>LCA!A32</f>
        <v>Transportation to Landfill</v>
      </c>
      <c r="C162" s="31" t="str">
        <f>LCA!B34</f>
        <v>per kg-dry weed</v>
      </c>
      <c r="D162" s="31">
        <f>LCA!C32</f>
        <v>8.8556215108166247E-2</v>
      </c>
      <c r="E162" s="31">
        <f>LCA!D32</f>
        <v>158.01599365150221</v>
      </c>
      <c r="F162" s="31">
        <f>LCA!E32</f>
        <v>3.5919004341409752E-2</v>
      </c>
      <c r="G162" s="335">
        <f>LCA!F32</f>
        <v>18.18129784880912</v>
      </c>
      <c r="H162" s="31">
        <f>LCA!G32</f>
        <v>1.038178976849299E-6</v>
      </c>
      <c r="I162" s="31">
        <f>LCA!H32</f>
        <v>6.1465466131770493E-6</v>
      </c>
      <c r="J162" s="31">
        <f>LCA!I32</f>
        <v>3.9148650143878207E-6</v>
      </c>
      <c r="K162" s="31">
        <f>LCA!J32</f>
        <v>1.8844015673941779</v>
      </c>
      <c r="L162" s="31">
        <f>LCA!K32</f>
        <v>33.745973335536746</v>
      </c>
      <c r="M162" s="31">
        <f>LCA!L32</f>
        <v>1.3432767937713802E-2</v>
      </c>
      <c r="N162" s="31"/>
      <c r="O162" s="531">
        <v>29</v>
      </c>
      <c r="P162" s="31">
        <v>8.8556215108166303E-2</v>
      </c>
      <c r="Q162" s="31">
        <v>158.01599365150199</v>
      </c>
      <c r="R162" s="31">
        <v>3.5919004341409801E-2</v>
      </c>
      <c r="S162" s="31">
        <v>18.181297848809098</v>
      </c>
      <c r="T162" s="240">
        <v>1.0381789768493001E-6</v>
      </c>
      <c r="U162" s="240">
        <v>6.1465466131770501E-6</v>
      </c>
      <c r="V162" s="240">
        <v>3.9148650143878199E-6</v>
      </c>
      <c r="W162" s="31">
        <v>1.8844015673941801</v>
      </c>
      <c r="X162" s="31">
        <v>33.745973335536704</v>
      </c>
      <c r="Y162" s="31">
        <v>1.3432767937713801E-2</v>
      </c>
      <c r="Z162" s="31"/>
      <c r="AA162" s="531">
        <v>29</v>
      </c>
      <c r="AB162" s="31">
        <f t="shared" si="37"/>
        <v>0</v>
      </c>
      <c r="AC162" s="31">
        <f t="shared" si="38"/>
        <v>0</v>
      </c>
      <c r="AD162" s="31">
        <f t="shared" si="39"/>
        <v>0</v>
      </c>
      <c r="AE162" s="687">
        <f>IF(ABS(((S162-G162)/S162))&lt;(0.0000000001),0,ABS((S162-G162)/S162))</f>
        <v>0</v>
      </c>
      <c r="AF162" s="31">
        <f t="shared" si="40"/>
        <v>0</v>
      </c>
      <c r="AG162" s="31">
        <f t="shared" si="41"/>
        <v>0</v>
      </c>
      <c r="AH162" s="31">
        <f t="shared" si="42"/>
        <v>0</v>
      </c>
      <c r="AI162" s="31">
        <f t="shared" si="43"/>
        <v>0</v>
      </c>
      <c r="AJ162" s="31">
        <f t="shared" si="44"/>
        <v>0</v>
      </c>
      <c r="AK162" s="31">
        <f t="shared" si="45"/>
        <v>0</v>
      </c>
      <c r="AL162" s="31">
        <v>18.181297848809098</v>
      </c>
    </row>
    <row r="163" spans="1:38" x14ac:dyDescent="0.25">
      <c r="A163" s="531">
        <v>30</v>
      </c>
      <c r="B163" s="31" t="str">
        <f>LCA!A33</f>
        <v>Secondary Air Conditioning</v>
      </c>
      <c r="C163" s="31" t="str">
        <f>LCA!B35</f>
        <v>per kg-dry weed</v>
      </c>
      <c r="D163" s="31">
        <f>LCA!C33</f>
        <v>8.7421112840536067E-2</v>
      </c>
      <c r="E163" s="31">
        <f>LCA!D33</f>
        <v>214.92873559729807</v>
      </c>
      <c r="F163" s="31">
        <f>LCA!E33</f>
        <v>0.28609358595990936</v>
      </c>
      <c r="G163" s="335">
        <f>LCA!F33</f>
        <v>46.725807691052594</v>
      </c>
      <c r="H163" s="31">
        <f>LCA!G33</f>
        <v>2.9957910996500247E-6</v>
      </c>
      <c r="I163" s="31">
        <f>LCA!H33</f>
        <v>8.5174264589896445E-6</v>
      </c>
      <c r="J163" s="31">
        <f>LCA!I33</f>
        <v>2.8555413713526836E-6</v>
      </c>
      <c r="K163" s="31">
        <f>LCA!J33</f>
        <v>1.2237224847065618</v>
      </c>
      <c r="L163" s="31">
        <f>LCA!K33</f>
        <v>30.730161788460101</v>
      </c>
      <c r="M163" s="31">
        <f>LCA!L33</f>
        <v>0.10370589617465993</v>
      </c>
      <c r="N163" s="31"/>
      <c r="O163" s="531">
        <v>30</v>
      </c>
      <c r="P163" s="31">
        <v>46.725807691052701</v>
      </c>
      <c r="Q163" s="31">
        <v>46.725807691052701</v>
      </c>
      <c r="R163" s="31">
        <v>46.725807691052701</v>
      </c>
      <c r="S163" s="31">
        <v>46.725807691052701</v>
      </c>
      <c r="T163" s="240">
        <v>46.725807691052701</v>
      </c>
      <c r="U163" s="240">
        <v>46.725807691052701</v>
      </c>
      <c r="V163" s="240">
        <v>46.725807691052701</v>
      </c>
      <c r="W163" s="31">
        <v>46.725807691052701</v>
      </c>
      <c r="X163" s="31">
        <v>46.725807691052701</v>
      </c>
      <c r="Y163" s="31">
        <v>46.725807691052701</v>
      </c>
      <c r="Z163" s="31"/>
      <c r="AA163" s="531">
        <v>30</v>
      </c>
      <c r="AB163" s="31">
        <f t="shared" si="37"/>
        <v>0.99812906149384173</v>
      </c>
      <c r="AC163" s="31">
        <f t="shared" si="38"/>
        <v>3.5997864182121724</v>
      </c>
      <c r="AD163" s="31">
        <f t="shared" si="39"/>
        <v>0.99387718265136182</v>
      </c>
      <c r="AE163" s="687">
        <f>IF(ABS(((S163-G163)/S163))&lt;(0.0000000001),0,ABS((S163-G163)/S163))</f>
        <v>0</v>
      </c>
      <c r="AF163" s="31">
        <f t="shared" si="40"/>
        <v>0.999999935885729</v>
      </c>
      <c r="AG163" s="31">
        <f t="shared" si="41"/>
        <v>0.99999981771473023</v>
      </c>
      <c r="AH163" s="31">
        <f t="shared" si="42"/>
        <v>0.99999993888727645</v>
      </c>
      <c r="AI163" s="31">
        <f t="shared" si="43"/>
        <v>0.97381056539893929</v>
      </c>
      <c r="AJ163" s="31">
        <f t="shared" si="44"/>
        <v>0.34233000333251656</v>
      </c>
      <c r="AK163" s="31">
        <f t="shared" si="45"/>
        <v>0.9977805435304542</v>
      </c>
      <c r="AL163" s="31">
        <v>50.924915638556598</v>
      </c>
    </row>
    <row r="164" spans="1:38" x14ac:dyDescent="0.25">
      <c r="A164" s="531">
        <v>31</v>
      </c>
      <c r="B164" s="31" t="str">
        <f>LCA!A34</f>
        <v>Secondary Dehumidification</v>
      </c>
      <c r="C164" s="31" t="str">
        <f>LCA!B36</f>
        <v>per kg-dry weed</v>
      </c>
      <c r="D164" s="31">
        <f>LCA!C34</f>
        <v>0</v>
      </c>
      <c r="E164" s="31">
        <f>LCA!D34</f>
        <v>0</v>
      </c>
      <c r="F164" s="31">
        <f>LCA!E34</f>
        <v>0</v>
      </c>
      <c r="G164" s="335">
        <f>LCA!F34</f>
        <v>0</v>
      </c>
      <c r="H164" s="31">
        <f>LCA!G34</f>
        <v>0</v>
      </c>
      <c r="I164" s="31">
        <f>LCA!H34</f>
        <v>0</v>
      </c>
      <c r="J164" s="31">
        <f>LCA!I34</f>
        <v>0</v>
      </c>
      <c r="K164" s="31">
        <f>LCA!J34</f>
        <v>0</v>
      </c>
      <c r="L164" s="31">
        <f>LCA!K34</f>
        <v>0</v>
      </c>
      <c r="M164" s="31">
        <f>LCA!L34</f>
        <v>0</v>
      </c>
      <c r="N164" s="31"/>
      <c r="O164" s="531">
        <v>31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0</v>
      </c>
      <c r="Z164" s="31"/>
      <c r="AA164" s="531">
        <v>31</v>
      </c>
      <c r="AB164" s="31" t="e">
        <f t="shared" ref="AB164:AB168" si="46">IF(ABS(((P164-D164)/P164))&lt;(0.0000000001),0,ABS((P164-D164)/P164))</f>
        <v>#DIV/0!</v>
      </c>
      <c r="AC164" s="31" t="e">
        <f t="shared" ref="AC164:AC168" si="47">IF(ABS(((Q164-E164)/Q164))&lt;(0.0000000001),0,ABS((Q164-E164)/Q164))</f>
        <v>#DIV/0!</v>
      </c>
      <c r="AD164" s="31" t="e">
        <f t="shared" ref="AD164:AD168" si="48">IF(ABS(((R164-F164)/R164))&lt;(0.0000000001),0,ABS((R164-F164)/R164))</f>
        <v>#DIV/0!</v>
      </c>
      <c r="AE164" s="687" t="e">
        <f>IF(ABS(((S164-G164)/S164))&lt;(0.0000000001),0,ABS((S164-G164)/S164))</f>
        <v>#DIV/0!</v>
      </c>
      <c r="AF164" s="31" t="e">
        <f t="shared" ref="AF164:AF168" si="49">IF(ABS(((T164-H164)/T164))&lt;(0.0000000001),0,ABS((T164-H164)/T164))</f>
        <v>#DIV/0!</v>
      </c>
      <c r="AG164" s="31" t="e">
        <f t="shared" ref="AG164:AG168" si="50">IF(ABS(((U164-I164)/U164))&lt;(0.0000000001),0,ABS((U164-I164)/U164))</f>
        <v>#DIV/0!</v>
      </c>
      <c r="AH164" s="31" t="e">
        <f t="shared" ref="AH164:AH168" si="51">IF(ABS(((V164-J164)/V164))&lt;(0.0000000001),0,ABS((V164-J164)/V164))</f>
        <v>#DIV/0!</v>
      </c>
      <c r="AI164" s="31" t="e">
        <f t="shared" ref="AI164:AI168" si="52">IF(ABS(((W164-K164)/W164))&lt;(0.0000000001),0,ABS((W164-K164)/W164))</f>
        <v>#DIV/0!</v>
      </c>
      <c r="AJ164" s="31" t="e">
        <f t="shared" ref="AJ164:AJ168" si="53">IF(ABS(((X164-L164)/X164))&lt;(0.0000000001),0,ABS((X164-L164)/X164))</f>
        <v>#DIV/0!</v>
      </c>
      <c r="AK164" s="31" t="e">
        <f t="shared" ref="AK164:AK168" si="54">IF(ABS(((Y164-M164)/Y164))&lt;(0.0000000001),0,ABS((Y164-M164)/Y164))</f>
        <v>#DIV/0!</v>
      </c>
      <c r="AL164" s="31">
        <v>302.53931264351098</v>
      </c>
    </row>
    <row r="165" spans="1:38" x14ac:dyDescent="0.25">
      <c r="A165" s="531">
        <v>32</v>
      </c>
      <c r="B165" s="31" t="str">
        <f>LCA!A35</f>
        <v>Secondary Heating</v>
      </c>
      <c r="C165" s="31" t="str">
        <f>LCA!B37</f>
        <v>per kg-dry weed</v>
      </c>
      <c r="D165" s="31">
        <f>LCA!C35</f>
        <v>2.4731213257401592E-2</v>
      </c>
      <c r="E165" s="31">
        <f>LCA!D35</f>
        <v>60.802799489595998</v>
      </c>
      <c r="F165" s="31">
        <f>LCA!E35</f>
        <v>8.0935156920908927E-2</v>
      </c>
      <c r="G165" s="335">
        <f>LCA!F35</f>
        <v>13.218613640158635</v>
      </c>
      <c r="H165" s="31">
        <f>LCA!G35</f>
        <v>8.4750177791966986E-7</v>
      </c>
      <c r="I165" s="31">
        <f>LCA!H35</f>
        <v>2.4095585530436511E-6</v>
      </c>
      <c r="J165" s="31">
        <f>LCA!I35</f>
        <v>8.0782548203287284E-7</v>
      </c>
      <c r="K165" s="31">
        <f>LCA!J35</f>
        <v>0.34618801744562372</v>
      </c>
      <c r="L165" s="31">
        <f>LCA!K35</f>
        <v>8.6934855886718996</v>
      </c>
      <c r="M165" s="31">
        <f>LCA!L35</f>
        <v>2.9338137562076535E-2</v>
      </c>
      <c r="O165" s="531">
        <v>32</v>
      </c>
      <c r="P165" s="31">
        <v>13.218613640158599</v>
      </c>
      <c r="Q165" s="31">
        <v>13.218613640158599</v>
      </c>
      <c r="R165" s="31">
        <v>13.218613640158599</v>
      </c>
      <c r="S165" s="31">
        <v>13.218613640158599</v>
      </c>
      <c r="T165" s="31">
        <v>13.218613640158599</v>
      </c>
      <c r="U165" s="31">
        <v>13.218613640158599</v>
      </c>
      <c r="V165" s="31">
        <v>13.218613640158599</v>
      </c>
      <c r="W165" s="31">
        <v>13.218613640158599</v>
      </c>
      <c r="X165" s="31">
        <v>13.218613640158599</v>
      </c>
      <c r="Y165" s="31">
        <v>13.218613640158599</v>
      </c>
      <c r="AA165" s="531">
        <v>32</v>
      </c>
      <c r="AB165" s="31">
        <f t="shared" si="46"/>
        <v>0.99812906149384173</v>
      </c>
      <c r="AC165" s="31">
        <f t="shared" si="47"/>
        <v>3.5997864182121955</v>
      </c>
      <c r="AD165" s="31">
        <f t="shared" si="48"/>
        <v>0.99387718265136182</v>
      </c>
      <c r="AE165" s="687">
        <f>IF(ABS(((S165-G165)/S165))&lt;(0.0000000001),0,ABS((S165-G165)/S165))</f>
        <v>0</v>
      </c>
      <c r="AF165" s="31">
        <f t="shared" si="49"/>
        <v>0.999999935885729</v>
      </c>
      <c r="AG165" s="31">
        <f t="shared" si="50"/>
        <v>0.99999981771473023</v>
      </c>
      <c r="AH165" s="31">
        <f t="shared" si="51"/>
        <v>0.99999993888727645</v>
      </c>
      <c r="AI165" s="31">
        <f t="shared" si="52"/>
        <v>0.97381056539893929</v>
      </c>
      <c r="AJ165" s="31">
        <f t="shared" si="53"/>
        <v>0.34233000333251334</v>
      </c>
      <c r="AK165" s="31">
        <f t="shared" si="54"/>
        <v>0.9977805435304542</v>
      </c>
      <c r="AL165" s="31">
        <v>12.2162706605825</v>
      </c>
    </row>
    <row r="166" spans="1:38" x14ac:dyDescent="0.25">
      <c r="A166" s="531">
        <v>33</v>
      </c>
      <c r="B166" s="31" t="str">
        <f>LCA!A36</f>
        <v>Transportation, Lorry, to facility</v>
      </c>
      <c r="C166" s="31" t="str">
        <f>LCA!B38</f>
        <v>per kg-dry weed</v>
      </c>
      <c r="D166" s="31">
        <f>LCA!C36</f>
        <v>0.40116781951520947</v>
      </c>
      <c r="E166" s="31">
        <f>LCA!D36</f>
        <v>288.30763985270988</v>
      </c>
      <c r="F166" s="31">
        <f>LCA!E36</f>
        <v>0.11639682931839775</v>
      </c>
      <c r="G166" s="335">
        <f>LCA!F36</f>
        <v>111.10614717450022</v>
      </c>
      <c r="H166" s="31">
        <f>LCA!G36</f>
        <v>3.2378820772620513E-6</v>
      </c>
      <c r="I166" s="31">
        <f>LCA!H36</f>
        <v>1.0883739738623512E-5</v>
      </c>
      <c r="J166" s="31">
        <f>LCA!I36</f>
        <v>2.6488626737821042E-5</v>
      </c>
      <c r="K166" s="31">
        <f>LCA!J36</f>
        <v>8.3147370988686138</v>
      </c>
      <c r="L166" s="31">
        <f>LCA!K36</f>
        <v>224.45002552822578</v>
      </c>
      <c r="M166" s="31">
        <f>LCA!L36</f>
        <v>5.4858968494886765E-2</v>
      </c>
      <c r="O166" s="531">
        <v>33</v>
      </c>
      <c r="P166" s="31">
        <v>0.40116781951520902</v>
      </c>
      <c r="Q166" s="31">
        <v>288.30763985271</v>
      </c>
      <c r="R166" s="31">
        <v>0.116396829318398</v>
      </c>
      <c r="S166" s="31">
        <v>111.10614717449999</v>
      </c>
      <c r="T166" s="240">
        <v>3.23788207726205E-6</v>
      </c>
      <c r="U166" s="240">
        <v>1.08837397386235E-5</v>
      </c>
      <c r="V166" s="240">
        <v>2.6488626737820998E-5</v>
      </c>
      <c r="W166" s="31">
        <v>8.3147370988686102</v>
      </c>
      <c r="X166" s="31">
        <v>224.45002552822601</v>
      </c>
      <c r="Y166" s="31">
        <v>5.4858968494886702E-2</v>
      </c>
      <c r="AA166" s="531">
        <v>33</v>
      </c>
      <c r="AB166" s="31">
        <f t="shared" si="46"/>
        <v>0</v>
      </c>
      <c r="AC166" s="31">
        <f t="shared" si="47"/>
        <v>0</v>
      </c>
      <c r="AD166" s="31">
        <f t="shared" si="48"/>
        <v>0</v>
      </c>
      <c r="AE166" s="687">
        <f>IF(ABS(((S166-G166)/S166))&lt;(0.0000000001),0,ABS((S166-G166)/S166))</f>
        <v>0</v>
      </c>
      <c r="AF166" s="31">
        <f t="shared" si="49"/>
        <v>0</v>
      </c>
      <c r="AG166" s="31">
        <f t="shared" si="50"/>
        <v>0</v>
      </c>
      <c r="AH166" s="31">
        <f t="shared" si="51"/>
        <v>0</v>
      </c>
      <c r="AI166" s="31">
        <f t="shared" si="52"/>
        <v>0</v>
      </c>
      <c r="AJ166" s="31">
        <f t="shared" si="53"/>
        <v>0</v>
      </c>
      <c r="AK166" s="31">
        <f t="shared" si="54"/>
        <v>0</v>
      </c>
      <c r="AL166" s="31">
        <v>51.8598495352092</v>
      </c>
    </row>
    <row r="167" spans="1:38" x14ac:dyDescent="0.25">
      <c r="A167" s="531">
        <v>34</v>
      </c>
      <c r="B167" s="31" t="str">
        <f>LCA!A37</f>
        <v>Transportation, Truck, to facility</v>
      </c>
      <c r="C167" s="31" t="s">
        <v>598</v>
      </c>
      <c r="D167" s="31">
        <f>LCA!C37</f>
        <v>0.62106812734594341</v>
      </c>
      <c r="E167" s="31">
        <f>LCA!D37</f>
        <v>1108.2079010262157</v>
      </c>
      <c r="F167" s="31">
        <f>LCA!E37</f>
        <v>0.25190946491109706</v>
      </c>
      <c r="G167" s="335">
        <f>LCA!F37</f>
        <v>127.51024413008625</v>
      </c>
      <c r="H167" s="31">
        <f>LCA!G37</f>
        <v>7.2810233840071044E-6</v>
      </c>
      <c r="I167" s="31">
        <f>LCA!H37</f>
        <v>4.3107354916057107E-5</v>
      </c>
      <c r="J167" s="31">
        <f>LCA!I37</f>
        <v>2.7455982398617456E-5</v>
      </c>
      <c r="K167" s="31">
        <f>LCA!J37</f>
        <v>13.215805928468811</v>
      </c>
      <c r="L167" s="31">
        <f>LCA!K37</f>
        <v>236.66942449345089</v>
      </c>
      <c r="M167" s="31">
        <f>LCA!L37</f>
        <v>9.4207549610814609E-2</v>
      </c>
      <c r="O167" s="531">
        <v>34</v>
      </c>
      <c r="P167" s="31">
        <v>0.62106812734594297</v>
      </c>
      <c r="Q167" s="31">
        <v>1108.20790102622</v>
      </c>
      <c r="R167" s="31">
        <v>0.251909464911097</v>
      </c>
      <c r="S167" s="31">
        <v>127.51024413008599</v>
      </c>
      <c r="T167" s="240">
        <v>7.2810233840071002E-6</v>
      </c>
      <c r="U167" s="240">
        <v>4.3107354916057101E-5</v>
      </c>
      <c r="V167" s="240">
        <v>2.74559823986175E-5</v>
      </c>
      <c r="W167" s="31">
        <v>13.2158059284688</v>
      </c>
      <c r="X167" s="31">
        <v>236.669424493451</v>
      </c>
      <c r="Y167" s="31">
        <v>9.4207549610814595E-2</v>
      </c>
      <c r="AA167" s="531">
        <v>34</v>
      </c>
      <c r="AB167" s="31">
        <f t="shared" si="46"/>
        <v>0</v>
      </c>
      <c r="AC167" s="31">
        <f t="shared" si="47"/>
        <v>0</v>
      </c>
      <c r="AD167" s="31">
        <f t="shared" si="48"/>
        <v>0</v>
      </c>
      <c r="AE167" s="687">
        <f>IF(ABS(((S167-G167)/S167))&lt;(0.0000000001),0,ABS((S167-G167)/S167))</f>
        <v>0</v>
      </c>
      <c r="AF167" s="31">
        <f t="shared" si="49"/>
        <v>0</v>
      </c>
      <c r="AG167" s="31">
        <f t="shared" si="50"/>
        <v>0</v>
      </c>
      <c r="AH167" s="31">
        <f t="shared" si="51"/>
        <v>0</v>
      </c>
      <c r="AI167" s="31">
        <f t="shared" si="52"/>
        <v>0</v>
      </c>
      <c r="AJ167" s="31">
        <f t="shared" si="53"/>
        <v>0</v>
      </c>
      <c r="AK167" s="31">
        <f t="shared" si="54"/>
        <v>0</v>
      </c>
      <c r="AL167" s="31">
        <v>59.516617603510298</v>
      </c>
    </row>
    <row r="168" spans="1:38" s="31" customFormat="1" x14ac:dyDescent="0.25">
      <c r="A168" s="531">
        <v>35</v>
      </c>
      <c r="B168" s="31" t="str">
        <f>LCA!A38</f>
        <v>Tranportation, passenger vehicle, to facility</v>
      </c>
      <c r="C168" s="31" t="s">
        <v>598</v>
      </c>
      <c r="D168" s="31">
        <f>LCA!C38</f>
        <v>2.0742772466251062E-2</v>
      </c>
      <c r="E168" s="31">
        <f>LCA!D38</f>
        <v>35.981586218841464</v>
      </c>
      <c r="F168" s="31">
        <f>LCA!E38</f>
        <v>1.3732888585864078E-2</v>
      </c>
      <c r="G168" s="335">
        <f>LCA!F38</f>
        <v>7.382968742140104</v>
      </c>
      <c r="H168" s="31">
        <f>LCA!G38</f>
        <v>4.7750512676143026E-7</v>
      </c>
      <c r="I168" s="31">
        <f>LCA!H38</f>
        <v>1.5244131049453886E-6</v>
      </c>
      <c r="J168" s="31">
        <f>LCA!I38</f>
        <v>1.4583452048435495E-6</v>
      </c>
      <c r="K168" s="31">
        <f>LCA!J38</f>
        <v>0.22267172538407412</v>
      </c>
      <c r="L168" s="31">
        <f>LCA!K38</f>
        <v>13.012349173223845</v>
      </c>
      <c r="M168" s="31">
        <f>LCA!L38</f>
        <v>3.5441660575789074E-3</v>
      </c>
      <c r="O168" s="531">
        <v>35</v>
      </c>
      <c r="P168" s="31">
        <v>2.07427724662511E-2</v>
      </c>
      <c r="Q168" s="31">
        <v>35.9815862188415</v>
      </c>
      <c r="R168" s="31">
        <v>1.3732888585864101E-2</v>
      </c>
      <c r="S168" s="31">
        <v>7.3829687421400996</v>
      </c>
      <c r="T168" s="240">
        <v>4.7750512676143004E-7</v>
      </c>
      <c r="U168" s="240">
        <v>1.5244131049453901E-6</v>
      </c>
      <c r="V168" s="240">
        <v>1.4583452048435501E-6</v>
      </c>
      <c r="W168" s="31">
        <v>0.22267172538407401</v>
      </c>
      <c r="X168" s="31">
        <v>13.0123491732238</v>
      </c>
      <c r="Y168" s="31">
        <v>3.54416605757891E-3</v>
      </c>
      <c r="AA168" s="531">
        <v>35</v>
      </c>
      <c r="AB168" s="31">
        <f t="shared" si="46"/>
        <v>0</v>
      </c>
      <c r="AC168" s="31">
        <f t="shared" si="47"/>
        <v>0</v>
      </c>
      <c r="AD168" s="31">
        <f t="shared" si="48"/>
        <v>0</v>
      </c>
      <c r="AE168" s="687">
        <f>IF(ABS(((S168-G168)/S168))&lt;(0.0000000001),0,ABS((S168-G168)/S168))</f>
        <v>0</v>
      </c>
      <c r="AF168" s="31">
        <f t="shared" si="49"/>
        <v>0</v>
      </c>
      <c r="AG168" s="31">
        <f t="shared" si="50"/>
        <v>0</v>
      </c>
      <c r="AH168" s="31">
        <f t="shared" si="51"/>
        <v>0</v>
      </c>
      <c r="AI168" s="31">
        <f t="shared" si="52"/>
        <v>0</v>
      </c>
      <c r="AJ168" s="31">
        <f t="shared" si="53"/>
        <v>0</v>
      </c>
      <c r="AK168" s="31">
        <f t="shared" si="54"/>
        <v>0</v>
      </c>
      <c r="AL168" s="31">
        <v>3.44607078750736</v>
      </c>
    </row>
    <row r="169" spans="1:38" x14ac:dyDescent="0.25">
      <c r="A169" s="531">
        <v>36</v>
      </c>
      <c r="B169" s="31" t="str">
        <f>LCA!A39</f>
        <v>Carbon Sequestered in product</v>
      </c>
      <c r="C169" s="31" t="s">
        <v>598</v>
      </c>
      <c r="D169" s="31">
        <f>LCA!C39</f>
        <v>0</v>
      </c>
      <c r="E169" s="31">
        <f>LCA!D39</f>
        <v>0</v>
      </c>
      <c r="F169" s="31">
        <f>LCA!E39</f>
        <v>0</v>
      </c>
      <c r="G169" s="335">
        <f>LCA!F39</f>
        <v>-1.8333333333333333</v>
      </c>
      <c r="H169" s="31">
        <f>LCA!G39</f>
        <v>0</v>
      </c>
      <c r="I169" s="31">
        <f>LCA!H39</f>
        <v>0</v>
      </c>
      <c r="J169" s="31">
        <f>LCA!I39</f>
        <v>0</v>
      </c>
      <c r="K169" s="31">
        <f>LCA!J39</f>
        <v>0</v>
      </c>
      <c r="L169" s="31">
        <f>LCA!K39</f>
        <v>0</v>
      </c>
      <c r="M169" s="31">
        <f>LCA!L39</f>
        <v>0</v>
      </c>
      <c r="O169" s="531">
        <v>36</v>
      </c>
      <c r="P169" s="31">
        <v>-1.8333333333333299</v>
      </c>
      <c r="Q169" s="31">
        <v>-1.8333333333333299</v>
      </c>
      <c r="R169" s="31">
        <v>-1.8333333333333299</v>
      </c>
      <c r="S169" s="31">
        <v>-1.8333333333333299</v>
      </c>
      <c r="T169" s="31">
        <v>-1.8333333333333299</v>
      </c>
      <c r="U169" s="31">
        <v>-1.8333333333333299</v>
      </c>
      <c r="V169" s="31">
        <v>-1.8333333333333299</v>
      </c>
      <c r="W169" s="31">
        <v>-1.8333333333333299</v>
      </c>
      <c r="X169" s="31">
        <v>-1.8333333333333299</v>
      </c>
      <c r="Y169" s="31">
        <v>-1.8333333333333299</v>
      </c>
      <c r="AA169" s="531">
        <v>36</v>
      </c>
      <c r="AB169" s="31">
        <f t="shared" ref="AB169:AB170" si="55">IF(ABS(((P169-D169)/P169))&lt;(0.0000000001),0,ABS((P169-D169)/P169))</f>
        <v>1</v>
      </c>
      <c r="AC169" s="31">
        <f t="shared" ref="AC169:AC170" si="56">IF(ABS(((Q169-E169)/Q169))&lt;(0.0000000001),0,ABS((Q169-E169)/Q169))</f>
        <v>1</v>
      </c>
      <c r="AD169" s="31">
        <f t="shared" ref="AD169:AD170" si="57">IF(ABS(((R169-F169)/R169))&lt;(0.0000000001),0,ABS((R169-F169)/R169))</f>
        <v>1</v>
      </c>
      <c r="AE169" s="687">
        <f>IF(ABS(((S169-G169)/S169))&lt;(0.0000000001),0,ABS((S169-G169)/S169))</f>
        <v>0</v>
      </c>
      <c r="AF169" s="31">
        <f t="shared" ref="AF169:AF170" si="58">IF(ABS(((T169-H169)/T169))&lt;(0.0000000001),0,ABS((T169-H169)/T169))</f>
        <v>1</v>
      </c>
      <c r="AG169" s="31">
        <f t="shared" ref="AG169:AG170" si="59">IF(ABS(((U169-I169)/U169))&lt;(0.0000000001),0,ABS((U169-I169)/U169))</f>
        <v>1</v>
      </c>
      <c r="AH169" s="31">
        <f t="shared" ref="AH169:AH170" si="60">IF(ABS(((V169-J169)/V169))&lt;(0.0000000001),0,ABS((V169-J169)/V169))</f>
        <v>1</v>
      </c>
      <c r="AI169" s="31">
        <f t="shared" ref="AI169:AI170" si="61">IF(ABS(((W169-K169)/W169))&lt;(0.0000000001),0,ABS((W169-K169)/W169))</f>
        <v>1</v>
      </c>
      <c r="AJ169" s="31">
        <f t="shared" ref="AJ169:AJ170" si="62">IF(ABS(((X169-L169)/X169))&lt;(0.0000000001),0,ABS((X169-L169)/X169))</f>
        <v>1</v>
      </c>
      <c r="AK169" s="31">
        <f t="shared" ref="AK169:AK170" si="63">IF(ABS(((Y169-M169)/Y169))&lt;(0.0000000001),0,ABS((Y169-M169)/Y169))</f>
        <v>1</v>
      </c>
      <c r="AL169" s="31">
        <v>-1.8333333333333299</v>
      </c>
    </row>
    <row r="170" spans="1:38" x14ac:dyDescent="0.25">
      <c r="A170" s="531">
        <v>37</v>
      </c>
      <c r="B170" s="31" t="str">
        <f>LCA!A40</f>
        <v>Carbon sequestered in landfill</v>
      </c>
      <c r="C170" s="599" t="s">
        <v>598</v>
      </c>
      <c r="D170" s="31">
        <f>LCA!C40</f>
        <v>0</v>
      </c>
      <c r="E170" s="31">
        <f>LCA!D40</f>
        <v>0</v>
      </c>
      <c r="F170" s="31">
        <f>LCA!E40</f>
        <v>0</v>
      </c>
      <c r="G170" s="335">
        <f>LCA!F40</f>
        <v>-203.27066434564904</v>
      </c>
      <c r="H170" s="31">
        <f>LCA!G40</f>
        <v>0</v>
      </c>
      <c r="I170" s="31">
        <f>LCA!H40</f>
        <v>0</v>
      </c>
      <c r="J170" s="31">
        <f>LCA!I40</f>
        <v>0</v>
      </c>
      <c r="K170" s="31">
        <f>LCA!J40</f>
        <v>0</v>
      </c>
      <c r="L170" s="31">
        <f>LCA!K40</f>
        <v>0</v>
      </c>
      <c r="M170" s="31">
        <f>LCA!L40</f>
        <v>0</v>
      </c>
      <c r="N170" s="171"/>
      <c r="O170" s="531">
        <v>37</v>
      </c>
      <c r="P170" s="31">
        <v>-203.27066434564901</v>
      </c>
      <c r="Q170" s="31">
        <v>-203.27066434564901</v>
      </c>
      <c r="R170" s="31">
        <v>-203.27066434564901</v>
      </c>
      <c r="S170" s="31">
        <v>-203.27066434564901</v>
      </c>
      <c r="T170" s="171">
        <v>-203.27066434564901</v>
      </c>
      <c r="U170" s="171">
        <v>-203.27066434564901</v>
      </c>
      <c r="V170" s="171">
        <v>-203.27066434564901</v>
      </c>
      <c r="W170" s="171">
        <v>-203.27066434564901</v>
      </c>
      <c r="X170" s="171">
        <v>-203.27066434564901</v>
      </c>
      <c r="Y170" s="171">
        <v>-203.27066434564901</v>
      </c>
      <c r="Z170" s="171"/>
      <c r="AA170" s="531">
        <v>37</v>
      </c>
      <c r="AB170" s="31">
        <f t="shared" si="55"/>
        <v>1</v>
      </c>
      <c r="AC170" s="31">
        <f t="shared" si="56"/>
        <v>1</v>
      </c>
      <c r="AD170" s="31">
        <f t="shared" si="57"/>
        <v>1</v>
      </c>
      <c r="AE170" s="687">
        <f>IF(ABS(((S170-G170)/S170))&lt;(0.0000000001),0,ABS((S170-G170)/S170))</f>
        <v>0</v>
      </c>
      <c r="AF170" s="31">
        <f t="shared" si="58"/>
        <v>1</v>
      </c>
      <c r="AG170" s="31">
        <f t="shared" si="59"/>
        <v>1</v>
      </c>
      <c r="AH170" s="31">
        <f t="shared" si="60"/>
        <v>1</v>
      </c>
      <c r="AI170" s="31">
        <f t="shared" si="61"/>
        <v>1</v>
      </c>
      <c r="AJ170" s="31">
        <f t="shared" si="62"/>
        <v>1</v>
      </c>
      <c r="AK170" s="31">
        <f t="shared" si="63"/>
        <v>1</v>
      </c>
      <c r="AL170" s="31">
        <v>-203.27066434564901</v>
      </c>
    </row>
    <row r="171" spans="1:38" x14ac:dyDescent="0.25">
      <c r="A171" s="599"/>
      <c r="B171" s="599"/>
      <c r="C171" s="599"/>
      <c r="D171" s="31"/>
      <c r="E171" s="31"/>
      <c r="F171" s="31"/>
      <c r="G171" s="335"/>
      <c r="H171" s="31"/>
      <c r="I171" s="31"/>
      <c r="J171" s="31"/>
      <c r="K171" s="31"/>
      <c r="L171" s="31"/>
      <c r="M171" s="31"/>
      <c r="N171" s="561"/>
      <c r="O171" s="171"/>
      <c r="P171" s="31"/>
      <c r="Q171" s="31"/>
      <c r="R171" s="31"/>
      <c r="S171" s="171"/>
      <c r="T171" s="171"/>
      <c r="U171" s="171"/>
      <c r="V171" s="171"/>
      <c r="W171" s="171"/>
      <c r="X171" s="171"/>
      <c r="Y171" s="561"/>
      <c r="Z171" s="561"/>
      <c r="AA171" s="561"/>
      <c r="AB171" s="171"/>
      <c r="AC171" s="561"/>
      <c r="AD171" s="561"/>
      <c r="AE171" s="171"/>
      <c r="AF171" s="171"/>
      <c r="AG171" s="171"/>
      <c r="AH171" s="171"/>
    </row>
    <row r="172" spans="1:38" x14ac:dyDescent="0.25">
      <c r="A172" s="599"/>
      <c r="B172" s="599"/>
      <c r="C172" s="599"/>
      <c r="D172" s="599"/>
      <c r="E172" s="599"/>
      <c r="F172" s="599"/>
      <c r="G172" s="599"/>
      <c r="H172" s="599"/>
      <c r="I172" s="599"/>
      <c r="J172" s="599"/>
      <c r="K172" s="599"/>
      <c r="L172" s="599"/>
      <c r="M172" s="599"/>
      <c r="N172" s="171"/>
      <c r="O172" s="171"/>
      <c r="P172" s="31"/>
      <c r="Q172" s="31"/>
      <c r="R172" s="31"/>
      <c r="S172" s="171"/>
      <c r="T172" s="171"/>
      <c r="U172" s="726">
        <v>2809.297</v>
      </c>
      <c r="V172" s="171"/>
      <c r="W172" s="171"/>
      <c r="X172" s="171"/>
      <c r="Y172" s="171"/>
      <c r="Z172" s="171"/>
      <c r="AA172" s="171"/>
      <c r="AB172" s="171"/>
      <c r="AC172" s="171"/>
      <c r="AD172" s="171"/>
      <c r="AE172" s="171"/>
      <c r="AF172" s="171"/>
      <c r="AG172" s="171"/>
      <c r="AH172" s="171"/>
    </row>
    <row r="173" spans="1:38" x14ac:dyDescent="0.25">
      <c r="A173" s="599"/>
      <c r="B173" s="599"/>
      <c r="C173" s="599"/>
      <c r="D173" s="599"/>
      <c r="E173" s="599"/>
      <c r="F173" s="599"/>
      <c r="G173" s="686"/>
      <c r="H173" s="599"/>
      <c r="I173" s="599"/>
      <c r="J173" s="599"/>
      <c r="K173" s="599"/>
      <c r="L173" s="599"/>
      <c r="M173" s="599"/>
      <c r="N173" s="171"/>
      <c r="O173" s="171"/>
      <c r="R173" s="31"/>
      <c r="S173" s="171"/>
      <c r="T173" s="171"/>
      <c r="U173" s="171"/>
      <c r="V173" s="171"/>
      <c r="W173" s="171"/>
      <c r="X173" s="171"/>
      <c r="Y173" s="171"/>
      <c r="Z173" s="171"/>
      <c r="AA173" s="171"/>
      <c r="AB173" s="171"/>
      <c r="AC173" s="171"/>
      <c r="AD173" s="171"/>
      <c r="AE173" s="171"/>
      <c r="AF173" s="171"/>
      <c r="AG173" s="171"/>
      <c r="AH173" s="171"/>
    </row>
    <row r="174" spans="1:38" x14ac:dyDescent="0.25">
      <c r="A174" s="599"/>
      <c r="B174" s="599"/>
      <c r="C174" s="599"/>
      <c r="D174" s="599"/>
      <c r="E174" s="599"/>
      <c r="F174" s="599"/>
      <c r="G174" s="599"/>
      <c r="H174" s="599"/>
      <c r="I174" s="599"/>
      <c r="J174" s="599"/>
      <c r="K174" s="599"/>
      <c r="L174" s="599"/>
      <c r="M174" s="599"/>
      <c r="N174" s="171"/>
      <c r="O174" s="171"/>
      <c r="R174" s="31"/>
      <c r="S174" s="31"/>
      <c r="T174" s="171"/>
      <c r="U174" s="171"/>
      <c r="V174" s="171"/>
      <c r="W174" s="171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</row>
    <row r="175" spans="1:38" x14ac:dyDescent="0.25">
      <c r="A175" s="599"/>
      <c r="B175" s="599"/>
      <c r="C175" s="599"/>
      <c r="D175" s="599"/>
      <c r="E175" s="599"/>
      <c r="F175" s="599"/>
      <c r="G175" s="599"/>
      <c r="H175" s="599"/>
      <c r="I175" s="599"/>
      <c r="J175" s="599"/>
      <c r="K175" s="599"/>
      <c r="L175" s="599"/>
      <c r="M175" s="599"/>
      <c r="N175" s="171"/>
      <c r="O175" s="662"/>
      <c r="Q175" s="240"/>
      <c r="R175" s="240"/>
      <c r="S175" s="31"/>
      <c r="T175" s="171"/>
      <c r="U175" s="171"/>
      <c r="V175" s="171"/>
      <c r="W175" s="171"/>
      <c r="X175" s="171"/>
      <c r="Y175" s="171"/>
      <c r="Z175" s="171"/>
      <c r="AA175" s="171"/>
      <c r="AB175" s="171"/>
      <c r="AC175" s="171"/>
      <c r="AD175" s="171"/>
      <c r="AE175" s="171"/>
      <c r="AF175" s="171"/>
      <c r="AG175" s="171"/>
      <c r="AH175" s="171"/>
    </row>
    <row r="176" spans="1:38" x14ac:dyDescent="0.25">
      <c r="A176" s="600"/>
      <c r="B176" s="600"/>
      <c r="C176" s="600"/>
      <c r="D176" s="600"/>
      <c r="E176" s="600"/>
      <c r="F176" s="600"/>
      <c r="G176" s="600"/>
      <c r="H176" s="600"/>
      <c r="I176" s="600"/>
      <c r="J176" s="600"/>
      <c r="K176" s="600"/>
      <c r="L176" s="600"/>
      <c r="M176" s="600"/>
      <c r="R176" s="31"/>
    </row>
    <row r="177" spans="1:18" x14ac:dyDescent="0.25">
      <c r="A177" s="600"/>
      <c r="B177" s="600"/>
      <c r="C177" s="600"/>
      <c r="D177" s="600"/>
      <c r="E177" s="600"/>
      <c r="F177" s="600"/>
      <c r="G177" s="600"/>
      <c r="H177" s="600"/>
      <c r="I177" s="600"/>
      <c r="J177" s="600"/>
      <c r="K177" s="600"/>
      <c r="L177" s="600"/>
      <c r="M177" s="600"/>
      <c r="N177" s="688"/>
      <c r="Q177" s="240"/>
      <c r="R177" s="240"/>
    </row>
    <row r="178" spans="1:18" x14ac:dyDescent="0.25">
      <c r="A178" s="600"/>
      <c r="B178" s="600"/>
      <c r="C178" s="600"/>
      <c r="D178" s="600"/>
      <c r="E178" s="600"/>
      <c r="F178" s="600"/>
      <c r="G178" s="600"/>
      <c r="H178" s="600"/>
      <c r="I178" s="600"/>
      <c r="J178" s="600"/>
      <c r="K178" s="600"/>
      <c r="L178" s="600"/>
      <c r="M178" s="600"/>
    </row>
    <row r="179" spans="1:18" x14ac:dyDescent="0.25">
      <c r="A179" s="600"/>
      <c r="B179" s="600"/>
      <c r="C179" s="600"/>
      <c r="D179" s="600"/>
      <c r="E179" s="600"/>
      <c r="F179" s="600"/>
      <c r="G179" s="600"/>
      <c r="H179" s="600"/>
      <c r="I179" s="600"/>
      <c r="J179" s="600"/>
      <c r="K179" s="600"/>
      <c r="L179" s="600"/>
      <c r="M179" s="600"/>
      <c r="N179" s="689"/>
    </row>
    <row r="182" spans="1:18" x14ac:dyDescent="0.25">
      <c r="A182" s="31"/>
      <c r="B182" s="31"/>
      <c r="C182" s="31"/>
      <c r="D182" s="240"/>
      <c r="E182" s="31"/>
      <c r="F182" s="31"/>
      <c r="G182" s="31"/>
      <c r="H182" s="31"/>
      <c r="I182" s="31"/>
      <c r="J182" s="31"/>
      <c r="K182" s="31"/>
      <c r="L182" s="31"/>
      <c r="M182" s="31"/>
    </row>
    <row r="183" spans="1:18" x14ac:dyDescent="0.2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</row>
    <row r="184" spans="1:18" x14ac:dyDescent="0.25">
      <c r="A184" s="31"/>
      <c r="B184" s="31"/>
      <c r="C184" s="31"/>
      <c r="D184" s="240"/>
      <c r="E184" s="31"/>
      <c r="F184" s="31"/>
      <c r="G184" s="31"/>
      <c r="H184" s="31"/>
      <c r="I184" s="31"/>
      <c r="J184" s="31"/>
      <c r="K184" s="31"/>
      <c r="L184" s="31"/>
      <c r="M184" s="31"/>
    </row>
    <row r="185" spans="1:18" x14ac:dyDescent="0.2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</row>
    <row r="186" spans="1:18" x14ac:dyDescent="0.25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</row>
    <row r="187" spans="1:18" x14ac:dyDescent="0.25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</row>
    <row r="188" spans="1:18" x14ac:dyDescent="0.25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</row>
    <row r="189" spans="1:18" x14ac:dyDescent="0.25">
      <c r="A189" s="31"/>
      <c r="B189" s="31"/>
      <c r="C189" s="31"/>
      <c r="D189" s="240"/>
      <c r="E189" s="31"/>
      <c r="F189" s="31"/>
      <c r="G189" s="31"/>
      <c r="H189" s="31"/>
      <c r="I189" s="31"/>
      <c r="J189" s="31"/>
      <c r="K189" s="31"/>
      <c r="L189" s="31"/>
      <c r="M189" s="31"/>
    </row>
    <row r="190" spans="1:18" x14ac:dyDescent="0.2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</row>
    <row r="191" spans="1:18" x14ac:dyDescent="0.25">
      <c r="A191" s="31"/>
      <c r="B191" s="31"/>
      <c r="C191" s="31"/>
      <c r="D191" s="240"/>
      <c r="E191" s="31"/>
      <c r="F191" s="31"/>
      <c r="G191" s="31"/>
      <c r="H191" s="31"/>
      <c r="I191" s="31"/>
      <c r="J191" s="31"/>
      <c r="K191" s="31"/>
      <c r="L191" s="31"/>
      <c r="M191" s="31"/>
    </row>
    <row r="193" spans="1:13" x14ac:dyDescent="0.25"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</row>
    <row r="194" spans="1:13" x14ac:dyDescent="0.2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</row>
    <row r="195" spans="1:13" x14ac:dyDescent="0.2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</row>
    <row r="196" spans="1:13" x14ac:dyDescent="0.2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</row>
    <row r="197" spans="1:13" x14ac:dyDescent="0.2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</row>
    <row r="198" spans="1:13" x14ac:dyDescent="0.2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</row>
    <row r="199" spans="1:13" x14ac:dyDescent="0.2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</row>
    <row r="200" spans="1:13" x14ac:dyDescent="0.2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</row>
    <row r="201" spans="1:13" x14ac:dyDescent="0.2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</row>
    <row r="202" spans="1:13" x14ac:dyDescent="0.2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</row>
    <row r="203" spans="1:13" x14ac:dyDescent="0.2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</row>
    <row r="204" spans="1:13" x14ac:dyDescent="0.2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</row>
    <row r="205" spans="1:13" x14ac:dyDescent="0.2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</row>
  </sheetData>
  <mergeCells count="38">
    <mergeCell ref="H68:I68"/>
    <mergeCell ref="L68:M68"/>
    <mergeCell ref="J68:K68"/>
    <mergeCell ref="D68:E68"/>
    <mergeCell ref="B68:C68"/>
    <mergeCell ref="AK68:AL68"/>
    <mergeCell ref="T68:U68"/>
    <mergeCell ref="P68:Q68"/>
    <mergeCell ref="N68:O68"/>
    <mergeCell ref="X68:Z68"/>
    <mergeCell ref="AA68:AB68"/>
    <mergeCell ref="V68:W68"/>
    <mergeCell ref="R68:S68"/>
    <mergeCell ref="X76:Z76"/>
    <mergeCell ref="AA76:AB76"/>
    <mergeCell ref="AC76:AD76"/>
    <mergeCell ref="H76:I76"/>
    <mergeCell ref="J76:K76"/>
    <mergeCell ref="L76:M76"/>
    <mergeCell ref="N76:O76"/>
    <mergeCell ref="P76:Q76"/>
    <mergeCell ref="R76:S76"/>
    <mergeCell ref="F76:G76"/>
    <mergeCell ref="D76:E76"/>
    <mergeCell ref="B76:C76"/>
    <mergeCell ref="AM68:AN68"/>
    <mergeCell ref="AI68:AJ68"/>
    <mergeCell ref="AG68:AH68"/>
    <mergeCell ref="AE68:AF68"/>
    <mergeCell ref="AC68:AD68"/>
    <mergeCell ref="F68:G68"/>
    <mergeCell ref="T76:U76"/>
    <mergeCell ref="V76:W76"/>
    <mergeCell ref="AE76:AF76"/>
    <mergeCell ref="AI76:AJ76"/>
    <mergeCell ref="AM76:AN76"/>
    <mergeCell ref="AK76:AL76"/>
    <mergeCell ref="AG76:AH76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87</vt:i4>
      </vt:variant>
    </vt:vector>
  </HeadingPairs>
  <TitlesOfParts>
    <vt:vector size="111" baseType="lpstr">
      <vt:lpstr>Indoor Inputs</vt:lpstr>
      <vt:lpstr>Greenhouse Inputs</vt:lpstr>
      <vt:lpstr>Outdoor Inputs</vt:lpstr>
      <vt:lpstr>Process Model</vt:lpstr>
      <vt:lpstr>LCI Support</vt:lpstr>
      <vt:lpstr>LCI</vt:lpstr>
      <vt:lpstr>LCA</vt:lpstr>
      <vt:lpstr>States</vt:lpstr>
      <vt:lpstr>eGrid</vt:lpstr>
      <vt:lpstr>Sensitivity Analysis</vt:lpstr>
      <vt:lpstr>Figures</vt:lpstr>
      <vt:lpstr>Tables</vt:lpstr>
      <vt:lpstr>CO Tax</vt:lpstr>
      <vt:lpstr>Outdoor Backup Calcs</vt:lpstr>
      <vt:lpstr>Indoor Backup Calcs</vt:lpstr>
      <vt:lpstr>Indoor Raw Data</vt:lpstr>
      <vt:lpstr>CO Growers</vt:lpstr>
      <vt:lpstr>Validation</vt:lpstr>
      <vt:lpstr>Transportation</vt:lpstr>
      <vt:lpstr>Fuel Economy</vt:lpstr>
      <vt:lpstr>Conversions</vt:lpstr>
      <vt:lpstr>Properties</vt:lpstr>
      <vt:lpstr>Sources</vt:lpstr>
      <vt:lpstr>TEST</vt:lpstr>
      <vt:lpstr>acre_feet_to_gallon</vt:lpstr>
      <vt:lpstr>acre_to_ha</vt:lpstr>
      <vt:lpstr>acre_to_m2</vt:lpstr>
      <vt:lpstr>BTU_per_hour_to_W</vt:lpstr>
      <vt:lpstr>BTU_to_J</vt:lpstr>
      <vt:lpstr>conv_teaspoon_to_liter</vt:lpstr>
      <vt:lpstr>day_to_hour</vt:lpstr>
      <vt:lpstr>feet_to_meters</vt:lpstr>
      <vt:lpstr>foot_to_in</vt:lpstr>
      <vt:lpstr>ft3_to_in3</vt:lpstr>
      <vt:lpstr>ft3_to_m3</vt:lpstr>
      <vt:lpstr>gal_to_m3</vt:lpstr>
      <vt:lpstr>gallon_to_pint</vt:lpstr>
      <vt:lpstr>gals_to_liters</vt:lpstr>
      <vt:lpstr>hectare_to_m2</vt:lpstr>
      <vt:lpstr>HP_to_kW</vt:lpstr>
      <vt:lpstr>hr_to_min</vt:lpstr>
      <vt:lpstr>i_count_clone</vt:lpstr>
      <vt:lpstr>i_count_flower</vt:lpstr>
      <vt:lpstr>i_count_veg</vt:lpstr>
      <vt:lpstr>indoor_annual_bud_yield</vt:lpstr>
      <vt:lpstr>kg_to_lb</vt:lpstr>
      <vt:lpstr>kgs_to_grams</vt:lpstr>
      <vt:lpstr>kJ_to_J</vt:lpstr>
      <vt:lpstr>km2_to_acre</vt:lpstr>
      <vt:lpstr>kW_to_W</vt:lpstr>
      <vt:lpstr>kWh_to_MJ</vt:lpstr>
      <vt:lpstr>lbs_to_grams</vt:lpstr>
      <vt:lpstr>lbs_to_oz</vt:lpstr>
      <vt:lpstr>length_break</vt:lpstr>
      <vt:lpstr>length_clone</vt:lpstr>
      <vt:lpstr>length_cure</vt:lpstr>
      <vt:lpstr>length_flower</vt:lpstr>
      <vt:lpstr>length_veg</vt:lpstr>
      <vt:lpstr>liters_to_cups</vt:lpstr>
      <vt:lpstr>m2_to_ft2</vt:lpstr>
      <vt:lpstr>m3_to_cm3</vt:lpstr>
      <vt:lpstr>m3_to_liters</vt:lpstr>
      <vt:lpstr>m3_to_pints</vt:lpstr>
      <vt:lpstr>mi_to_km</vt:lpstr>
      <vt:lpstr>min_to_sec</vt:lpstr>
      <vt:lpstr>MJ_to_kJ</vt:lpstr>
      <vt:lpstr>MJ_to_kWh</vt:lpstr>
      <vt:lpstr>MW_to_W</vt:lpstr>
      <vt:lpstr>outdoor_annual_yield</vt:lpstr>
      <vt:lpstr>output_LCA_acid</vt:lpstr>
      <vt:lpstr>output_LCA_carcin</vt:lpstr>
      <vt:lpstr>output_LCA_ecotox</vt:lpstr>
      <vt:lpstr>output_LCA_eutro</vt:lpstr>
      <vt:lpstr>output_LCA_GWP</vt:lpstr>
      <vt:lpstr>output_LCA_non_carcin</vt:lpstr>
      <vt:lpstr>output_LCA_ozone_dep</vt:lpstr>
      <vt:lpstr>output_LCA_ozone_form</vt:lpstr>
      <vt:lpstr>output_LCA_resource_dep</vt:lpstr>
      <vt:lpstr>output_LCA_resp</vt:lpstr>
      <vt:lpstr>oz_to_grams</vt:lpstr>
      <vt:lpstr>oz_to_m3</vt:lpstr>
      <vt:lpstr>prop_air_density</vt:lpstr>
      <vt:lpstr>prop_CO2_liquid_density</vt:lpstr>
      <vt:lpstr>prop_co2_specific_volume</vt:lpstr>
      <vt:lpstr>prop_coco_density</vt:lpstr>
      <vt:lpstr>prop_fert_gen_density</vt:lpstr>
      <vt:lpstr>prop_natural_gas_HHV</vt:lpstr>
      <vt:lpstr>prop_neem_density</vt:lpstr>
      <vt:lpstr>prop_NG_density</vt:lpstr>
      <vt:lpstr>prop_ng_heat_per_volume</vt:lpstr>
      <vt:lpstr>prop_peat_density</vt:lpstr>
      <vt:lpstr>prop_perlite_density</vt:lpstr>
      <vt:lpstr>prop_soap_density</vt:lpstr>
      <vt:lpstr>prop_water_density</vt:lpstr>
      <vt:lpstr>sensitivity_baseline_acid</vt:lpstr>
      <vt:lpstr>sensitivity_baseline_carcin</vt:lpstr>
      <vt:lpstr>sensitivity_baseline_ecotox</vt:lpstr>
      <vt:lpstr>sensitivity_baseline_eutro</vt:lpstr>
      <vt:lpstr>sensitivity_baseline_GWP</vt:lpstr>
      <vt:lpstr>sensitivity_baseline_non_carcin</vt:lpstr>
      <vt:lpstr>sensitivity_baseline_ozone_dep</vt:lpstr>
      <vt:lpstr>sensitivity_baseline_ozone_form</vt:lpstr>
      <vt:lpstr>sensitivity_baseline_resource_dep</vt:lpstr>
      <vt:lpstr>sensitivity_baseline_resp</vt:lpstr>
      <vt:lpstr>sensitivity_percent</vt:lpstr>
      <vt:lpstr>tonnes_to_kgs</vt:lpstr>
      <vt:lpstr>tonnes_to_tons</vt:lpstr>
      <vt:lpstr>tons_to_kgs</vt:lpstr>
      <vt:lpstr>tons_to_lbs</vt:lpstr>
      <vt:lpstr>week_to_days</vt:lpstr>
      <vt:lpstr>year_to_day</vt:lpstr>
    </vt:vector>
  </TitlesOfParts>
  <Company>Colorado Department of Revenue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Braunstein</dc:creator>
  <cp:lastModifiedBy>Hailey Summers</cp:lastModifiedBy>
  <cp:lastPrinted>2019-10-03T17:51:18Z</cp:lastPrinted>
  <dcterms:created xsi:type="dcterms:W3CDTF">2017-09-08T18:06:47Z</dcterms:created>
  <dcterms:modified xsi:type="dcterms:W3CDTF">2020-03-31T22:36:27Z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atural_gas_HHV" linkTarget="prop_natural_gas_HHV">
    <vt:r8>55.2</vt:r8>
  </property>
  <property fmtid="{D5CDD505-2E9C-101B-9397-08002B2CF9AE}" pid="3" name="ng_heat_per_volume" linkTarget="prop_ng_heat_per_volume">
    <vt:r8>38.8054084501074</vt:r8>
  </property>
  <property fmtid="{D5CDD505-2E9C-101B-9397-08002B2CF9AE}" pid="4" name="water_density" linkTarget="prop_water_density">
    <vt:r8>999.7</vt:r8>
  </property>
  <property fmtid="{D5CDD505-2E9C-101B-9397-08002B2CF9AE}" pid="5" name="air_density" linkTarget="prop_air_density">
    <vt:r8>1.225</vt:r8>
  </property>
  <property fmtid="{D5CDD505-2E9C-101B-9397-08002B2CF9AE}" pid="6" name="CO2_liquid_density" linkTarget="prop_CO2_liquid_density">
    <vt:r8>771</vt:r8>
  </property>
  <property fmtid="{D5CDD505-2E9C-101B-9397-08002B2CF9AE}" pid="7" name="co2_specific_volume" linkTarget="prop_co2_specific_volume">
    <vt:r8>8.714</vt:r8>
  </property>
  <property fmtid="{D5CDD505-2E9C-101B-9397-08002B2CF9AE}" pid="8" name="NG_density" linkTarget="prop_NG_density">
    <vt:r8>0.8</vt:r8>
  </property>
  <property fmtid="{D5CDD505-2E9C-101B-9397-08002B2CF9AE}" pid="9" name="HHV_NG_volume" linkTarget="prop_HHV_NG_volume">
    <vt:r8>0</vt:r8>
  </property>
  <property fmtid="{D5CDD505-2E9C-101B-9397-08002B2CF9AE}" pid="10" name="peat_density" linkTarget="prop_peat_density">
    <vt:r8>400</vt:r8>
  </property>
  <property fmtid="{D5CDD505-2E9C-101B-9397-08002B2CF9AE}" pid="11" name="fert_gen_density" linkTarget="prop_fert_gen_density">
    <vt:r8>800</vt:r8>
  </property>
  <property fmtid="{D5CDD505-2E9C-101B-9397-08002B2CF9AE}" pid="12" name="perlite_density" linkTarget="prop_perlite_density">
    <vt:r8>1100</vt:r8>
  </property>
  <property fmtid="{D5CDD505-2E9C-101B-9397-08002B2CF9AE}" pid="13" name="coco_density" linkTarget="prop_coco_density">
    <vt:r8>333.985908073408</vt:r8>
  </property>
  <property fmtid="{D5CDD505-2E9C-101B-9397-08002B2CF9AE}" pid="14" name="neem_density" linkTarget="prop_neem_density">
    <vt:r8>910</vt:r8>
  </property>
  <property fmtid="{D5CDD505-2E9C-101B-9397-08002B2CF9AE}" pid="15" name="soap_density" linkTarget="prop_soap_density">
    <vt:r8>932</vt:r8>
  </property>
</Properties>
</file>