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rt\Desktop\Project_Matrixs\"/>
    </mc:Choice>
  </mc:AlternateContent>
  <xr:revisionPtr revIDLastSave="0" documentId="13_ncr:1_{770DC82A-0CEA-4CFE-995D-EC078E570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workout-formula" sheetId="5" r:id="rId5"/>
    <sheet name="Formula" sheetId="6" r:id="rId6"/>
  </sheets>
  <definedNames>
    <definedName name="_xlnm._FilterDatabase" localSheetId="4" hidden="1">'workout-formula'!$A$1:$S$64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7" i="6" l="1"/>
  <c r="AL17" i="6"/>
  <c r="AK17" i="6"/>
  <c r="AO17" i="6" s="1"/>
  <c r="AN16" i="6"/>
  <c r="AL16" i="6"/>
  <c r="AK16" i="6"/>
  <c r="AK15" i="6"/>
  <c r="AN14" i="6"/>
  <c r="AL14" i="6"/>
  <c r="AK14" i="6"/>
  <c r="AK13" i="6"/>
  <c r="AN12" i="6"/>
  <c r="AL12" i="6"/>
  <c r="AK12" i="6"/>
  <c r="AK11" i="6"/>
  <c r="AN10" i="6"/>
  <c r="AL10" i="6"/>
  <c r="AK10" i="6"/>
  <c r="AK9" i="6"/>
  <c r="AN8" i="6"/>
  <c r="AL8" i="6"/>
  <c r="AK8" i="6"/>
  <c r="AK7" i="6"/>
  <c r="AN6" i="6"/>
  <c r="AL6" i="6"/>
  <c r="AK6" i="6"/>
  <c r="W9" i="3"/>
  <c r="L8" i="3"/>
  <c r="Q7" i="3"/>
  <c r="T6" i="3"/>
  <c r="O6" i="3"/>
  <c r="O7" i="3" s="1"/>
  <c r="L6" i="3"/>
  <c r="W5" i="3"/>
  <c r="Q5" i="3"/>
  <c r="P5" i="3"/>
  <c r="O5" i="3"/>
  <c r="W4" i="3"/>
  <c r="T4" i="3"/>
  <c r="S4" i="3"/>
  <c r="L4" i="3"/>
  <c r="W3" i="3"/>
  <c r="Q3" i="3"/>
  <c r="P3" i="3"/>
  <c r="O3" i="3"/>
  <c r="W2" i="3"/>
  <c r="W6" i="3" s="1"/>
  <c r="W7" i="3" s="1"/>
  <c r="V2" i="3"/>
  <c r="V5" i="3" s="1"/>
  <c r="U2" i="3"/>
  <c r="T2" i="3"/>
  <c r="S2" i="3"/>
  <c r="R2" i="3"/>
  <c r="R6" i="3" s="1"/>
  <c r="Q2" i="3"/>
  <c r="Q6" i="3" s="1"/>
  <c r="Q8" i="3" s="1"/>
  <c r="P2" i="3"/>
  <c r="P6" i="3" s="1"/>
  <c r="O2" i="3"/>
  <c r="O4" i="3" s="1"/>
  <c r="N2" i="3"/>
  <c r="N5" i="3" s="1"/>
  <c r="M2" i="3"/>
  <c r="L2" i="3"/>
  <c r="L48" i="1"/>
  <c r="J48" i="1"/>
  <c r="M47" i="1"/>
  <c r="M46" i="1"/>
  <c r="H41" i="1"/>
  <c r="I40" i="1"/>
  <c r="G40" i="1"/>
  <c r="J39" i="1"/>
  <c r="I39" i="1"/>
  <c r="M38" i="1"/>
  <c r="L38" i="1"/>
  <c r="M30" i="1"/>
  <c r="L30" i="1"/>
  <c r="J30" i="1"/>
  <c r="H30" i="1"/>
  <c r="M28" i="1"/>
  <c r="L28" i="1"/>
  <c r="K28" i="1"/>
  <c r="J28" i="1"/>
  <c r="I28" i="1"/>
  <c r="H28" i="1"/>
  <c r="H13" i="1"/>
  <c r="G13" i="1"/>
  <c r="F13" i="1"/>
  <c r="D13" i="1"/>
  <c r="B13" i="1"/>
  <c r="A13" i="1" s="1"/>
  <c r="H12" i="1"/>
  <c r="J43" i="1" s="1"/>
  <c r="G12" i="1"/>
  <c r="F12" i="1"/>
  <c r="D12" i="1"/>
  <c r="B12" i="1"/>
  <c r="C12" i="1" s="1"/>
  <c r="A12" i="1"/>
  <c r="H11" i="1"/>
  <c r="G11" i="1"/>
  <c r="F11" i="1"/>
  <c r="D11" i="1"/>
  <c r="B11" i="1"/>
  <c r="C11" i="1" s="1"/>
  <c r="A11" i="1"/>
  <c r="H10" i="1"/>
  <c r="G10" i="1"/>
  <c r="F10" i="1"/>
  <c r="D10" i="1"/>
  <c r="B10" i="1"/>
  <c r="C10" i="1" s="1"/>
  <c r="A10" i="1"/>
  <c r="L21" i="1" l="1"/>
  <c r="L23" i="1"/>
  <c r="C13" i="1"/>
  <c r="M21" i="1"/>
  <c r="T9" i="3"/>
  <c r="T7" i="3"/>
  <c r="T8" i="3"/>
  <c r="H37" i="1"/>
  <c r="K39" i="1"/>
  <c r="J40" i="1"/>
  <c r="I41" i="1"/>
  <c r="G42" i="1"/>
  <c r="M48" i="1"/>
  <c r="P8" i="3"/>
  <c r="P9" i="3"/>
  <c r="P7" i="3"/>
  <c r="L25" i="1"/>
  <c r="I37" i="1"/>
  <c r="M39" i="1"/>
  <c r="L40" i="1"/>
  <c r="J41" i="1"/>
  <c r="I42" i="1"/>
  <c r="H43" i="1"/>
  <c r="M49" i="1"/>
  <c r="L50" i="1"/>
  <c r="B7" i="2"/>
  <c r="B53" i="2"/>
  <c r="J53" i="2" s="1"/>
  <c r="G52" i="1" s="1"/>
  <c r="B59" i="2"/>
  <c r="J59" i="2" s="1"/>
  <c r="B55" i="2"/>
  <c r="J55" i="2" s="1"/>
  <c r="I52" i="1" s="1"/>
  <c r="B51" i="2"/>
  <c r="J51" i="2" s="1"/>
  <c r="E52" i="1" s="1"/>
  <c r="B48" i="2"/>
  <c r="B49" i="2"/>
  <c r="J49" i="2" s="1"/>
  <c r="B50" i="2"/>
  <c r="D20" i="1"/>
  <c r="L22" i="1"/>
  <c r="L24" i="1"/>
  <c r="J37" i="1"/>
  <c r="G38" i="1"/>
  <c r="M40" i="1"/>
  <c r="K41" i="1"/>
  <c r="J42" i="1"/>
  <c r="I43" i="1"/>
  <c r="M50" i="1"/>
  <c r="M23" i="1"/>
  <c r="H19" i="1"/>
  <c r="H21" i="1"/>
  <c r="C52" i="1"/>
  <c r="K48" i="1"/>
  <c r="K46" i="1"/>
  <c r="L51" i="1"/>
  <c r="L49" i="1"/>
  <c r="H48" i="1"/>
  <c r="L47" i="1"/>
  <c r="D47" i="1"/>
  <c r="H46" i="1"/>
  <c r="M20" i="1"/>
  <c r="I21" i="1"/>
  <c r="M24" i="1"/>
  <c r="K37" i="1"/>
  <c r="H38" i="1"/>
  <c r="M41" i="1"/>
  <c r="L42" i="1"/>
  <c r="I46" i="1"/>
  <c r="M51" i="1"/>
  <c r="L52" i="1"/>
  <c r="B3" i="2"/>
  <c r="B20" i="1" s="1"/>
  <c r="B14" i="2"/>
  <c r="D14" i="2" s="1" a="1"/>
  <c r="D14" i="2" s="1"/>
  <c r="H14" i="2" s="1"/>
  <c r="I14" i="2" s="1"/>
  <c r="S5" i="3"/>
  <c r="S6" i="3"/>
  <c r="S3" i="3"/>
  <c r="M22" i="1"/>
  <c r="G43" i="1"/>
  <c r="K42" i="1"/>
  <c r="G41" i="1"/>
  <c r="K40" i="1"/>
  <c r="G39" i="1"/>
  <c r="K38" i="1"/>
  <c r="G37" i="1"/>
  <c r="L43" i="1"/>
  <c r="H42" i="1"/>
  <c r="L41" i="1"/>
  <c r="H40" i="1"/>
  <c r="L39" i="1"/>
  <c r="J19" i="1"/>
  <c r="L37" i="1"/>
  <c r="K43" i="1"/>
  <c r="M52" i="1"/>
  <c r="L19" i="1"/>
  <c r="B5" i="2"/>
  <c r="O8" i="3"/>
  <c r="O9" i="3"/>
  <c r="M19" i="1"/>
  <c r="M25" i="1"/>
  <c r="L20" i="1"/>
  <c r="B34" i="2"/>
  <c r="J34" i="2" s="1"/>
  <c r="C43" i="1" s="1"/>
  <c r="B33" i="2"/>
  <c r="B44" i="2"/>
  <c r="J44" i="2" s="1"/>
  <c r="I19" i="1"/>
  <c r="B29" i="2"/>
  <c r="B25" i="2"/>
  <c r="E25" i="2" s="1" a="1"/>
  <c r="E25" i="2" s="1"/>
  <c r="B21" i="2"/>
  <c r="E21" i="2" s="1" a="1"/>
  <c r="E21" i="2" s="1"/>
  <c r="B19" i="2"/>
  <c r="J19" i="2" s="1"/>
  <c r="B18" i="2"/>
  <c r="E18" i="2" s="1" a="1"/>
  <c r="E18" i="2" s="1"/>
  <c r="B28" i="2"/>
  <c r="E28" i="2" s="1" a="1"/>
  <c r="E28" i="2" s="1"/>
  <c r="B20" i="2"/>
  <c r="J21" i="1"/>
  <c r="I38" i="1"/>
  <c r="M42" i="1"/>
  <c r="J46" i="1"/>
  <c r="B10" i="2"/>
  <c r="B4" i="2"/>
  <c r="C34" i="1"/>
  <c r="K30" i="1"/>
  <c r="K19" i="1"/>
  <c r="K21" i="1"/>
  <c r="C29" i="1"/>
  <c r="I30" i="1"/>
  <c r="M37" i="1"/>
  <c r="J38" i="1"/>
  <c r="H39" i="1"/>
  <c r="M43" i="1"/>
  <c r="L46" i="1"/>
  <c r="I48" i="1"/>
  <c r="B35" i="2"/>
  <c r="B40" i="2"/>
  <c r="J40" i="2" s="1"/>
  <c r="M5" i="3"/>
  <c r="M3" i="3"/>
  <c r="M4" i="3"/>
  <c r="M6" i="3"/>
  <c r="U5" i="3"/>
  <c r="U3" i="3"/>
  <c r="U6" i="3"/>
  <c r="U4" i="3"/>
  <c r="W8" i="3"/>
  <c r="L9" i="3"/>
  <c r="L7" i="3"/>
  <c r="AO6" i="6"/>
  <c r="AM6" i="6"/>
  <c r="AO8" i="6"/>
  <c r="AM8" i="6"/>
  <c r="AO10" i="6"/>
  <c r="AM10" i="6"/>
  <c r="AO12" i="6"/>
  <c r="AM12" i="6"/>
  <c r="AO14" i="6"/>
  <c r="AM14" i="6"/>
  <c r="AO16" i="6"/>
  <c r="AM16" i="6"/>
  <c r="R8" i="3"/>
  <c r="R9" i="3"/>
  <c r="R7" i="3"/>
  <c r="L5" i="3"/>
  <c r="L3" i="3"/>
  <c r="T5" i="3"/>
  <c r="T3" i="3"/>
  <c r="AO7" i="6"/>
  <c r="AM7" i="6"/>
  <c r="AO9" i="6"/>
  <c r="AM9" i="6"/>
  <c r="AO11" i="6"/>
  <c r="AM11" i="6"/>
  <c r="AO13" i="6"/>
  <c r="AM13" i="6"/>
  <c r="AO15" i="6"/>
  <c r="AM15" i="6"/>
  <c r="AR17" i="6"/>
  <c r="AQ17" i="6"/>
  <c r="AP17" i="6"/>
  <c r="Q9" i="3"/>
  <c r="AL7" i="6"/>
  <c r="AL9" i="6"/>
  <c r="AL11" i="6"/>
  <c r="AL13" i="6"/>
  <c r="AL15" i="6"/>
  <c r="AN7" i="6"/>
  <c r="AN9" i="6"/>
  <c r="AN11" i="6"/>
  <c r="AN13" i="6"/>
  <c r="AN15" i="6"/>
  <c r="R3" i="3"/>
  <c r="N4" i="3"/>
  <c r="V4" i="3"/>
  <c r="R5" i="3"/>
  <c r="N6" i="3"/>
  <c r="V6" i="3"/>
  <c r="AM17" i="6"/>
  <c r="P4" i="3"/>
  <c r="Q4" i="3"/>
  <c r="N3" i="3"/>
  <c r="V3" i="3"/>
  <c r="R4" i="3"/>
  <c r="H18" i="2" l="1"/>
  <c r="B31" i="1"/>
  <c r="H28" i="2"/>
  <c r="L31" i="1"/>
  <c r="H25" i="2"/>
  <c r="I31" i="1"/>
  <c r="H21" i="2"/>
  <c r="E31" i="1"/>
  <c r="AQ11" i="6"/>
  <c r="AP11" i="6"/>
  <c r="AR11" i="6"/>
  <c r="AQ9" i="6"/>
  <c r="AP9" i="6"/>
  <c r="AR9" i="6"/>
  <c r="L29" i="1"/>
  <c r="B9" i="2"/>
  <c r="J20" i="2"/>
  <c r="D34" i="1" s="1"/>
  <c r="A19" i="2"/>
  <c r="D29" i="1"/>
  <c r="J29" i="2"/>
  <c r="M34" i="1" s="1"/>
  <c r="M29" i="1"/>
  <c r="J33" i="2"/>
  <c r="B43" i="1" s="1"/>
  <c r="A33" i="2"/>
  <c r="B38" i="1"/>
  <c r="B36" i="2"/>
  <c r="B23" i="2"/>
  <c r="C20" i="1"/>
  <c r="B24" i="2"/>
  <c r="AQ10" i="6"/>
  <c r="AP10" i="6"/>
  <c r="AR10" i="6"/>
  <c r="AQ15" i="6"/>
  <c r="AP15" i="6"/>
  <c r="AR15" i="6"/>
  <c r="AQ7" i="6"/>
  <c r="AP7" i="6"/>
  <c r="AR7" i="6"/>
  <c r="U9" i="3"/>
  <c r="U7" i="3"/>
  <c r="U8" i="3"/>
  <c r="J35" i="2"/>
  <c r="D43" i="1" s="1"/>
  <c r="A34" i="2"/>
  <c r="D38" i="1"/>
  <c r="B13" i="2"/>
  <c r="J18" i="2"/>
  <c r="B34" i="1" s="1"/>
  <c r="A18" i="2"/>
  <c r="B29" i="1"/>
  <c r="B22" i="2"/>
  <c r="B41" i="2"/>
  <c r="S9" i="3"/>
  <c r="S8" i="3"/>
  <c r="S7" i="3"/>
  <c r="F33" i="2" s="1" a="1"/>
  <c r="F33" i="2" s="1"/>
  <c r="J50" i="2"/>
  <c r="D52" i="1" s="1"/>
  <c r="A49" i="2"/>
  <c r="C46" i="1" s="1"/>
  <c r="B54" i="2"/>
  <c r="C47" i="1"/>
  <c r="R10" i="2"/>
  <c r="I62" i="1" s="1"/>
  <c r="J10" i="2"/>
  <c r="I25" i="1" s="1"/>
  <c r="P10" i="2"/>
  <c r="I60" i="1" s="1"/>
  <c r="O10" i="2"/>
  <c r="I59" i="1" s="1"/>
  <c r="M10" i="2"/>
  <c r="I57" i="1" s="1"/>
  <c r="S10" i="2"/>
  <c r="I63" i="1" s="1"/>
  <c r="N10" i="2"/>
  <c r="I58" i="1" s="1"/>
  <c r="B37" i="2"/>
  <c r="AQ8" i="6"/>
  <c r="AP8" i="6"/>
  <c r="AR8" i="6"/>
  <c r="B11" i="2"/>
  <c r="B27" i="2"/>
  <c r="P5" i="2"/>
  <c r="D60" i="1" s="1"/>
  <c r="N5" i="2"/>
  <c r="D58" i="1" s="1"/>
  <c r="J5" i="2"/>
  <c r="D25" i="1" s="1"/>
  <c r="S5" i="2"/>
  <c r="D63" i="1" s="1"/>
  <c r="O5" i="2"/>
  <c r="D59" i="1" s="1"/>
  <c r="R5" i="2"/>
  <c r="D62" i="1" s="1"/>
  <c r="M5" i="2"/>
  <c r="D57" i="1" s="1"/>
  <c r="I47" i="1"/>
  <c r="I20" i="1"/>
  <c r="B52" i="2"/>
  <c r="B58" i="2"/>
  <c r="E19" i="2" a="1"/>
  <c r="E19" i="2" s="1"/>
  <c r="AQ16" i="6"/>
  <c r="AP16" i="6"/>
  <c r="AR16" i="6"/>
  <c r="AQ13" i="6"/>
  <c r="AP13" i="6"/>
  <c r="AR13" i="6"/>
  <c r="B38" i="2"/>
  <c r="P14" i="2"/>
  <c r="M60" i="1" s="1"/>
  <c r="N14" i="2"/>
  <c r="M58" i="1" s="1"/>
  <c r="S14" i="2"/>
  <c r="M63" i="1" s="1"/>
  <c r="M14" i="2"/>
  <c r="M57" i="1" s="1"/>
  <c r="O14" i="2"/>
  <c r="M59" i="1" s="1"/>
  <c r="J14" i="2"/>
  <c r="R14" i="2"/>
  <c r="M62" i="1" s="1"/>
  <c r="B12" i="2"/>
  <c r="B57" i="2"/>
  <c r="G58" i="2" a="1"/>
  <c r="G58" i="2" s="1"/>
  <c r="H58" i="2" s="1"/>
  <c r="I58" i="2" s="1"/>
  <c r="G54" i="2" a="1"/>
  <c r="G54" i="2" s="1"/>
  <c r="G51" i="2" a="1"/>
  <c r="G51" i="2" s="1"/>
  <c r="G59" i="2" a="1"/>
  <c r="G59" i="2" s="1"/>
  <c r="H59" i="2" s="1"/>
  <c r="I59" i="2" s="1"/>
  <c r="G55" i="2" a="1"/>
  <c r="G55" i="2" s="1"/>
  <c r="G49" i="2" a="1"/>
  <c r="G49" i="2" s="1"/>
  <c r="C49" i="2" a="1"/>
  <c r="C49" i="2" s="1"/>
  <c r="C48" i="1" s="1"/>
  <c r="C48" i="2" a="1"/>
  <c r="C48" i="2" s="1"/>
  <c r="B48" i="1" s="1"/>
  <c r="G53" i="2" a="1"/>
  <c r="G53" i="2" s="1"/>
  <c r="G52" i="2" a="1"/>
  <c r="G52" i="2" s="1"/>
  <c r="E29" i="2" a="1"/>
  <c r="E29" i="2" s="1"/>
  <c r="V9" i="3"/>
  <c r="V7" i="3"/>
  <c r="G50" i="2" s="1" a="1"/>
  <c r="G50" i="2" s="1"/>
  <c r="V8" i="3"/>
  <c r="AQ14" i="6"/>
  <c r="AP14" i="6"/>
  <c r="AR14" i="6"/>
  <c r="AQ6" i="6"/>
  <c r="AP6" i="6"/>
  <c r="AR6" i="6"/>
  <c r="M9" i="3"/>
  <c r="M7" i="3"/>
  <c r="D3" i="2" s="1" a="1"/>
  <c r="D3" i="2" s="1"/>
  <c r="M8" i="3"/>
  <c r="B26" i="2"/>
  <c r="B39" i="2"/>
  <c r="R3" i="2"/>
  <c r="B62" i="1" s="1"/>
  <c r="J3" i="2"/>
  <c r="B25" i="1" s="1"/>
  <c r="A3" i="2"/>
  <c r="P3" i="2"/>
  <c r="B60" i="1" s="1"/>
  <c r="M3" i="2"/>
  <c r="B57" i="1" s="1"/>
  <c r="O3" i="2"/>
  <c r="B59" i="1" s="1"/>
  <c r="N3" i="2"/>
  <c r="B58" i="1" s="1"/>
  <c r="S3" i="2"/>
  <c r="B63" i="1" s="1"/>
  <c r="B8" i="2"/>
  <c r="A5" i="2" s="1"/>
  <c r="J48" i="2"/>
  <c r="B52" i="1" s="1"/>
  <c r="A48" i="2"/>
  <c r="B46" i="1" s="1"/>
  <c r="B56" i="2"/>
  <c r="B47" i="1"/>
  <c r="D10" i="2" a="1"/>
  <c r="D10" i="2" s="1"/>
  <c r="R7" i="2"/>
  <c r="F62" i="1" s="1"/>
  <c r="J7" i="2"/>
  <c r="F25" i="1" s="1"/>
  <c r="P7" i="2"/>
  <c r="F60" i="1" s="1"/>
  <c r="N7" i="2"/>
  <c r="F58" i="1" s="1"/>
  <c r="M7" i="2"/>
  <c r="F57" i="1" s="1"/>
  <c r="O7" i="2"/>
  <c r="F59" i="1" s="1"/>
  <c r="S7" i="2"/>
  <c r="F63" i="1" s="1"/>
  <c r="N9" i="3"/>
  <c r="N7" i="3"/>
  <c r="D5" i="2" s="1" a="1"/>
  <c r="D5" i="2" s="1"/>
  <c r="N8" i="3"/>
  <c r="F20" i="1"/>
  <c r="J21" i="2"/>
  <c r="E34" i="1" s="1"/>
  <c r="E29" i="1"/>
  <c r="B43" i="2"/>
  <c r="C38" i="1"/>
  <c r="G47" i="1"/>
  <c r="E47" i="1"/>
  <c r="F40" i="2" a="1"/>
  <c r="F40" i="2" s="1"/>
  <c r="H40" i="2" s="1"/>
  <c r="I40" i="2" s="1"/>
  <c r="J28" i="2"/>
  <c r="L34" i="1" s="1"/>
  <c r="A23" i="2"/>
  <c r="AQ12" i="6"/>
  <c r="AP12" i="6"/>
  <c r="AR12" i="6"/>
  <c r="R4" i="2"/>
  <c r="C62" i="1" s="1"/>
  <c r="J4" i="2"/>
  <c r="C25" i="1" s="1"/>
  <c r="P4" i="2"/>
  <c r="C60" i="1" s="1"/>
  <c r="N4" i="2"/>
  <c r="C58" i="1" s="1"/>
  <c r="O4" i="2"/>
  <c r="C59" i="1" s="1"/>
  <c r="S4" i="2"/>
  <c r="C63" i="1" s="1"/>
  <c r="M4" i="2"/>
  <c r="C57" i="1" s="1"/>
  <c r="J25" i="2"/>
  <c r="I34" i="1" s="1"/>
  <c r="I29" i="1"/>
  <c r="B42" i="2"/>
  <c r="D7" i="2" a="1"/>
  <c r="D7" i="2" s="1"/>
  <c r="E20" i="2" a="1"/>
  <c r="E20" i="2" s="1"/>
  <c r="F44" i="2" a="1"/>
  <c r="F44" i="2" s="1"/>
  <c r="H44" i="2" s="1"/>
  <c r="I44" i="2" s="1"/>
  <c r="B6" i="2"/>
  <c r="H33" i="2" l="1"/>
  <c r="B40" i="1"/>
  <c r="H3" i="2"/>
  <c r="B22" i="1"/>
  <c r="D19" i="1"/>
  <c r="C5" i="2" a="1"/>
  <c r="C5" i="2" s="1"/>
  <c r="D21" i="1" s="1"/>
  <c r="H50" i="2"/>
  <c r="D49" i="1"/>
  <c r="H5" i="2"/>
  <c r="D22" i="1"/>
  <c r="H52" i="2"/>
  <c r="F49" i="1"/>
  <c r="O13" i="2"/>
  <c r="L59" i="1" s="1"/>
  <c r="A8" i="2"/>
  <c r="M13" i="2"/>
  <c r="L57" i="1" s="1"/>
  <c r="S13" i="2"/>
  <c r="L63" i="1" s="1"/>
  <c r="J13" i="2"/>
  <c r="R13" i="2"/>
  <c r="L62" i="1" s="1"/>
  <c r="P13" i="2"/>
  <c r="L60" i="1" s="1"/>
  <c r="N13" i="2"/>
  <c r="L58" i="1" s="1"/>
  <c r="D13" i="2" a="1"/>
  <c r="D13" i="2" s="1"/>
  <c r="H13" i="2" s="1"/>
  <c r="I13" i="2" s="1"/>
  <c r="J24" i="2"/>
  <c r="H34" i="1" s="1"/>
  <c r="A21" i="2"/>
  <c r="H29" i="1"/>
  <c r="E24" i="2" a="1"/>
  <c r="E24" i="2" s="1"/>
  <c r="H55" i="2"/>
  <c r="I49" i="1"/>
  <c r="J57" i="2"/>
  <c r="K52" i="1" s="1"/>
  <c r="K47" i="1"/>
  <c r="H19" i="2"/>
  <c r="C31" i="1"/>
  <c r="H54" i="2"/>
  <c r="H49" i="1"/>
  <c r="A38" i="2"/>
  <c r="C38" i="2" s="1" a="1"/>
  <c r="C38" i="2" s="1"/>
  <c r="J43" i="2"/>
  <c r="F43" i="2" a="1"/>
  <c r="F43" i="2" s="1"/>
  <c r="H43" i="2" s="1"/>
  <c r="I43" i="2" s="1"/>
  <c r="G48" i="2" a="1"/>
  <c r="G48" i="2" s="1"/>
  <c r="N12" i="2"/>
  <c r="K58" i="1" s="1"/>
  <c r="R12" i="2"/>
  <c r="K62" i="1" s="1"/>
  <c r="J12" i="2"/>
  <c r="K25" i="1" s="1"/>
  <c r="M12" i="2"/>
  <c r="K57" i="1" s="1"/>
  <c r="P12" i="2"/>
  <c r="K60" i="1" s="1"/>
  <c r="O12" i="2"/>
  <c r="K59" i="1" s="1"/>
  <c r="S12" i="2"/>
  <c r="K63" i="1" s="1"/>
  <c r="K20" i="1"/>
  <c r="D12" i="2" a="1"/>
  <c r="D12" i="2" s="1"/>
  <c r="J38" i="2"/>
  <c r="F38" i="2" a="1"/>
  <c r="F38" i="2" s="1"/>
  <c r="H38" i="2" s="1"/>
  <c r="I38" i="2" s="1"/>
  <c r="A53" i="2"/>
  <c r="J58" i="2"/>
  <c r="C34" i="2" a="1"/>
  <c r="C34" i="2" s="1"/>
  <c r="C39" i="1" s="1"/>
  <c r="C37" i="1"/>
  <c r="I25" i="2"/>
  <c r="I33" i="1" s="1"/>
  <c r="I32" i="1"/>
  <c r="J39" i="2"/>
  <c r="A36" i="2"/>
  <c r="F39" i="2" a="1"/>
  <c r="F39" i="2" s="1"/>
  <c r="H39" i="2" s="1"/>
  <c r="I39" i="2" s="1"/>
  <c r="H10" i="2"/>
  <c r="I22" i="1"/>
  <c r="H20" i="2"/>
  <c r="D31" i="1"/>
  <c r="C23" i="2" a="1"/>
  <c r="C23" i="2" s="1"/>
  <c r="G30" i="1" s="1"/>
  <c r="G28" i="1"/>
  <c r="J56" i="2"/>
  <c r="J52" i="1" s="1"/>
  <c r="A52" i="2"/>
  <c r="J47" i="1"/>
  <c r="J52" i="2"/>
  <c r="F52" i="1" s="1"/>
  <c r="A50" i="2"/>
  <c r="F47" i="1"/>
  <c r="A35" i="2"/>
  <c r="J37" i="2"/>
  <c r="F43" i="1" s="1"/>
  <c r="F38" i="1"/>
  <c r="F37" i="2" a="1"/>
  <c r="F37" i="2" s="1"/>
  <c r="F35" i="2" a="1"/>
  <c r="F35" i="2" s="1"/>
  <c r="J41" i="2"/>
  <c r="A37" i="2"/>
  <c r="F41" i="2" a="1"/>
  <c r="F41" i="2" s="1"/>
  <c r="H41" i="2" s="1"/>
  <c r="I41" i="2" s="1"/>
  <c r="J23" i="2"/>
  <c r="G34" i="1" s="1"/>
  <c r="G29" i="1"/>
  <c r="E23" i="2" a="1"/>
  <c r="E23" i="2" s="1"/>
  <c r="C28" i="1"/>
  <c r="C19" i="2" a="1"/>
  <c r="C19" i="2" s="1"/>
  <c r="C30" i="1" s="1"/>
  <c r="H53" i="2"/>
  <c r="G49" i="1"/>
  <c r="D4" i="2" a="1"/>
  <c r="D4" i="2" s="1"/>
  <c r="N6" i="2"/>
  <c r="E58" i="1" s="1"/>
  <c r="R6" i="2"/>
  <c r="E62" i="1" s="1"/>
  <c r="J6" i="2"/>
  <c r="E25" i="1" s="1"/>
  <c r="S6" i="2"/>
  <c r="E63" i="1" s="1"/>
  <c r="O6" i="2"/>
  <c r="E59" i="1" s="1"/>
  <c r="M6" i="2"/>
  <c r="E57" i="1" s="1"/>
  <c r="P6" i="2"/>
  <c r="E60" i="1" s="1"/>
  <c r="D6" i="2" a="1"/>
  <c r="D6" i="2" s="1"/>
  <c r="E20" i="1"/>
  <c r="B19" i="1"/>
  <c r="C3" i="2" a="1"/>
  <c r="C3" i="2" s="1"/>
  <c r="B21" i="1" s="1"/>
  <c r="G57" i="2" a="1"/>
  <c r="G57" i="2" s="1"/>
  <c r="A4" i="2"/>
  <c r="J22" i="2"/>
  <c r="F34" i="1" s="1"/>
  <c r="A20" i="2"/>
  <c r="F29" i="1"/>
  <c r="E22" i="2" a="1"/>
  <c r="E22" i="2" s="1"/>
  <c r="J36" i="2"/>
  <c r="E43" i="1" s="1"/>
  <c r="E38" i="1"/>
  <c r="F36" i="2" a="1"/>
  <c r="F36" i="2" s="1"/>
  <c r="I28" i="2"/>
  <c r="L33" i="1" s="1"/>
  <c r="L32" i="1"/>
  <c r="H49" i="2"/>
  <c r="C49" i="1"/>
  <c r="F34" i="2" a="1"/>
  <c r="F34" i="2" s="1"/>
  <c r="H51" i="2"/>
  <c r="E49" i="1"/>
  <c r="J54" i="2"/>
  <c r="H52" i="1" s="1"/>
  <c r="A51" i="2"/>
  <c r="H47" i="1"/>
  <c r="S9" i="2"/>
  <c r="H63" i="1" s="1"/>
  <c r="O9" i="2"/>
  <c r="H59" i="1" s="1"/>
  <c r="A6" i="2"/>
  <c r="R9" i="2"/>
  <c r="H62" i="1" s="1"/>
  <c r="N9" i="2"/>
  <c r="H58" i="1" s="1"/>
  <c r="J9" i="2"/>
  <c r="H25" i="1" s="1"/>
  <c r="M9" i="2"/>
  <c r="H57" i="1" s="1"/>
  <c r="P9" i="2"/>
  <c r="H60" i="1" s="1"/>
  <c r="D9" i="2" a="1"/>
  <c r="D9" i="2" s="1"/>
  <c r="H20" i="1"/>
  <c r="M11" i="2"/>
  <c r="J57" i="1" s="1"/>
  <c r="S11" i="2"/>
  <c r="J63" i="1" s="1"/>
  <c r="A7" i="2"/>
  <c r="O11" i="2"/>
  <c r="J59" i="1" s="1"/>
  <c r="N11" i="2"/>
  <c r="J58" i="1" s="1"/>
  <c r="J11" i="2"/>
  <c r="J25" i="1" s="1"/>
  <c r="R11" i="2"/>
  <c r="J62" i="1" s="1"/>
  <c r="P11" i="2"/>
  <c r="J60" i="1" s="1"/>
  <c r="D11" i="2" a="1"/>
  <c r="D11" i="2" s="1"/>
  <c r="J20" i="1"/>
  <c r="A22" i="2"/>
  <c r="J26" i="2"/>
  <c r="J34" i="1" s="1"/>
  <c r="J29" i="1"/>
  <c r="E26" i="2" a="1"/>
  <c r="E26" i="2" s="1"/>
  <c r="H7" i="2"/>
  <c r="F22" i="1"/>
  <c r="J42" i="2"/>
  <c r="F42" i="2" a="1"/>
  <c r="F42" i="2" s="1"/>
  <c r="H42" i="2" s="1"/>
  <c r="I42" i="2" s="1"/>
  <c r="R8" i="2"/>
  <c r="G62" i="1" s="1"/>
  <c r="J8" i="2"/>
  <c r="G25" i="1" s="1"/>
  <c r="P8" i="2"/>
  <c r="G60" i="1" s="1"/>
  <c r="N8" i="2"/>
  <c r="G58" i="1" s="1"/>
  <c r="S8" i="2"/>
  <c r="G63" i="1" s="1"/>
  <c r="O8" i="2"/>
  <c r="G59" i="1" s="1"/>
  <c r="M8" i="2"/>
  <c r="G57" i="1" s="1"/>
  <c r="G20" i="1"/>
  <c r="D8" i="2" a="1"/>
  <c r="D8" i="2" s="1"/>
  <c r="H29" i="2"/>
  <c r="M31" i="1"/>
  <c r="G56" i="2" a="1"/>
  <c r="G56" i="2" s="1"/>
  <c r="K29" i="1"/>
  <c r="J27" i="2"/>
  <c r="K34" i="1" s="1"/>
  <c r="E27" i="2" a="1"/>
  <c r="E27" i="2" s="1"/>
  <c r="B28" i="1"/>
  <c r="C18" i="2" a="1"/>
  <c r="C18" i="2" s="1"/>
  <c r="B30" i="1" s="1"/>
  <c r="C33" i="2" a="1"/>
  <c r="C33" i="2" s="1"/>
  <c r="B39" i="1" s="1"/>
  <c r="B37" i="1"/>
  <c r="I21" i="2"/>
  <c r="E33" i="1" s="1"/>
  <c r="E32" i="1"/>
  <c r="B32" i="1"/>
  <c r="I18" i="2"/>
  <c r="B33" i="1" s="1"/>
  <c r="H23" i="2" l="1"/>
  <c r="G31" i="1"/>
  <c r="E37" i="1"/>
  <c r="C36" i="2" a="1"/>
  <c r="C36" i="2" s="1"/>
  <c r="E39" i="1" s="1"/>
  <c r="I54" i="2"/>
  <c r="H51" i="1" s="1"/>
  <c r="H50" i="1"/>
  <c r="I29" i="2"/>
  <c r="M32" i="1"/>
  <c r="I51" i="2"/>
  <c r="E51" i="1" s="1"/>
  <c r="E50" i="1"/>
  <c r="H11" i="2"/>
  <c r="J22" i="1"/>
  <c r="E19" i="1"/>
  <c r="C6" i="2" a="1"/>
  <c r="C6" i="2" s="1"/>
  <c r="E21" i="1" s="1"/>
  <c r="H34" i="2"/>
  <c r="C40" i="1"/>
  <c r="H22" i="2"/>
  <c r="F31" i="1"/>
  <c r="D37" i="1"/>
  <c r="C35" i="2" a="1"/>
  <c r="C35" i="2" s="1"/>
  <c r="D39" i="1" s="1"/>
  <c r="H12" i="2"/>
  <c r="K22" i="1"/>
  <c r="I19" i="2"/>
  <c r="C33" i="1" s="1"/>
  <c r="C32" i="1"/>
  <c r="C8" i="2" a="1"/>
  <c r="C8" i="2" s="1"/>
  <c r="G21" i="1" s="1"/>
  <c r="G19" i="1"/>
  <c r="I50" i="2"/>
  <c r="D51" i="1" s="1"/>
  <c r="D50" i="1"/>
  <c r="H4" i="2"/>
  <c r="C22" i="1"/>
  <c r="H48" i="2"/>
  <c r="B49" i="1"/>
  <c r="K13" i="2"/>
  <c r="F28" i="1"/>
  <c r="C22" i="2" a="1"/>
  <c r="C22" i="2" s="1"/>
  <c r="F30" i="1" s="1"/>
  <c r="H9" i="2"/>
  <c r="H22" i="1"/>
  <c r="I49" i="2"/>
  <c r="C51" i="1" s="1"/>
  <c r="C50" i="1"/>
  <c r="D28" i="1"/>
  <c r="C20" i="2" a="1"/>
  <c r="C20" i="2" s="1"/>
  <c r="D30" i="1" s="1"/>
  <c r="F37" i="1"/>
  <c r="C37" i="2" a="1"/>
  <c r="C37" i="2" s="1"/>
  <c r="F39" i="1" s="1"/>
  <c r="D46" i="1"/>
  <c r="C50" i="2" a="1"/>
  <c r="C50" i="2" s="1"/>
  <c r="D48" i="1" s="1"/>
  <c r="I20" i="2"/>
  <c r="D33" i="1" s="1"/>
  <c r="D32" i="1"/>
  <c r="E28" i="1"/>
  <c r="C21" i="2" a="1"/>
  <c r="C21" i="2" s="1"/>
  <c r="E30" i="1" s="1"/>
  <c r="H6" i="2"/>
  <c r="E22" i="1"/>
  <c r="I7" i="2"/>
  <c r="F23" i="1"/>
  <c r="H56" i="2"/>
  <c r="J49" i="1"/>
  <c r="H26" i="2"/>
  <c r="J31" i="1"/>
  <c r="I53" i="2"/>
  <c r="G51" i="1" s="1"/>
  <c r="G50" i="1"/>
  <c r="I52" i="2"/>
  <c r="F51" i="1" s="1"/>
  <c r="F50" i="1"/>
  <c r="I3" i="2"/>
  <c r="B23" i="1"/>
  <c r="H8" i="2"/>
  <c r="G22" i="1"/>
  <c r="F19" i="1"/>
  <c r="C7" i="2" a="1"/>
  <c r="C7" i="2" s="1"/>
  <c r="F21" i="1" s="1"/>
  <c r="H27" i="2"/>
  <c r="K31" i="1"/>
  <c r="E46" i="1"/>
  <c r="C51" i="2" a="1"/>
  <c r="C51" i="2" s="1"/>
  <c r="E48" i="1" s="1"/>
  <c r="C4" i="2" a="1"/>
  <c r="C4" i="2" s="1"/>
  <c r="C21" i="1" s="1"/>
  <c r="C19" i="1"/>
  <c r="H35" i="2"/>
  <c r="D40" i="1"/>
  <c r="I10" i="2"/>
  <c r="I23" i="1"/>
  <c r="I55" i="2"/>
  <c r="I51" i="1" s="1"/>
  <c r="I50" i="1"/>
  <c r="H36" i="2"/>
  <c r="E40" i="1"/>
  <c r="H57" i="2"/>
  <c r="K49" i="1"/>
  <c r="H37" i="2"/>
  <c r="F40" i="1"/>
  <c r="F46" i="1"/>
  <c r="C52" i="2" a="1"/>
  <c r="C52" i="2" s="1"/>
  <c r="F48" i="1" s="1"/>
  <c r="G46" i="1"/>
  <c r="C53" i="2" a="1"/>
  <c r="C53" i="2" s="1"/>
  <c r="G48" i="1" s="1"/>
  <c r="H24" i="2"/>
  <c r="H31" i="1"/>
  <c r="I5" i="2"/>
  <c r="D23" i="1"/>
  <c r="I33" i="2"/>
  <c r="B42" i="1" s="1"/>
  <c r="B41" i="1"/>
  <c r="J32" i="1" l="1"/>
  <c r="I26" i="2"/>
  <c r="J33" i="1" s="1"/>
  <c r="B24" i="1"/>
  <c r="I56" i="2"/>
  <c r="J51" i="1" s="1"/>
  <c r="J50" i="1"/>
  <c r="I48" i="2"/>
  <c r="B51" i="1" s="1"/>
  <c r="B50" i="1"/>
  <c r="M33" i="1"/>
  <c r="K14" i="2"/>
  <c r="I4" i="2"/>
  <c r="C23" i="1"/>
  <c r="I12" i="2"/>
  <c r="K23" i="1"/>
  <c r="I8" i="2"/>
  <c r="G23" i="1"/>
  <c r="D24" i="1"/>
  <c r="I9" i="2"/>
  <c r="H23" i="1"/>
  <c r="I37" i="2"/>
  <c r="F42" i="1" s="1"/>
  <c r="F41" i="1"/>
  <c r="I11" i="2"/>
  <c r="J23" i="1"/>
  <c r="I34" i="2"/>
  <c r="C42" i="1" s="1"/>
  <c r="C41" i="1"/>
  <c r="K10" i="2"/>
  <c r="I24" i="1"/>
  <c r="I27" i="2"/>
  <c r="K33" i="1" s="1"/>
  <c r="K32" i="1"/>
  <c r="K7" i="2"/>
  <c r="F24" i="1"/>
  <c r="I24" i="2"/>
  <c r="H33" i="1" s="1"/>
  <c r="H32" i="1"/>
  <c r="I57" i="2"/>
  <c r="K51" i="1" s="1"/>
  <c r="K50" i="1"/>
  <c r="I35" i="2"/>
  <c r="D42" i="1" s="1"/>
  <c r="D41" i="1"/>
  <c r="I6" i="2"/>
  <c r="E23" i="1"/>
  <c r="I36" i="2"/>
  <c r="E42" i="1" s="1"/>
  <c r="E41" i="1"/>
  <c r="Q13" i="2"/>
  <c r="L61" i="1" s="1"/>
  <c r="L13" i="2"/>
  <c r="L56" i="1" s="1"/>
  <c r="L55" i="1"/>
  <c r="I22" i="2"/>
  <c r="F33" i="1" s="1"/>
  <c r="F32" i="1"/>
  <c r="I23" i="2"/>
  <c r="G33" i="1" s="1"/>
  <c r="G32" i="1"/>
  <c r="K8" i="2" l="1"/>
  <c r="G24" i="1"/>
  <c r="K12" i="2"/>
  <c r="K24" i="1"/>
  <c r="K6" i="2"/>
  <c r="E24" i="1"/>
  <c r="K11" i="2"/>
  <c r="J24" i="1"/>
  <c r="L10" i="2"/>
  <c r="I56" i="1" s="1"/>
  <c r="Q10" i="2"/>
  <c r="I61" i="1" s="1"/>
  <c r="I55" i="1"/>
  <c r="K4" i="2"/>
  <c r="C24" i="1"/>
  <c r="K3" i="2"/>
  <c r="K9" i="2"/>
  <c r="H24" i="1"/>
  <c r="L14" i="2"/>
  <c r="M56" i="1" s="1"/>
  <c r="Q14" i="2"/>
  <c r="M61" i="1" s="1"/>
  <c r="M55" i="1"/>
  <c r="L7" i="2"/>
  <c r="F56" i="1" s="1"/>
  <c r="Q7" i="2"/>
  <c r="F61" i="1" s="1"/>
  <c r="F55" i="1"/>
  <c r="K5" i="2"/>
  <c r="L6" i="2" l="1"/>
  <c r="E56" i="1" s="1"/>
  <c r="Q6" i="2"/>
  <c r="E61" i="1" s="1"/>
  <c r="E55" i="1"/>
  <c r="Q11" i="2"/>
  <c r="J61" i="1" s="1"/>
  <c r="L11" i="2"/>
  <c r="J56" i="1" s="1"/>
  <c r="J55" i="1"/>
  <c r="Q4" i="2"/>
  <c r="C61" i="1" s="1"/>
  <c r="L4" i="2"/>
  <c r="C56" i="1" s="1"/>
  <c r="C55" i="1"/>
  <c r="L5" i="2"/>
  <c r="D56" i="1" s="1"/>
  <c r="Q5" i="2"/>
  <c r="D61" i="1" s="1"/>
  <c r="D55" i="1"/>
  <c r="L3" i="2"/>
  <c r="B56" i="1" s="1"/>
  <c r="Q3" i="2"/>
  <c r="B61" i="1" s="1"/>
  <c r="B55" i="1"/>
  <c r="L12" i="2"/>
  <c r="K56" i="1" s="1"/>
  <c r="Q12" i="2"/>
  <c r="K61" i="1" s="1"/>
  <c r="K55" i="1"/>
  <c r="Q9" i="2"/>
  <c r="H61" i="1" s="1"/>
  <c r="L9" i="2"/>
  <c r="H56" i="1" s="1"/>
  <c r="H55" i="1"/>
  <c r="Q8" i="2"/>
  <c r="G61" i="1" s="1"/>
  <c r="L8" i="2"/>
  <c r="G56" i="1" s="1"/>
  <c r="G55" i="1"/>
</calcChain>
</file>

<file path=xl/sharedStrings.xml><?xml version="1.0" encoding="utf-8"?>
<sst xmlns="http://schemas.openxmlformats.org/spreadsheetml/2006/main" count="3401" uniqueCount="1202">
  <si>
    <t>USER_INPUT</t>
  </si>
  <si>
    <t>Country</t>
  </si>
  <si>
    <t>Project Code</t>
  </si>
  <si>
    <t>Technology</t>
  </si>
  <si>
    <t>Scope</t>
  </si>
  <si>
    <t>Project Volume</t>
  </si>
  <si>
    <t>Project Duration</t>
  </si>
  <si>
    <t>Qatar</t>
  </si>
  <si>
    <t>Project#1</t>
  </si>
  <si>
    <t>SRAN</t>
  </si>
  <si>
    <t>New</t>
  </si>
  <si>
    <t>UAE</t>
  </si>
  <si>
    <t>MW</t>
  </si>
  <si>
    <t>Swap</t>
  </si>
  <si>
    <t>5G</t>
  </si>
  <si>
    <t>CW</t>
  </si>
  <si>
    <t>Exp</t>
  </si>
  <si>
    <t>MAIN_TABLE</t>
  </si>
  <si>
    <t>Market Unit</t>
  </si>
  <si>
    <t>Risk</t>
  </si>
  <si>
    <t>TEAM_DIMENSION</t>
  </si>
  <si>
    <t>Milestone/teams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</si>
  <si>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</si>
  <si>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</si>
  <si>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</si>
  <si>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</si>
  <si>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</si>
  <si>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</si>
  <si>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</si>
  <si>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</si>
  <si>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</si>
  <si>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</si>
  <si>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</si>
  <si>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</si>
  <si>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TSSR PIP</t>
  </si>
  <si>
    <t>RO PIP</t>
  </si>
  <si>
    <t>TSSR Teams</t>
  </si>
  <si>
    <t>SRAN Teams</t>
  </si>
  <si>
    <t>Supervisors</t>
  </si>
  <si>
    <t>FDM</t>
  </si>
  <si>
    <t xml:space="preserve">RIC Engineer </t>
  </si>
  <si>
    <t>5G Teams</t>
  </si>
  <si>
    <t>MW Teams</t>
  </si>
  <si>
    <t>CW Teams</t>
  </si>
  <si>
    <t>COMMON TEAM</t>
  </si>
  <si>
    <t>Rollout Manager</t>
  </si>
  <si>
    <t>Project Manager</t>
  </si>
  <si>
    <t>QHSE Auditor</t>
  </si>
  <si>
    <t xml:space="preserve">Project Coordinator </t>
  </si>
  <si>
    <t>Site Engineering</t>
  </si>
  <si>
    <t>Materials Manager</t>
  </si>
  <si>
    <t>Acceptance Manager</t>
  </si>
  <si>
    <t>Acceptance supervisor</t>
  </si>
  <si>
    <t xml:space="preserve">SAQ coordinator </t>
  </si>
  <si>
    <t>Common for SRAN+5G+MW+CW</t>
  </si>
  <si>
    <t>ROM</t>
  </si>
  <si>
    <t>PM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</si>
  <si>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</si>
  <si>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</si>
  <si>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</si>
  <si>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</si>
  <si>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</si>
  <si>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</si>
  <si>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</si>
  <si>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</si>
  <si>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</si>
  <si>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</si>
  <si>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</si>
  <si>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</si>
  <si>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Duration</t>
  </si>
  <si>
    <t>Bussiness as usual</t>
  </si>
  <si>
    <t>Low Risk</t>
  </si>
  <si>
    <t>Productivity/Month</t>
  </si>
  <si>
    <t>Medium Risk</t>
  </si>
  <si>
    <t>High Risk</t>
  </si>
  <si>
    <t>Very High risk</t>
  </si>
  <si>
    <t>Start Up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</si>
  <si>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</si>
  <si>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</si>
  <si>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</si>
  <si>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</si>
  <si>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</si>
  <si>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</si>
  <si>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</si>
  <si>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</si>
  <si>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</si>
  <si>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</si>
  <si>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</si>
  <si>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</si>
  <si>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TSSR</t>
  </si>
  <si>
    <t>All</t>
  </si>
  <si>
    <t>NEW</t>
  </si>
  <si>
    <t>Expansion</t>
  </si>
  <si>
    <t>Region</t>
  </si>
  <si>
    <t>MEA</t>
  </si>
  <si>
    <t>ME</t>
  </si>
  <si>
    <t>NA</t>
  </si>
  <si>
    <t>Project#2</t>
  </si>
  <si>
    <t>Oman</t>
  </si>
  <si>
    <t>Saudi</t>
  </si>
  <si>
    <t>Project#3</t>
  </si>
  <si>
    <t>Bahrain</t>
  </si>
  <si>
    <t>CEWA</t>
  </si>
  <si>
    <t>Project#4</t>
  </si>
  <si>
    <t>Rwanda</t>
  </si>
  <si>
    <t>SAV</t>
  </si>
  <si>
    <t>Jordan</t>
  </si>
  <si>
    <t>Moroco</t>
  </si>
  <si>
    <t>Saudi Arabia</t>
  </si>
  <si>
    <t>Maurtitus</t>
  </si>
  <si>
    <t>Kuwait</t>
  </si>
  <si>
    <t>Senegal</t>
  </si>
  <si>
    <t>Egypt</t>
  </si>
  <si>
    <t>Namibia</t>
  </si>
  <si>
    <t>Tunisia</t>
  </si>
  <si>
    <t>Alegria</t>
  </si>
  <si>
    <t>Madagascar</t>
  </si>
  <si>
    <t>Cyshell</t>
  </si>
  <si>
    <t>Comoros</t>
  </si>
  <si>
    <t>Cape Verdi</t>
  </si>
  <si>
    <t>Kenya</t>
  </si>
  <si>
    <t>Ghana</t>
  </si>
  <si>
    <t>Zambia</t>
  </si>
  <si>
    <t>Uganda</t>
  </si>
  <si>
    <t>Lebanon</t>
  </si>
  <si>
    <t>Tanzania</t>
  </si>
  <si>
    <t>Ethiopia</t>
  </si>
  <si>
    <t>Cameron</t>
  </si>
  <si>
    <t>Pakistan</t>
  </si>
  <si>
    <t>Muaritania</t>
  </si>
  <si>
    <t>Eriteria</t>
  </si>
  <si>
    <t>Dijibouti</t>
  </si>
  <si>
    <t>Congo</t>
  </si>
  <si>
    <t>Gabon</t>
  </si>
  <si>
    <t>Benin</t>
  </si>
  <si>
    <t>Equatorial Guniea</t>
  </si>
  <si>
    <t>Togo</t>
  </si>
  <si>
    <t>Cote D'ivoir</t>
  </si>
  <si>
    <t>Liberia</t>
  </si>
  <si>
    <t>Sierraleone</t>
  </si>
  <si>
    <t>Guniea</t>
  </si>
  <si>
    <t>Guniea Bissau</t>
  </si>
  <si>
    <t>Gambia</t>
  </si>
  <si>
    <t>Malawi</t>
  </si>
  <si>
    <t>Mozambique</t>
  </si>
  <si>
    <t>Zimbabwe</t>
  </si>
  <si>
    <t>Botswana</t>
  </si>
  <si>
    <t>Eswatini</t>
  </si>
  <si>
    <t>Lesoto</t>
  </si>
  <si>
    <t>South Africa</t>
  </si>
  <si>
    <t>Angola</t>
  </si>
  <si>
    <t>Burundi</t>
  </si>
  <si>
    <t>Western Sahara</t>
  </si>
  <si>
    <t>Nigeria</t>
  </si>
  <si>
    <t>Libya</t>
  </si>
  <si>
    <t>South Sudan</t>
  </si>
  <si>
    <t>Somalia</t>
  </si>
  <si>
    <t>Central Africa</t>
  </si>
  <si>
    <t>Mali</t>
  </si>
  <si>
    <t>Burkina Faso</t>
  </si>
  <si>
    <t>Congo DRC</t>
  </si>
  <si>
    <t>Chad</t>
  </si>
  <si>
    <t>Niger</t>
  </si>
  <si>
    <t>Syria</t>
  </si>
  <si>
    <t>Very High</t>
  </si>
  <si>
    <t>Yamen</t>
  </si>
  <si>
    <t>Sudan</t>
  </si>
  <si>
    <t>Iraq</t>
  </si>
  <si>
    <t>Iran</t>
  </si>
  <si>
    <t>Palestine</t>
  </si>
  <si>
    <t>Remark-1</t>
  </si>
  <si>
    <t>Remark-2</t>
  </si>
  <si>
    <t>Risk Catogry</t>
  </si>
  <si>
    <t>Ref</t>
  </si>
  <si>
    <t>Number of A =Duration/2</t>
  </si>
  <si>
    <t>A</t>
  </si>
  <si>
    <t>B1+B2</t>
  </si>
  <si>
    <t>B3+B4</t>
  </si>
  <si>
    <t>B5+B6</t>
  </si>
  <si>
    <t>B7+B8</t>
  </si>
  <si>
    <t>B9+B10</t>
  </si>
  <si>
    <t>B11+B12</t>
  </si>
  <si>
    <t>Number of B = Duarion</t>
  </si>
  <si>
    <t>B</t>
  </si>
  <si>
    <t>(Volume/Duration)*0.25</t>
  </si>
  <si>
    <t>(Volume/Duration)*0.5</t>
  </si>
  <si>
    <t>(Volume/Duration)*0.75</t>
  </si>
  <si>
    <t>(Volume-B1-B2-B3-BN)(Duration-4)</t>
  </si>
  <si>
    <t>Number of C = Number of A (Medium Risk)</t>
  </si>
  <si>
    <t>C</t>
  </si>
  <si>
    <t>A1/L7</t>
  </si>
  <si>
    <t>A2/L7</t>
  </si>
  <si>
    <t>A3/L3</t>
  </si>
  <si>
    <t>A4/L3</t>
  </si>
  <si>
    <t>A5/L3</t>
  </si>
  <si>
    <t>A6/L3</t>
  </si>
  <si>
    <t>Number of C = Number of A (Low Risk)</t>
  </si>
  <si>
    <t>A1/L6</t>
  </si>
  <si>
    <t>A2/L6</t>
  </si>
  <si>
    <t>A3/L2</t>
  </si>
  <si>
    <t>A4/L2</t>
  </si>
  <si>
    <t>A5/L2</t>
  </si>
  <si>
    <t>A6/L2</t>
  </si>
  <si>
    <t>Number of C = Number of A (High Risk)</t>
  </si>
  <si>
    <t>A1/L8</t>
  </si>
  <si>
    <t>A2/L8</t>
  </si>
  <si>
    <t>A3/L4</t>
  </si>
  <si>
    <t>A4/L4</t>
  </si>
  <si>
    <t>A5/L4</t>
  </si>
  <si>
    <t>A6/L4</t>
  </si>
  <si>
    <t>Number of C = Number of A (Very High Risk)</t>
  </si>
  <si>
    <t>Very High Risk</t>
  </si>
  <si>
    <t>A1/L9</t>
  </si>
  <si>
    <t>A2/L9</t>
  </si>
  <si>
    <t>A3/L5</t>
  </si>
  <si>
    <t>A4/L5</t>
  </si>
  <si>
    <t>A5/L5</t>
  </si>
  <si>
    <t>A6/L5</t>
  </si>
  <si>
    <t>Number of D = Number of B (New-Low risk)</t>
  </si>
  <si>
    <t>Low risk</t>
  </si>
  <si>
    <t>D</t>
  </si>
  <si>
    <t>B1/M6</t>
  </si>
  <si>
    <t>B2/M6</t>
  </si>
  <si>
    <t>B3/M6</t>
  </si>
  <si>
    <t>B4/M2</t>
  </si>
  <si>
    <t>B5/M2</t>
  </si>
  <si>
    <t>B6/M2</t>
  </si>
  <si>
    <t>B7/M2</t>
  </si>
  <si>
    <t>B8/M2</t>
  </si>
  <si>
    <t>B9/M2</t>
  </si>
  <si>
    <t>B10/M2</t>
  </si>
  <si>
    <t>B11/M2</t>
  </si>
  <si>
    <t>B12/M2</t>
  </si>
  <si>
    <t>Number of D = Number of B (Exp-Low risk)</t>
  </si>
  <si>
    <t>B1/N6</t>
  </si>
  <si>
    <t>B2/N6</t>
  </si>
  <si>
    <t>B3/N6</t>
  </si>
  <si>
    <t>B4/N2</t>
  </si>
  <si>
    <t>B5/N2</t>
  </si>
  <si>
    <t>B6/N2</t>
  </si>
  <si>
    <t>B7/N2</t>
  </si>
  <si>
    <t>B8/N2</t>
  </si>
  <si>
    <t>B9/N2</t>
  </si>
  <si>
    <t>B10/N2</t>
  </si>
  <si>
    <t>B11/N2</t>
  </si>
  <si>
    <t>B12/N2</t>
  </si>
  <si>
    <t>Number of D = Number of B (Swap-Low risk)</t>
  </si>
  <si>
    <t>B1/O6</t>
  </si>
  <si>
    <t>B2/O6</t>
  </si>
  <si>
    <t>B3/O6</t>
  </si>
  <si>
    <t>B4/O2</t>
  </si>
  <si>
    <t>B5/O2</t>
  </si>
  <si>
    <t>B6/O2</t>
  </si>
  <si>
    <t>B7/O2</t>
  </si>
  <si>
    <t>B8/O2</t>
  </si>
  <si>
    <t>B9/O2</t>
  </si>
  <si>
    <t>B10/O2</t>
  </si>
  <si>
    <t>B11/O2</t>
  </si>
  <si>
    <t>B12/O2</t>
  </si>
  <si>
    <t>Number of D = Number of B (New-Medium risk)</t>
  </si>
  <si>
    <t>Medium risk</t>
  </si>
  <si>
    <t>B1/M7</t>
  </si>
  <si>
    <t>B2/M7</t>
  </si>
  <si>
    <t>B3/M7</t>
  </si>
  <si>
    <t>B4/M3</t>
  </si>
  <si>
    <t>B5/M3</t>
  </si>
  <si>
    <t>B6/M3</t>
  </si>
  <si>
    <t>B7/M3</t>
  </si>
  <si>
    <t>B8/M3</t>
  </si>
  <si>
    <t>B9/M3</t>
  </si>
  <si>
    <t>B10/M3</t>
  </si>
  <si>
    <t>B11/M3</t>
  </si>
  <si>
    <t>B12/M3</t>
  </si>
  <si>
    <t>Number of D = Number of B (Exp-Medium risk)</t>
  </si>
  <si>
    <t>B1/N7</t>
  </si>
  <si>
    <t>B2/N7</t>
  </si>
  <si>
    <t>B3/N7</t>
  </si>
  <si>
    <t>B4/N3</t>
  </si>
  <si>
    <t>B5/N3</t>
  </si>
  <si>
    <t>B6/N3</t>
  </si>
  <si>
    <t>B7/N3</t>
  </si>
  <si>
    <t>B8/N3</t>
  </si>
  <si>
    <t>B9/N3</t>
  </si>
  <si>
    <t>B10/N3</t>
  </si>
  <si>
    <t>B11/N3</t>
  </si>
  <si>
    <t>B12/N3</t>
  </si>
  <si>
    <t>Number of D = Number of B (Swap-Medium risk)</t>
  </si>
  <si>
    <t>B1/O7</t>
  </si>
  <si>
    <t>B2/O7</t>
  </si>
  <si>
    <t>B3/O7</t>
  </si>
  <si>
    <t>B4/O3</t>
  </si>
  <si>
    <t>B5/O3</t>
  </si>
  <si>
    <t>B6/O3</t>
  </si>
  <si>
    <t>B7/O3</t>
  </si>
  <si>
    <t>B8/O3</t>
  </si>
  <si>
    <t>B9/O3</t>
  </si>
  <si>
    <t>B10/O3</t>
  </si>
  <si>
    <t>B11/O3</t>
  </si>
  <si>
    <t>B12/O3</t>
  </si>
  <si>
    <t>Number of D = Number of B (New-High risk)</t>
  </si>
  <si>
    <t>High risk</t>
  </si>
  <si>
    <t>B1/M8</t>
  </si>
  <si>
    <t>B2/M8</t>
  </si>
  <si>
    <t>B3/M8</t>
  </si>
  <si>
    <t>B4/M4</t>
  </si>
  <si>
    <t>B5/M4</t>
  </si>
  <si>
    <t>B6/M4</t>
  </si>
  <si>
    <t>B7/M4</t>
  </si>
  <si>
    <t>B8/M4</t>
  </si>
  <si>
    <t>B9/M4</t>
  </si>
  <si>
    <t>B10/M4</t>
  </si>
  <si>
    <t>B11/M4</t>
  </si>
  <si>
    <t>B12/M4</t>
  </si>
  <si>
    <t>Number of D = Number of B (Exp-High risk)</t>
  </si>
  <si>
    <t>B1/N8</t>
  </si>
  <si>
    <t>B2/N8</t>
  </si>
  <si>
    <t>B3/N8</t>
  </si>
  <si>
    <t>B4/N4</t>
  </si>
  <si>
    <t>B5/N4</t>
  </si>
  <si>
    <t>B6/N4</t>
  </si>
  <si>
    <t>B7/N4</t>
  </si>
  <si>
    <t>B8/N4</t>
  </si>
  <si>
    <t>B9/N4</t>
  </si>
  <si>
    <t>B10/N4</t>
  </si>
  <si>
    <t>B11/N4</t>
  </si>
  <si>
    <t>B12/N4</t>
  </si>
  <si>
    <t>Number of D = Number of B (Swap-High risk)</t>
  </si>
  <si>
    <t>B1/O8</t>
  </si>
  <si>
    <t>B2/O8</t>
  </si>
  <si>
    <t>B3/O8</t>
  </si>
  <si>
    <t>B4/O4</t>
  </si>
  <si>
    <t>B5/O4</t>
  </si>
  <si>
    <t>B6/O4</t>
  </si>
  <si>
    <t>B7/O4</t>
  </si>
  <si>
    <t>B8/O4</t>
  </si>
  <si>
    <t>B9/O4</t>
  </si>
  <si>
    <t>B10/O4</t>
  </si>
  <si>
    <t>B11/O4</t>
  </si>
  <si>
    <t>B12/O4</t>
  </si>
  <si>
    <t>Number of D = Number of B (New-Very High risk)</t>
  </si>
  <si>
    <t>B1/M9</t>
  </si>
  <si>
    <t>B2/M9</t>
  </si>
  <si>
    <t>B3/M9</t>
  </si>
  <si>
    <t>B4/M5</t>
  </si>
  <si>
    <t>B5/M5</t>
  </si>
  <si>
    <t>B6/M5</t>
  </si>
  <si>
    <t>B7/M5</t>
  </si>
  <si>
    <t>B8/M5</t>
  </si>
  <si>
    <t>B9/M5</t>
  </si>
  <si>
    <t>B10/M5</t>
  </si>
  <si>
    <t>B11/M5</t>
  </si>
  <si>
    <t>B12/M5</t>
  </si>
  <si>
    <t>Number of D = Number of B (Exp-Very High risk)</t>
  </si>
  <si>
    <t>B1/N9</t>
  </si>
  <si>
    <t>B2/N9</t>
  </si>
  <si>
    <t>B3/N9</t>
  </si>
  <si>
    <t>B4/N5</t>
  </si>
  <si>
    <t>B5/N5</t>
  </si>
  <si>
    <t>B6/N5</t>
  </si>
  <si>
    <t>B7/N5</t>
  </si>
  <si>
    <t>B8/N5</t>
  </si>
  <si>
    <t>B9/N5</t>
  </si>
  <si>
    <t>B10/N5</t>
  </si>
  <si>
    <t>B11/N5</t>
  </si>
  <si>
    <t>B12/N5</t>
  </si>
  <si>
    <t>Number of D = Number of B (Swap-Very High risk)</t>
  </si>
  <si>
    <t>B1/O9</t>
  </si>
  <si>
    <t>B2/O9</t>
  </si>
  <si>
    <t>B3/O9</t>
  </si>
  <si>
    <t>B4/O5</t>
  </si>
  <si>
    <t>B5/O5</t>
  </si>
  <si>
    <t>B6/O5</t>
  </si>
  <si>
    <t>B7/O5</t>
  </si>
  <si>
    <t>B8/O5</t>
  </si>
  <si>
    <t>B9/O5</t>
  </si>
  <si>
    <t>B10/O5</t>
  </si>
  <si>
    <t>B11/O5</t>
  </si>
  <si>
    <t>B12/O5</t>
  </si>
  <si>
    <t>Number of  E = Number B (New-Low risk)</t>
  </si>
  <si>
    <t>E</t>
  </si>
  <si>
    <t>B1/P6</t>
  </si>
  <si>
    <t>B2/P6</t>
  </si>
  <si>
    <t>B3/P6</t>
  </si>
  <si>
    <t>B4/P2</t>
  </si>
  <si>
    <t>B5/P2</t>
  </si>
  <si>
    <t>B6/P2</t>
  </si>
  <si>
    <t>B7/P2</t>
  </si>
  <si>
    <t>B8/P2</t>
  </si>
  <si>
    <t>B9/P2</t>
  </si>
  <si>
    <t>B10/P2</t>
  </si>
  <si>
    <t>B11/P2</t>
  </si>
  <si>
    <t>B12/P2</t>
  </si>
  <si>
    <t>Number of  E = Number B (EXP-Low risk)</t>
  </si>
  <si>
    <t>EXP</t>
  </si>
  <si>
    <t>B1/Q6</t>
  </si>
  <si>
    <t>B2/Q6</t>
  </si>
  <si>
    <t>B3/Q6</t>
  </si>
  <si>
    <t>B4/Q2</t>
  </si>
  <si>
    <t>B5/Q2</t>
  </si>
  <si>
    <t>B6/Q2</t>
  </si>
  <si>
    <t>B7/Q2</t>
  </si>
  <si>
    <t>B8/Q2</t>
  </si>
  <si>
    <t>B9/Q2</t>
  </si>
  <si>
    <t>B10/Q2</t>
  </si>
  <si>
    <t>B11/Q2</t>
  </si>
  <si>
    <t>B12/Q2</t>
  </si>
  <si>
    <t>Number of  E = Number B (Swap-Low risk)</t>
  </si>
  <si>
    <t>B1/R6</t>
  </si>
  <si>
    <t>B2/R6</t>
  </si>
  <si>
    <t>B3/R6</t>
  </si>
  <si>
    <t>B4/R2</t>
  </si>
  <si>
    <t>B5/R2</t>
  </si>
  <si>
    <t>B6/R2</t>
  </si>
  <si>
    <t>B7/R2</t>
  </si>
  <si>
    <t>B8/R2</t>
  </si>
  <si>
    <t>B9/R2</t>
  </si>
  <si>
    <t>B10/R2</t>
  </si>
  <si>
    <t>B11/R2</t>
  </si>
  <si>
    <t>B12/R2</t>
  </si>
  <si>
    <t>Number of  E = Number B (New-Medium risk)</t>
  </si>
  <si>
    <t>B1/P7</t>
  </si>
  <si>
    <t>B2/P7</t>
  </si>
  <si>
    <t>B3/P7</t>
  </si>
  <si>
    <t>B4/P3</t>
  </si>
  <si>
    <t>B5/P3</t>
  </si>
  <si>
    <t>B6/P3</t>
  </si>
  <si>
    <t>B7/P3</t>
  </si>
  <si>
    <t>B8/P3</t>
  </si>
  <si>
    <t>B9/P3</t>
  </si>
  <si>
    <t>B10/P3</t>
  </si>
  <si>
    <t>B11/P3</t>
  </si>
  <si>
    <t>B12/P3</t>
  </si>
  <si>
    <t>Number of  E = Number B (EXP-Medium risk)</t>
  </si>
  <si>
    <t>B1/Q7</t>
  </si>
  <si>
    <t>B2/Q7</t>
  </si>
  <si>
    <t>B3/Q7</t>
  </si>
  <si>
    <t>B4/Q3</t>
  </si>
  <si>
    <t>B5/Q3</t>
  </si>
  <si>
    <t>B6/Q3</t>
  </si>
  <si>
    <t>B7/Q3</t>
  </si>
  <si>
    <t>B8/Q3</t>
  </si>
  <si>
    <t>B9/Q3</t>
  </si>
  <si>
    <t>B10/Q3</t>
  </si>
  <si>
    <t>B11/Q3</t>
  </si>
  <si>
    <t>B12/Q3</t>
  </si>
  <si>
    <t>Number of  E = Number B (Swap-Medium risk)</t>
  </si>
  <si>
    <t>B1/R7</t>
  </si>
  <si>
    <t>B2/R7</t>
  </si>
  <si>
    <t>B3/R7</t>
  </si>
  <si>
    <t>B4/R3</t>
  </si>
  <si>
    <t>B5/R3</t>
  </si>
  <si>
    <t>B6/R3</t>
  </si>
  <si>
    <t>B7/R3</t>
  </si>
  <si>
    <t>B8/R3</t>
  </si>
  <si>
    <t>B9/R3</t>
  </si>
  <si>
    <t>B10/R3</t>
  </si>
  <si>
    <t>B11/R3</t>
  </si>
  <si>
    <t>B12/R3</t>
  </si>
  <si>
    <t>Number of  E = Number B (New-High risk)</t>
  </si>
  <si>
    <t>B1/P8</t>
  </si>
  <si>
    <t>B2/P8</t>
  </si>
  <si>
    <t>B3/P8</t>
  </si>
  <si>
    <t>B4/P4</t>
  </si>
  <si>
    <t>B5/P4</t>
  </si>
  <si>
    <t>B6/P4</t>
  </si>
  <si>
    <t>B7/P4</t>
  </si>
  <si>
    <t>B8/P4</t>
  </si>
  <si>
    <t>B9/P4</t>
  </si>
  <si>
    <t>B10/P4</t>
  </si>
  <si>
    <t>B11/P4</t>
  </si>
  <si>
    <t>B12/P4</t>
  </si>
  <si>
    <t>Number of  E = Number B (EXP-High risk)</t>
  </si>
  <si>
    <t>B1/Q8</t>
  </si>
  <si>
    <t>B2/Q8</t>
  </si>
  <si>
    <t>B3/Q8</t>
  </si>
  <si>
    <t>B4/Q4</t>
  </si>
  <si>
    <t>B5/Q4</t>
  </si>
  <si>
    <t>B6/Q4</t>
  </si>
  <si>
    <t>B7/Q4</t>
  </si>
  <si>
    <t>B8/Q4</t>
  </si>
  <si>
    <t>B9/Q4</t>
  </si>
  <si>
    <t>B10/Q4</t>
  </si>
  <si>
    <t>B11/Q4</t>
  </si>
  <si>
    <t>B12/Q4</t>
  </si>
  <si>
    <t>Number of  E = Number B (SWAP-High risk)</t>
  </si>
  <si>
    <t>SWAP</t>
  </si>
  <si>
    <t>B1/R8</t>
  </si>
  <si>
    <t>B2/R8</t>
  </si>
  <si>
    <t>B3/R8</t>
  </si>
  <si>
    <t>B4/R4</t>
  </si>
  <si>
    <t>B5/R4</t>
  </si>
  <si>
    <t>B6/R4</t>
  </si>
  <si>
    <t>B7/R4</t>
  </si>
  <si>
    <t>B8/R4</t>
  </si>
  <si>
    <t>B9/R4</t>
  </si>
  <si>
    <t>B10/R4</t>
  </si>
  <si>
    <t>B11/R4</t>
  </si>
  <si>
    <t>B12/R4</t>
  </si>
  <si>
    <t>Number of  E = Number B (New-Very High risk)</t>
  </si>
  <si>
    <t>B1/P9</t>
  </si>
  <si>
    <t>B2/P9</t>
  </si>
  <si>
    <t>B3/P9</t>
  </si>
  <si>
    <t>B4/P5</t>
  </si>
  <si>
    <t>B5/P5</t>
  </si>
  <si>
    <t>B6/P5</t>
  </si>
  <si>
    <t>B7/P5</t>
  </si>
  <si>
    <t>B8/P5</t>
  </si>
  <si>
    <t>B9/P5</t>
  </si>
  <si>
    <t>B10/P5</t>
  </si>
  <si>
    <t>B11/P5</t>
  </si>
  <si>
    <t>B12/P5</t>
  </si>
  <si>
    <t>Number of  E = Number B (EXP-Very High risk)</t>
  </si>
  <si>
    <t>B1/Q9</t>
  </si>
  <si>
    <t>B2/Q9</t>
  </si>
  <si>
    <t>B3/Q9</t>
  </si>
  <si>
    <t>B4/Q5</t>
  </si>
  <si>
    <t>B5/Q5</t>
  </si>
  <si>
    <t>B6/Q5</t>
  </si>
  <si>
    <t>B7/Q5</t>
  </si>
  <si>
    <t>B8/Q5</t>
  </si>
  <si>
    <t>B9/Q5</t>
  </si>
  <si>
    <t>B10/Q5</t>
  </si>
  <si>
    <t>B11/Q5</t>
  </si>
  <si>
    <t>B12/Q5</t>
  </si>
  <si>
    <t>Number of  E = Number B (SWAP-Very High risk)</t>
  </si>
  <si>
    <t>B1/R9</t>
  </si>
  <si>
    <t>B2/R9</t>
  </si>
  <si>
    <t>B3/R9</t>
  </si>
  <si>
    <t>B4/R5</t>
  </si>
  <si>
    <t>B5/R5</t>
  </si>
  <si>
    <t>B6/R5</t>
  </si>
  <si>
    <t>B7/R5</t>
  </si>
  <si>
    <t>B8/R5</t>
  </si>
  <si>
    <t>B9/R5</t>
  </si>
  <si>
    <t>B10/R5</t>
  </si>
  <si>
    <t>B11/R5</t>
  </si>
  <si>
    <t>B12/R5</t>
  </si>
  <si>
    <t>Number of  F = Number B (New-Low Risk)</t>
  </si>
  <si>
    <t>F</t>
  </si>
  <si>
    <t>B1/S6</t>
  </si>
  <si>
    <t>B2/S6</t>
  </si>
  <si>
    <t>B3/S6</t>
  </si>
  <si>
    <t>B4/S2</t>
  </si>
  <si>
    <t>B5/S2</t>
  </si>
  <si>
    <t>B6/S2</t>
  </si>
  <si>
    <t>B7/S2</t>
  </si>
  <si>
    <t>B8/S2</t>
  </si>
  <si>
    <t>B9/S2</t>
  </si>
  <si>
    <t>B10/S2</t>
  </si>
  <si>
    <t>B11/S2</t>
  </si>
  <si>
    <t>B12/S2</t>
  </si>
  <si>
    <t>Number of  F = Number B (EXP-Low Risk)</t>
  </si>
  <si>
    <t>B1/T6</t>
  </si>
  <si>
    <t>B2/T6</t>
  </si>
  <si>
    <t>B3/T6</t>
  </si>
  <si>
    <t>B4/T2</t>
  </si>
  <si>
    <t>B5/T2</t>
  </si>
  <si>
    <t>B6/T2</t>
  </si>
  <si>
    <t>B7/T2</t>
  </si>
  <si>
    <t>B8/T2</t>
  </si>
  <si>
    <t>B9/T2</t>
  </si>
  <si>
    <t>B10/T2</t>
  </si>
  <si>
    <t>B11/T2</t>
  </si>
  <si>
    <t>B12/T2</t>
  </si>
  <si>
    <t>Number of  F = Number B (Swap-Low Risk)</t>
  </si>
  <si>
    <t>B1/U6</t>
  </si>
  <si>
    <t>B2/U6</t>
  </si>
  <si>
    <t>B3/U6</t>
  </si>
  <si>
    <t>B4/U2</t>
  </si>
  <si>
    <t>B5/U2</t>
  </si>
  <si>
    <t>B6/U2</t>
  </si>
  <si>
    <t>B7/U2</t>
  </si>
  <si>
    <t>B8/U2</t>
  </si>
  <si>
    <t>B9/U2</t>
  </si>
  <si>
    <t>B10/U2</t>
  </si>
  <si>
    <t>B11/U2</t>
  </si>
  <si>
    <t>B12/U2</t>
  </si>
  <si>
    <t>Number of  F = Number B (New-Medium Risk)</t>
  </si>
  <si>
    <t>B1/S7</t>
  </si>
  <si>
    <t>B2/S7</t>
  </si>
  <si>
    <t>B3/S7</t>
  </si>
  <si>
    <t>B4/S3</t>
  </si>
  <si>
    <t>B5/S3</t>
  </si>
  <si>
    <t>B6/S3</t>
  </si>
  <si>
    <t>B7/S3</t>
  </si>
  <si>
    <t>B8/S3</t>
  </si>
  <si>
    <t>B9/S3</t>
  </si>
  <si>
    <t>B10/S3</t>
  </si>
  <si>
    <t>B11/S3</t>
  </si>
  <si>
    <t>B12/S3</t>
  </si>
  <si>
    <t>Number of  F = Number B (EXP-Medium Risk)</t>
  </si>
  <si>
    <t>B1/T7</t>
  </si>
  <si>
    <t>B2/T7</t>
  </si>
  <si>
    <t>B3/T7</t>
  </si>
  <si>
    <t>B4/T3</t>
  </si>
  <si>
    <t>B5/T3</t>
  </si>
  <si>
    <t>B6/T3</t>
  </si>
  <si>
    <t>B7/T3</t>
  </si>
  <si>
    <t>B8/T3</t>
  </si>
  <si>
    <t>B9/T3</t>
  </si>
  <si>
    <t>B10/T3</t>
  </si>
  <si>
    <t>B11/T3</t>
  </si>
  <si>
    <t>B12/T3</t>
  </si>
  <si>
    <t>Number of  F = Number B (Swap-Medium Risk)</t>
  </si>
  <si>
    <t>B1/U7</t>
  </si>
  <si>
    <t>B2/U7</t>
  </si>
  <si>
    <t>B3/U7</t>
  </si>
  <si>
    <t>B4/U3</t>
  </si>
  <si>
    <t>B5/U3</t>
  </si>
  <si>
    <t>B6/U3</t>
  </si>
  <si>
    <t>B7/U3</t>
  </si>
  <si>
    <t>B8/U3</t>
  </si>
  <si>
    <t>B9/U3</t>
  </si>
  <si>
    <t>B10/U3</t>
  </si>
  <si>
    <t>B11/U3</t>
  </si>
  <si>
    <t>B12/U3</t>
  </si>
  <si>
    <t>Number of  F = Number B (New-High Risk)</t>
  </si>
  <si>
    <t>B1/S8</t>
  </si>
  <si>
    <t>B2/S8</t>
  </si>
  <si>
    <t>B3/S8</t>
  </si>
  <si>
    <t>B4/S4</t>
  </si>
  <si>
    <t>B5/S4</t>
  </si>
  <si>
    <t>B6/S4</t>
  </si>
  <si>
    <t>B7/S4</t>
  </si>
  <si>
    <t>B8/S4</t>
  </si>
  <si>
    <t>B9/S4</t>
  </si>
  <si>
    <t>B10/S4</t>
  </si>
  <si>
    <t>B11/S4</t>
  </si>
  <si>
    <t>B12/S4</t>
  </si>
  <si>
    <t>Number of  F = Number B (EXP-High Risk)</t>
  </si>
  <si>
    <t>B1/T8</t>
  </si>
  <si>
    <t>B2/T8</t>
  </si>
  <si>
    <t>B3/T8</t>
  </si>
  <si>
    <t>B4/T4</t>
  </si>
  <si>
    <t>B5/T4</t>
  </si>
  <si>
    <t>B6/T4</t>
  </si>
  <si>
    <t>B7/T4</t>
  </si>
  <si>
    <t>B8/T4</t>
  </si>
  <si>
    <t>B9/T4</t>
  </si>
  <si>
    <t>B10/T4</t>
  </si>
  <si>
    <t>B11/T4</t>
  </si>
  <si>
    <t>B12/T4</t>
  </si>
  <si>
    <t>Number of  F = Number B (SWAP-High Risk)</t>
  </si>
  <si>
    <t>B1/U8</t>
  </si>
  <si>
    <t>B2/U8</t>
  </si>
  <si>
    <t>B3/U8</t>
  </si>
  <si>
    <t>B4/U4</t>
  </si>
  <si>
    <t>B5/U4</t>
  </si>
  <si>
    <t>B6/U4</t>
  </si>
  <si>
    <t>B7/U4</t>
  </si>
  <si>
    <t>B8/U4</t>
  </si>
  <si>
    <t>B9/U4</t>
  </si>
  <si>
    <t>B10/U4</t>
  </si>
  <si>
    <t>B11/U4</t>
  </si>
  <si>
    <t>B12/U4</t>
  </si>
  <si>
    <t>Number of  F = Number B (New-Very High Risk)</t>
  </si>
  <si>
    <t>B1/S9</t>
  </si>
  <si>
    <t>B2/S9</t>
  </si>
  <si>
    <t>B3/S9</t>
  </si>
  <si>
    <t>B4/S5</t>
  </si>
  <si>
    <t>B5/S5</t>
  </si>
  <si>
    <t>B6/S5</t>
  </si>
  <si>
    <t>B7/S5</t>
  </si>
  <si>
    <t>B8/S5</t>
  </si>
  <si>
    <t>B9/S5</t>
  </si>
  <si>
    <t>B10/S5</t>
  </si>
  <si>
    <t>B11/S5</t>
  </si>
  <si>
    <t>B12/S5</t>
  </si>
  <si>
    <t>Number of  F = Number B (Exp-Very High Risk)</t>
  </si>
  <si>
    <t>B1/T9</t>
  </si>
  <si>
    <t>B2/T9</t>
  </si>
  <si>
    <t>B3/T9</t>
  </si>
  <si>
    <t>B4/T5</t>
  </si>
  <si>
    <t>B5/T5</t>
  </si>
  <si>
    <t>B6/T5</t>
  </si>
  <si>
    <t>B7/T5</t>
  </si>
  <si>
    <t>B8/T5</t>
  </si>
  <si>
    <t>B9/T5</t>
  </si>
  <si>
    <t>B10/T5</t>
  </si>
  <si>
    <t>B11/T5</t>
  </si>
  <si>
    <t>B12/T5</t>
  </si>
  <si>
    <t>Number of  F = Number B (Swap-Very High Risk)</t>
  </si>
  <si>
    <t>B1/U9</t>
  </si>
  <si>
    <t>B2/U9</t>
  </si>
  <si>
    <t>B3/U9</t>
  </si>
  <si>
    <t>B4/U5</t>
  </si>
  <si>
    <t>B5/U5</t>
  </si>
  <si>
    <t>B6/U5</t>
  </si>
  <si>
    <t>B7/U5</t>
  </si>
  <si>
    <t>B8/U5</t>
  </si>
  <si>
    <t>B9/U5</t>
  </si>
  <si>
    <t>B10/U5</t>
  </si>
  <si>
    <t>B11/U5</t>
  </si>
  <si>
    <t>B12/U5</t>
  </si>
  <si>
    <t>Number of G = Number of B (New-Low Risk)</t>
  </si>
  <si>
    <t>G</t>
  </si>
  <si>
    <t>B1/V6</t>
  </si>
  <si>
    <t>B2/V6</t>
  </si>
  <si>
    <t>B3/V6</t>
  </si>
  <si>
    <t>B4/V2</t>
  </si>
  <si>
    <t>B5/V2</t>
  </si>
  <si>
    <t>B6/V2</t>
  </si>
  <si>
    <t>B7/V2</t>
  </si>
  <si>
    <t>B8/V2</t>
  </si>
  <si>
    <t>B9/V2</t>
  </si>
  <si>
    <t>B10/V2</t>
  </si>
  <si>
    <t>B11/V2</t>
  </si>
  <si>
    <t>B12/V2</t>
  </si>
  <si>
    <t>Number of G = Number of B (Exp-Low Risk)</t>
  </si>
  <si>
    <t>B1/W6</t>
  </si>
  <si>
    <t>B2/W6</t>
  </si>
  <si>
    <t>B3/W6</t>
  </si>
  <si>
    <t>B4/W2</t>
  </si>
  <si>
    <t>B5/W2</t>
  </si>
  <si>
    <t>B6/W2</t>
  </si>
  <si>
    <t>B7/W2</t>
  </si>
  <si>
    <t>B8/W2</t>
  </si>
  <si>
    <t>B9/W2</t>
  </si>
  <si>
    <t>B10/W2</t>
  </si>
  <si>
    <t>B11/W2</t>
  </si>
  <si>
    <t>B12/W2</t>
  </si>
  <si>
    <t>Number of G = Number of B (New-Medium Risk)</t>
  </si>
  <si>
    <t>B1/V7</t>
  </si>
  <si>
    <t>B2/V7</t>
  </si>
  <si>
    <t>B3/V7</t>
  </si>
  <si>
    <t>B4/V3</t>
  </si>
  <si>
    <t>B5/V3</t>
  </si>
  <si>
    <t>B6/V3</t>
  </si>
  <si>
    <t>B7/V3</t>
  </si>
  <si>
    <t>B8/V3</t>
  </si>
  <si>
    <t>B9/V3</t>
  </si>
  <si>
    <t>B10/V3</t>
  </si>
  <si>
    <t>B11/V3</t>
  </si>
  <si>
    <t>B12/V3</t>
  </si>
  <si>
    <t>Number of G = Number of B (Exp-Medium Risk)</t>
  </si>
  <si>
    <t>B1/W7</t>
  </si>
  <si>
    <t>B2/W7</t>
  </si>
  <si>
    <t>B3/W7</t>
  </si>
  <si>
    <t>B4/W3</t>
  </si>
  <si>
    <t>B5/W3</t>
  </si>
  <si>
    <t>B6/W3</t>
  </si>
  <si>
    <t>B7/W3</t>
  </si>
  <si>
    <t>B8/W3</t>
  </si>
  <si>
    <t>B9/W3</t>
  </si>
  <si>
    <t>B10/W3</t>
  </si>
  <si>
    <t>B11/W3</t>
  </si>
  <si>
    <t>B12/W3</t>
  </si>
  <si>
    <t>Number of G = Number of B (New-High Risk)</t>
  </si>
  <si>
    <t>B1/V8</t>
  </si>
  <si>
    <t>B2/V8</t>
  </si>
  <si>
    <t>B3/V8</t>
  </si>
  <si>
    <t>B4/V4</t>
  </si>
  <si>
    <t>B5/V4</t>
  </si>
  <si>
    <t>B6/V4</t>
  </si>
  <si>
    <t>B7/V4</t>
  </si>
  <si>
    <t>B8/V4</t>
  </si>
  <si>
    <t>B9/V4</t>
  </si>
  <si>
    <t>B10/V4</t>
  </si>
  <si>
    <t>B11/V4</t>
  </si>
  <si>
    <t>B12/V4</t>
  </si>
  <si>
    <t>Number of G = Number of B (Exp-High Risk)</t>
  </si>
  <si>
    <t>B1/W8</t>
  </si>
  <si>
    <t>B2/W8</t>
  </si>
  <si>
    <t>B3/W8</t>
  </si>
  <si>
    <t>B4/W4</t>
  </si>
  <si>
    <t>B5/W4</t>
  </si>
  <si>
    <t>B6/W4</t>
  </si>
  <si>
    <t>B7/W4</t>
  </si>
  <si>
    <t>B8/W4</t>
  </si>
  <si>
    <t>B9/W4</t>
  </si>
  <si>
    <t>B10/W4</t>
  </si>
  <si>
    <t>B11/W4</t>
  </si>
  <si>
    <t>B12/W4</t>
  </si>
  <si>
    <t>Number of G = Number of B (New-Very High Risk)</t>
  </si>
  <si>
    <t>B1/V9</t>
  </si>
  <si>
    <t>B2/V9</t>
  </si>
  <si>
    <t>B3/V9</t>
  </si>
  <si>
    <t>B4/V5</t>
  </si>
  <si>
    <t>B5/V5</t>
  </si>
  <si>
    <t>B6/V5</t>
  </si>
  <si>
    <t>B7/V5</t>
  </si>
  <si>
    <t>B8/V5</t>
  </si>
  <si>
    <t>B9/V5</t>
  </si>
  <si>
    <t>B10/V5</t>
  </si>
  <si>
    <t>B11/V5</t>
  </si>
  <si>
    <t>B12/V5</t>
  </si>
  <si>
    <t>Number of G = Number of B (Exp-Very High Risk)</t>
  </si>
  <si>
    <t>B1/W9</t>
  </si>
  <si>
    <t>B2/W9</t>
  </si>
  <si>
    <t>B3/W9</t>
  </si>
  <si>
    <t>B4/W5</t>
  </si>
  <si>
    <t>B5/W5</t>
  </si>
  <si>
    <t>B6/W5</t>
  </si>
  <si>
    <t>B7/W5</t>
  </si>
  <si>
    <t>B8/W5</t>
  </si>
  <si>
    <t>B9/W5</t>
  </si>
  <si>
    <t>B10/W5</t>
  </si>
  <si>
    <t>B11/W5</t>
  </si>
  <si>
    <t>B12/W5</t>
  </si>
  <si>
    <t>Number of H = Number of B</t>
  </si>
  <si>
    <t>In case of result Less than 1 consider 1</t>
  </si>
  <si>
    <t>H</t>
  </si>
  <si>
    <t>(D1+E1+F1+G1)/4</t>
  </si>
  <si>
    <t>(D2+E2+F2+G2)/4</t>
  </si>
  <si>
    <t>(D3+E3+F3+G3)/4</t>
  </si>
  <si>
    <t>(D4+E4+F4+G4)/4</t>
  </si>
  <si>
    <t>(D5+E5+F5+G5)/4</t>
  </si>
  <si>
    <t>(D6+E6+F6+G6)/4</t>
  </si>
  <si>
    <t>(D7+E7+F7+G7)/4</t>
  </si>
  <si>
    <t>(D8+E8+F8+G8)/4</t>
  </si>
  <si>
    <t>(D9+E9+F9+G9)/4</t>
  </si>
  <si>
    <t>(D10+E10+F10+G10)/4</t>
  </si>
  <si>
    <t>(D11+E11+F11+G11)/4</t>
  </si>
  <si>
    <t>(D12+E12+F12+G12)/4</t>
  </si>
  <si>
    <t>Number of I = Number of B</t>
  </si>
  <si>
    <t>I</t>
  </si>
  <si>
    <t>H1/4</t>
  </si>
  <si>
    <t>H2/4</t>
  </si>
  <si>
    <t>H3/4</t>
  </si>
  <si>
    <t>H4/4</t>
  </si>
  <si>
    <t>H5/4</t>
  </si>
  <si>
    <t>H6/4</t>
  </si>
  <si>
    <t>H7/4</t>
  </si>
  <si>
    <t>H8/4</t>
  </si>
  <si>
    <t>H9/4</t>
  </si>
  <si>
    <t>H10/4</t>
  </si>
  <si>
    <t>H11/4</t>
  </si>
  <si>
    <t>H12/4</t>
  </si>
  <si>
    <t>Number of AE = Number of B</t>
  </si>
  <si>
    <t>In case of result Less than 1 consider 1, for SRAN,5G,MW</t>
  </si>
  <si>
    <t>AE</t>
  </si>
  <si>
    <t xml:space="preserve">B1/100 </t>
  </si>
  <si>
    <t xml:space="preserve">B2/100 </t>
  </si>
  <si>
    <t xml:space="preserve">B3/100 </t>
  </si>
  <si>
    <t xml:space="preserve">B4/100 </t>
  </si>
  <si>
    <t xml:space="preserve">B5/100 </t>
  </si>
  <si>
    <t xml:space="preserve">B6/100 </t>
  </si>
  <si>
    <t xml:space="preserve">B7/100 </t>
  </si>
  <si>
    <t xml:space="preserve">B8/100 </t>
  </si>
  <si>
    <t xml:space="preserve">B9/100 </t>
  </si>
  <si>
    <t xml:space="preserve">B10/100 </t>
  </si>
  <si>
    <t xml:space="preserve">B11/100 </t>
  </si>
  <si>
    <t>B12/100</t>
  </si>
  <si>
    <t>In case of result Less than 1 consider 0, for CW</t>
  </si>
  <si>
    <t>Number of J = Number of B</t>
  </si>
  <si>
    <t>J</t>
  </si>
  <si>
    <t>I1/3</t>
  </si>
  <si>
    <t>I2/3</t>
  </si>
  <si>
    <t>I3/3</t>
  </si>
  <si>
    <t>I4/3</t>
  </si>
  <si>
    <t>I5/3</t>
  </si>
  <si>
    <t>I6/3</t>
  </si>
  <si>
    <t>I7/3</t>
  </si>
  <si>
    <t>I8/3</t>
  </si>
  <si>
    <t>I9/3</t>
  </si>
  <si>
    <t>I10/3</t>
  </si>
  <si>
    <t>I11/3</t>
  </si>
  <si>
    <t>I12/3</t>
  </si>
  <si>
    <t>Number of K =  Number of B</t>
  </si>
  <si>
    <t>K</t>
  </si>
  <si>
    <t>J1/3</t>
  </si>
  <si>
    <t>J2/3</t>
  </si>
  <si>
    <t>J3/3</t>
  </si>
  <si>
    <t>J4/3</t>
  </si>
  <si>
    <t>J5/3</t>
  </si>
  <si>
    <t>J6/3</t>
  </si>
  <si>
    <t>J7/3</t>
  </si>
  <si>
    <t>J8/3</t>
  </si>
  <si>
    <t>J9/3</t>
  </si>
  <si>
    <t>J10/3</t>
  </si>
  <si>
    <t>J11/3</t>
  </si>
  <si>
    <t>J12/3</t>
  </si>
  <si>
    <t>Number of X = Number of B</t>
  </si>
  <si>
    <t>X</t>
  </si>
  <si>
    <t>B1/200</t>
  </si>
  <si>
    <t>B2/200</t>
  </si>
  <si>
    <t>B3/200</t>
  </si>
  <si>
    <t>B4/200</t>
  </si>
  <si>
    <t>B5/200</t>
  </si>
  <si>
    <t>B6/200</t>
  </si>
  <si>
    <t>B7/200</t>
  </si>
  <si>
    <t>B8/200</t>
  </si>
  <si>
    <t>B9/200</t>
  </si>
  <si>
    <t>B10/200</t>
  </si>
  <si>
    <t>B11/200</t>
  </si>
  <si>
    <t>B12/200</t>
  </si>
  <si>
    <t>Number of Y = Number of B</t>
  </si>
  <si>
    <t>Y</t>
  </si>
  <si>
    <t>B1/150</t>
  </si>
  <si>
    <t>B2/150</t>
  </si>
  <si>
    <t>B3/150</t>
  </si>
  <si>
    <t>B4/150</t>
  </si>
  <si>
    <t>B5/150</t>
  </si>
  <si>
    <t>B6/150</t>
  </si>
  <si>
    <t>B7/150</t>
  </si>
  <si>
    <t>B8/150</t>
  </si>
  <si>
    <t>B9/150</t>
  </si>
  <si>
    <t>B10/150</t>
  </si>
  <si>
    <t>B11/150</t>
  </si>
  <si>
    <t>B12/150</t>
  </si>
  <si>
    <t>Number of Z = Number of B</t>
  </si>
  <si>
    <t>Z</t>
  </si>
  <si>
    <t>Number of AA = Number of B</t>
  </si>
  <si>
    <t>AA</t>
  </si>
  <si>
    <t>Number of AB=  Number of B</t>
  </si>
  <si>
    <t>AB</t>
  </si>
  <si>
    <t>Number of AC = Number of B</t>
  </si>
  <si>
    <t>AC</t>
  </si>
  <si>
    <t>B1/75</t>
  </si>
  <si>
    <t>B2/75</t>
  </si>
  <si>
    <t>B3/75</t>
  </si>
  <si>
    <t>B4/75</t>
  </si>
  <si>
    <t>B5/75</t>
  </si>
  <si>
    <t>B6/75</t>
  </si>
  <si>
    <t>B7/75</t>
  </si>
  <si>
    <t>B8/75</t>
  </si>
  <si>
    <t>B9/75</t>
  </si>
  <si>
    <t>B10/75</t>
  </si>
  <si>
    <t>B11/75</t>
  </si>
  <si>
    <t>B12/75</t>
  </si>
  <si>
    <t>Number of AD = Number of B</t>
  </si>
  <si>
    <t>AD</t>
  </si>
  <si>
    <t>column</t>
  </si>
  <si>
    <t>SCOPE</t>
  </si>
  <si>
    <t>SCOPE
TYPE</t>
  </si>
  <si>
    <t>A1</t>
  </si>
  <si>
    <t>A2</t>
  </si>
  <si>
    <t>A3</t>
  </si>
  <si>
    <t>A4</t>
  </si>
  <si>
    <t>A5</t>
  </si>
  <si>
    <t>A6</t>
  </si>
  <si>
    <t>B1</t>
  </si>
  <si>
    <t>D1</t>
  </si>
  <si>
    <t>E1</t>
  </si>
  <si>
    <t>F1</t>
  </si>
  <si>
    <t>G1</t>
  </si>
  <si>
    <t>H1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</si>
  <si>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</si>
  <si>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</si>
  <si>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</si>
  <si>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</si>
  <si>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</si>
  <si>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</si>
  <si>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</si>
  <si>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</si>
  <si>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</si>
  <si>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</si>
  <si>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</si>
  <si>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D2</t>
  </si>
  <si>
    <t>E2</t>
  </si>
  <si>
    <t>F2</t>
  </si>
  <si>
    <t>G2</t>
  </si>
  <si>
    <t>H2</t>
  </si>
  <si>
    <t>C1</t>
  </si>
  <si>
    <t>C2</t>
  </si>
  <si>
    <t>C3</t>
  </si>
  <si>
    <t>C4</t>
  </si>
  <si>
    <t>C5</t>
  </si>
  <si>
    <t>C6</t>
  </si>
  <si>
    <t>D3</t>
  </si>
  <si>
    <t>E3</t>
  </si>
  <si>
    <t>F3</t>
  </si>
  <si>
    <t>G3</t>
  </si>
  <si>
    <t>H3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</si>
  <si>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</si>
  <si>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</si>
  <si>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</si>
  <si>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</si>
  <si>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</si>
  <si>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</si>
  <si>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</si>
  <si>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</si>
  <si>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</si>
  <si>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</si>
  <si>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F4</t>
  </si>
  <si>
    <t>G4</t>
  </si>
  <si>
    <t>H4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</si>
  <si>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</si>
  <si>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</si>
  <si>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</si>
  <si>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</si>
  <si>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</si>
  <si>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</si>
  <si>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</si>
  <si>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</si>
  <si>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</si>
  <si>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G5</t>
  </si>
  <si>
    <t>H5</t>
  </si>
  <si>
    <t>F6</t>
  </si>
  <si>
    <t>F7</t>
  </si>
  <si>
    <t>F8</t>
  </si>
  <si>
    <t>F9</t>
  </si>
  <si>
    <t>F10</t>
  </si>
  <si>
    <t>F11</t>
  </si>
  <si>
    <t>F12</t>
  </si>
  <si>
    <t>G6</t>
  </si>
  <si>
    <t>H6</t>
  </si>
  <si>
    <t>G7</t>
  </si>
  <si>
    <t>G8</t>
  </si>
  <si>
    <t>G9</t>
  </si>
  <si>
    <t>G10</t>
  </si>
  <si>
    <t>G11</t>
  </si>
  <si>
    <t>G12</t>
  </si>
  <si>
    <t>H7</t>
  </si>
  <si>
    <t>H8</t>
  </si>
  <si>
    <t>H9</t>
  </si>
  <si>
    <t>H10</t>
  </si>
  <si>
    <t>H11</t>
  </si>
  <si>
    <t>H12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</si>
  <si>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</si>
  <si>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</si>
  <si>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</si>
  <si>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</si>
  <si>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</si>
  <si>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</si>
  <si>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</si>
  <si>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</si>
  <si>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</si>
  <si>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</si>
  <si>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</si>
  <si>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</si>
  <si>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</si>
  <si>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</si>
  <si>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</si>
  <si>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</si>
  <si>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</si>
  <si>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</si>
  <si>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</si>
  <si>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</si>
  <si>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</si>
  <si>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</si>
  <si>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</si>
  <si>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</si>
  <si>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</si>
  <si>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</si>
  <si>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</si>
  <si>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</si>
  <si>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</si>
  <si>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</si>
  <si>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</si>
  <si>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</si>
  <si>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</si>
  <si>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</si>
  <si>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</si>
  <si>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</si>
  <si>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</si>
  <si>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</si>
  <si>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</si>
  <si>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</si>
  <si>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</si>
  <si>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</si>
  <si>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</si>
  <si>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</si>
  <si>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</si>
  <si>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</si>
  <si>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</si>
  <si>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</si>
  <si>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</si>
  <si>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</si>
  <si>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</si>
  <si>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</si>
  <si>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</si>
  <si>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</si>
  <si>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</si>
  <si>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</si>
  <si>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</si>
  <si>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</si>
  <si>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</si>
  <si>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</si>
  <si>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</si>
  <si>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</si>
  <si>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</si>
  <si>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</si>
  <si>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</si>
  <si>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</si>
  <si>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</si>
  <si>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</si>
  <si>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</si>
  <si>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</si>
  <si>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</si>
  <si>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</si>
  <si>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</si>
  <si>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</si>
  <si>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</si>
  <si>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</si>
  <si>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</si>
  <si>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</si>
  <si>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</si>
  <si>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</si>
  <si>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</si>
  <si>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</si>
  <si>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</si>
  <si>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</si>
  <si>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</si>
  <si>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</si>
  <si>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</si>
  <si>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</si>
  <si>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</si>
  <si>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</si>
  <si>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</si>
  <si>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</si>
  <si>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</si>
  <si>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</si>
  <si>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</si>
  <si>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</si>
  <si>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</si>
  <si>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</si>
  <si>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</si>
  <si>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</si>
  <si>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</si>
  <si>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</si>
  <si>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</si>
  <si>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</si>
  <si>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</si>
  <si>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</si>
  <si>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</si>
  <si>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</si>
  <si>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</si>
  <si>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</si>
  <si>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</si>
  <si>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</si>
  <si>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</si>
  <si>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</si>
  <si>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</si>
  <si>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</si>
  <si>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</si>
  <si>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</si>
  <si>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</si>
  <si>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</si>
  <si>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</si>
  <si>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</si>
  <si>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</si>
  <si>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</si>
  <si>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</si>
  <si>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</si>
  <si>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</si>
  <si>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</si>
  <si>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</si>
  <si>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</si>
  <si>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</si>
  <si>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</si>
  <si>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I1/3 (Project#1,2,3,4)</t>
  </si>
  <si>
    <t>I2/3 (Project#1,2,3,4)</t>
  </si>
  <si>
    <t>I3/3 (Project#1,2,3,4)</t>
  </si>
  <si>
    <t>I4/3 (Project#1,2,3,4)</t>
  </si>
  <si>
    <t>I5/3 (Project#1,2,3,4)</t>
  </si>
  <si>
    <t>I6/3 (Project#1,2,3,4)</t>
  </si>
  <si>
    <t>I7/3 (Project#1,2,3,4)</t>
  </si>
  <si>
    <t>I8/3 (Project#1,2,3,4)</t>
  </si>
  <si>
    <t>I9/3 (Project#1,2,3,4)</t>
  </si>
  <si>
    <t>I10/3 (Project#1,2,3,4)</t>
  </si>
  <si>
    <t>I11/3 (Project#1,2,3,4)</t>
  </si>
  <si>
    <t>I12/3 (Project#1,2,3,4)</t>
  </si>
  <si>
    <t>J1/3 (Project#1,2,3,4)</t>
  </si>
  <si>
    <t>J2/3 (Project#1,2,3,4)</t>
  </si>
  <si>
    <t>J3/3 (Project#1,2,3,4)</t>
  </si>
  <si>
    <t>J4/3 (Project#1,2,3,4)</t>
  </si>
  <si>
    <t>J5/3 (Project#1,2,3,4)</t>
  </si>
  <si>
    <t>J6/3 (Project#1,2,3,4)</t>
  </si>
  <si>
    <t>J7/3 (Project#1,2,3,4)</t>
  </si>
  <si>
    <t>J8/3 (Project#1,2,3,4)</t>
  </si>
  <si>
    <t>J9/3 (Project#1,2,3,4)</t>
  </si>
  <si>
    <t>J10/3 (Project#1,2,3,4)</t>
  </si>
  <si>
    <t>J11/3 (Project#1,2,3,4)</t>
  </si>
  <si>
    <t>J12/3 (Project#1,2,3,4)</t>
  </si>
  <si>
    <t>B1/200 (ProBect#1,2,3,4)</t>
  </si>
  <si>
    <t>B2/200 (ProBect#1,2,3,4)</t>
  </si>
  <si>
    <t>B3/200 (ProBect#1,2,3,4)</t>
  </si>
  <si>
    <t>B4/200 (ProBect#1,2,3,4)</t>
  </si>
  <si>
    <t>B5/200 (ProBect#1,2,3,4)</t>
  </si>
  <si>
    <t>B6/200 (ProBect#1,2,3,4)</t>
  </si>
  <si>
    <t>B7/200 (ProBect#1,2,3,4)</t>
  </si>
  <si>
    <t>B8/200 (ProBect#1,2,3,4)</t>
  </si>
  <si>
    <t>B9/200 (ProBect#1,2,3,4)</t>
  </si>
  <si>
    <t>B10/200 (ProBect#1,2,3,4)</t>
  </si>
  <si>
    <t>B11/200 (ProBect#1,2,3,4)</t>
  </si>
  <si>
    <t>B12/200 (ProBect#1,2,3,4)</t>
  </si>
  <si>
    <t>B1/150 (ProBect#1,2,3,4)</t>
  </si>
  <si>
    <t>B2/150 (ProBect#1,2,3,4)</t>
  </si>
  <si>
    <t>B3/150 (ProBect#1,2,3,4)</t>
  </si>
  <si>
    <t>B4/150 (ProBect#1,2,3,4)</t>
  </si>
  <si>
    <t>B5/150 (ProBect#1,2,3,4)</t>
  </si>
  <si>
    <t>B6/150 (ProBect#1,2,3,4)</t>
  </si>
  <si>
    <t>B7/150 (ProBect#1,2,3,4)</t>
  </si>
  <si>
    <t>B8/150 (ProBect#1,2,3,4)</t>
  </si>
  <si>
    <t>B9/150 (ProBect#1,2,3,4)</t>
  </si>
  <si>
    <t>B10/150 (ProBect#1,2,3,4)</t>
  </si>
  <si>
    <t>B11/150 (ProBect#1,2,3,4)</t>
  </si>
  <si>
    <t>B12/150 (ProBect#1,2,3,4)</t>
  </si>
  <si>
    <t>B1/75 (ProBect#1,2,3,4)</t>
  </si>
  <si>
    <t>B2/75 (ProBect#1,2,3,4)</t>
  </si>
  <si>
    <t>B3/75 (ProBect#1,2,3,4)</t>
  </si>
  <si>
    <t>B4/75 (ProBect#1,2,3,4)</t>
  </si>
  <si>
    <t>B5/75 (ProBect#1,2,3,4)</t>
  </si>
  <si>
    <t>B6/75 (ProBect#1,2,3,4)</t>
  </si>
  <si>
    <t>B7/75 (ProBect#1,2,3,4)</t>
  </si>
  <si>
    <t>B8/75 (ProBect#1,2,3,4)</t>
  </si>
  <si>
    <t>B9/75 (ProBect#1,2,3,4)</t>
  </si>
  <si>
    <t>B10/75 (ProBect#1,2,3,4)</t>
  </si>
  <si>
    <t>B11/75 (ProBect#1,2,3,4)</t>
  </si>
  <si>
    <t>B12/75 (ProBect#1,2,3,4)</t>
  </si>
  <si>
    <t>In case of result Less than 1 consider 1, Zero in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</si>
</sst>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0"/>
      <name val="Aptos Narrow"/>
      <family val="2"/>
      <scheme val="minor"/>
    </font>
    <font>
      <sz val="18"/>
      <name val="Arial"/>
      <family val="2"/>
    </font>
    <font>
      <sz val="7"/>
      <color rgb="FF000000"/>
      <name val="Aptos Narrow"/>
      <family val="2"/>
    </font>
    <font>
      <b/>
      <sz val="11"/>
      <color rgb="FFFF000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0"/>
      <name val="Aptos Narrow"/>
      <family val="2"/>
    </font>
    <font>
      <sz val="15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7"/>
      <color rgb="FFD4D4D4"/>
      <name val="Consolas"/>
      <family val="3"/>
    </font>
    <font>
      <b/>
      <sz val="15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5" fillId="0" borderId="0" xfId="0" applyFont="1" applyAlignment="1">
      <alignment wrapText="1"/>
    </xf>
    <xf numFmtId="0" fontId="4" fillId="3" borderId="1" xfId="0" applyFont="1" applyFill="1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 readingOrder="1"/>
    </xf>
    <xf numFmtId="0" fontId="0" fillId="6" borderId="1" xfId="0" applyFill="1" applyBorder="1" applyAlignment="1">
      <alignment horizontal="left" vertical="center" wrapText="1"/>
    </xf>
    <xf numFmtId="0" fontId="1" fillId="7" borderId="4" xfId="0" applyFont="1" applyFill="1" applyBorder="1"/>
    <xf numFmtId="0" fontId="1" fillId="7" borderId="5" xfId="0" applyFont="1" applyFill="1" applyBorder="1"/>
    <xf numFmtId="0" fontId="1" fillId="7" borderId="1" xfId="0" applyFont="1" applyFill="1" applyBorder="1"/>
    <xf numFmtId="0" fontId="1" fillId="7" borderId="7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1" fontId="0" fillId="0" borderId="7" xfId="0" applyNumberForma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6" fillId="0" borderId="0" xfId="0" applyFont="1" applyAlignment="1">
      <alignment horizontal="center" wrapText="1" readingOrder="1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1" fontId="0" fillId="0" borderId="2" xfId="0" applyNumberFormat="1" applyBorder="1" applyAlignment="1">
      <alignment horizontal="left" vertical="center"/>
    </xf>
    <xf numFmtId="1" fontId="12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" fillId="0" borderId="0" xfId="0" applyFont="1"/>
    <xf numFmtId="1" fontId="0" fillId="0" borderId="0" xfId="0" applyNumberFormat="1" applyAlignment="1">
      <alignment wrapText="1"/>
    </xf>
    <xf numFmtId="0" fontId="4" fillId="3" borderId="23" xfId="0" applyFont="1" applyFill="1" applyBorder="1"/>
    <xf numFmtId="0" fontId="0" fillId="0" borderId="23" xfId="0" applyBorder="1"/>
    <xf numFmtId="0" fontId="0" fillId="0" borderId="0" xfId="0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wrapText="1" readingOrder="1"/>
    </xf>
    <xf numFmtId="0" fontId="11" fillId="9" borderId="2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wrapText="1" readingOrder="1"/>
    </xf>
    <xf numFmtId="0" fontId="3" fillId="6" borderId="24" xfId="0" applyFont="1" applyFill="1" applyBorder="1" applyAlignment="1">
      <alignment horizontal="center" vertical="center" wrapText="1" readingOrder="1"/>
    </xf>
    <xf numFmtId="0" fontId="3" fillId="6" borderId="24" xfId="0" applyFont="1" applyFill="1" applyBorder="1" applyAlignment="1">
      <alignment horizontal="center" vertical="center" readingOrder="1"/>
    </xf>
    <xf numFmtId="0" fontId="3" fillId="6" borderId="30" xfId="0" applyFont="1" applyFill="1" applyBorder="1" applyAlignment="1">
      <alignment horizontal="center" vertical="center" wrapText="1" readingOrder="1"/>
    </xf>
    <xf numFmtId="0" fontId="3" fillId="0" borderId="24" xfId="0" applyFont="1" applyBorder="1" applyAlignment="1">
      <alignment horizontal="center" wrapText="1" readingOrder="1"/>
    </xf>
    <xf numFmtId="1" fontId="2" fillId="0" borderId="24" xfId="0" applyNumberFormat="1" applyFont="1" applyBorder="1" applyAlignment="1">
      <alignment horizontal="center" vertical="center" wrapText="1" readingOrder="1"/>
    </xf>
    <xf numFmtId="1" fontId="2" fillId="0" borderId="30" xfId="0" applyNumberFormat="1" applyFont="1" applyBorder="1" applyAlignment="1">
      <alignment horizontal="center" vertical="center" wrapText="1" readingOrder="1"/>
    </xf>
    <xf numFmtId="0" fontId="3" fillId="0" borderId="24" xfId="0" applyFont="1" applyBorder="1" applyAlignment="1">
      <alignment horizontal="center" vertical="center" wrapText="1" readingOrder="1"/>
    </xf>
    <xf numFmtId="1" fontId="2" fillId="0" borderId="24" xfId="0" applyNumberFormat="1" applyFont="1" applyBorder="1" applyAlignment="1">
      <alignment horizontal="center" vertical="center" readingOrder="1"/>
    </xf>
    <xf numFmtId="1" fontId="2" fillId="0" borderId="24" xfId="0" applyNumberFormat="1" applyFont="1" applyBorder="1" applyAlignment="1">
      <alignment horizontal="center" wrapText="1" readingOrder="1"/>
    </xf>
    <xf numFmtId="1" fontId="2" fillId="0" borderId="30" xfId="0" applyNumberFormat="1" applyFont="1" applyBorder="1" applyAlignment="1">
      <alignment horizontal="center" wrapText="1" readingOrder="1"/>
    </xf>
    <xf numFmtId="0" fontId="11" fillId="9" borderId="31" xfId="0" applyFont="1" applyFill="1" applyBorder="1" applyAlignment="1">
      <alignment horizontal="center"/>
    </xf>
    <xf numFmtId="0" fontId="0" fillId="0" borderId="21" xfId="0" applyBorder="1"/>
    <xf numFmtId="0" fontId="0" fillId="0" borderId="32" xfId="0" applyBorder="1"/>
    <xf numFmtId="0" fontId="10" fillId="10" borderId="24" xfId="0" applyFont="1" applyFill="1" applyBorder="1" applyAlignment="1">
      <alignment horizontal="center" vertical="center" wrapText="1" readingOrder="1"/>
    </xf>
    <xf numFmtId="0" fontId="11" fillId="9" borderId="21" xfId="0" applyFont="1" applyFill="1" applyBorder="1" applyAlignment="1">
      <alignment horizontal="center"/>
    </xf>
    <xf numFmtId="0" fontId="11" fillId="9" borderId="32" xfId="0" applyFont="1" applyFill="1" applyBorder="1" applyAlignment="1">
      <alignment horizontal="center"/>
    </xf>
    <xf numFmtId="0" fontId="3" fillId="6" borderId="24" xfId="0" applyFont="1" applyFill="1" applyBorder="1" applyAlignment="1">
      <alignment vertical="center" readingOrder="1"/>
    </xf>
    <xf numFmtId="0" fontId="3" fillId="0" borderId="24" xfId="0" applyFont="1" applyBorder="1" applyAlignment="1">
      <alignment vertical="center" readingOrder="1"/>
    </xf>
    <xf numFmtId="1" fontId="2" fillId="0" borderId="23" xfId="0" applyNumberFormat="1" applyFont="1" applyBorder="1" applyAlignment="1">
      <alignment horizontal="center" vertical="center" wrapText="1" readingOrder="1"/>
    </xf>
    <xf numFmtId="0" fontId="14" fillId="2" borderId="1" xfId="0" applyFont="1" applyFill="1" applyBorder="1" applyAlignment="1">
      <alignment horizontal="center" vertical="center"/>
    </xf>
    <xf numFmtId="0" fontId="0" fillId="0" borderId="22" xfId="0" applyBorder="1"/>
    <xf numFmtId="0" fontId="0" fillId="0" borderId="12" xfId="0" applyBorder="1"/>
    <xf numFmtId="0" fontId="14" fillId="2" borderId="29" xfId="0" applyFont="1" applyFill="1" applyBorder="1" applyAlignment="1">
      <alignment horizontal="center" vertical="center"/>
    </xf>
    <xf numFmtId="0" fontId="0" fillId="0" borderId="0" xfId="0"/>
    <xf numFmtId="0" fontId="0" fillId="14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/>
    <xf numFmtId="0" fontId="0" fillId="0" borderId="13" xfId="0" applyBorder="1"/>
    <xf numFmtId="0" fontId="1" fillId="6" borderId="1" xfId="0" applyFont="1" applyFill="1" applyBorder="1" applyAlignment="1">
      <alignment horizontal="center"/>
    </xf>
    <xf numFmtId="0" fontId="0" fillId="0" borderId="25" xfId="0" applyBorder="1"/>
    <xf numFmtId="0" fontId="0" fillId="0" borderId="14" xfId="0" applyBorder="1"/>
    <xf numFmtId="0" fontId="0" fillId="0" borderId="26" xfId="0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/>
    <xf numFmtId="0" fontId="0" fillId="0" borderId="1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textRotation="255"/>
    </xf>
    <xf numFmtId="0" fontId="9" fillId="6" borderId="1" xfId="0" applyFont="1" applyFill="1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5"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" formatCode="0"/>
      <alignment horizontal="center" vertical="bottom" wrapText="1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alignment horizontal="general" vertical="center" readingOrder="1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alignment horizontal="center" vertical="bottom" wrapText="1" readingOrder="1"/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5" tint="0.39997558519241921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wrapText="1"/>
    </dxf>
    <dxf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_INPUT" displayName="USER_INPUT" ref="A2:F6" totalsRowShown="0" headerRowDxfId="34" dataDxfId="33" tableBorderDxfId="32">
  <tableColumns count="6">
    <tableColumn id="1" xr3:uid="{00000000-0010-0000-0000-000001000000}" name="Country" dataDxfId="31"/>
    <tableColumn id="2" xr3:uid="{00000000-0010-0000-0000-000002000000}" name="Project Code" dataDxfId="30"/>
    <tableColumn id="3" xr3:uid="{00000000-0010-0000-0000-000003000000}" name="Technology" dataDxfId="29"/>
    <tableColumn id="4" xr3:uid="{00000000-0010-0000-0000-000004000000}" name="Scope" dataDxfId="28"/>
    <tableColumn id="5" xr3:uid="{00000000-0010-0000-0000-000005000000}" name="Project Volume" dataDxfId="27"/>
    <tableColumn id="6" xr3:uid="{00000000-0010-0000-0000-000006000000}" name="Project Duration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IN_TABLE" displayName="MAIN_TABLE" ref="A9:H13" totalsRowShown="0" headerRowDxfId="25" dataDxfId="24" tableBorderDxfId="23">
  <tableColumns count="8">
    <tableColumn id="1" xr3:uid="{00000000-0010-0000-0100-000001000000}" name="Market Unit" dataDxfId="22">
      <calculatedColumnFormula>VLOOKUP(Sheet1!$B10,Sheet4!A:D,4,0)</calculatedColumnFormula>
    </tableColumn>
    <tableColumn id="2" xr3:uid="{00000000-0010-0000-0100-000002000000}" name="Country" dataDxfId="21"/>
    <tableColumn id="3" xr3:uid="{00000000-0010-0000-0100-000003000000}" name="Risk" dataDxfId="20">
      <calculatedColumnFormula>VLOOKUP(Sheet1!$B10,Sheet4!A:B,2,0)</calculatedColumnFormula>
    </tableColumn>
    <tableColumn id="4" xr3:uid="{00000000-0010-0000-0100-000004000000}" name="Project Code" dataDxfId="19"/>
    <tableColumn id="5" xr3:uid="{00000000-0010-0000-0100-000005000000}" name="Technology" dataDxfId="18"/>
    <tableColumn id="6" xr3:uid="{00000000-0010-0000-0100-000006000000}" name="Scope" dataDxfId="17"/>
    <tableColumn id="7" xr3:uid="{00000000-0010-0000-0100-000007000000}" name="Project Volume" dataDxfId="16"/>
    <tableColumn id="8" xr3:uid="{00000000-0010-0000-0100-000008000000}" name="Project Duration" dataDxfId="1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EAM_DIMENSION" displayName="TEAM_DIMENSION" ref="A16:M63" headerRowCount="0" totalsRowShown="0" dataDxfId="14" tableBorderDxfId="13">
  <tableColumns count="13">
    <tableColumn id="1" xr3:uid="{00000000-0010-0000-0200-000001000000}" name="Column1" dataDxfId="12"/>
    <tableColumn id="2" xr3:uid="{00000000-0010-0000-0200-000002000000}" name="Column2" dataDxfId="11"/>
    <tableColumn id="3" xr3:uid="{00000000-0010-0000-0200-000003000000}" name="Column3" dataDxfId="10"/>
    <tableColumn id="4" xr3:uid="{00000000-0010-0000-0200-000004000000}" name="Column4" dataDxfId="9"/>
    <tableColumn id="5" xr3:uid="{00000000-0010-0000-0200-000005000000}" name="Column5" dataDxfId="8"/>
    <tableColumn id="6" xr3:uid="{00000000-0010-0000-0200-000006000000}" name="Column6" dataDxfId="7"/>
    <tableColumn id="7" xr3:uid="{00000000-0010-0000-0200-000007000000}" name="Column7" dataDxfId="6"/>
    <tableColumn id="8" xr3:uid="{00000000-0010-0000-0200-000008000000}" name="Column8" dataDxfId="5"/>
    <tableColumn id="9" xr3:uid="{00000000-0010-0000-0200-000009000000}" name="Column9" dataDxfId="4"/>
    <tableColumn id="10" xr3:uid="{00000000-0010-0000-0200-00000A000000}" name="Column10" dataDxfId="3"/>
    <tableColumn id="11" xr3:uid="{00000000-0010-0000-0200-00000B000000}" name="Column11" dataDxfId="2"/>
    <tableColumn id="12" xr3:uid="{00000000-0010-0000-0200-00000C000000}" name="Column12" dataDxfId="1"/>
    <tableColumn id="13" xr3:uid="{00000000-0010-0000-0200-00000D000000}" name="Column13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65"/>
  <sheetViews>
    <sheetView tabSelected="1" zoomScale="55" zoomScaleNormal="55" workbookViewId="0">
      <selection activeCell="H10" sqref="H10"/>
    </sheetView>
  </sheetViews>
  <sheetFormatPr defaultRowHeight="14.5" x14ac:dyDescent="0.35"/>
  <cols>
    <col min="1" max="13" width="18.6328125" customWidth="1"/>
    <col min="14" max="14" width="10.453125" customWidth="1"/>
    <col min="15" max="15" width="19" customWidth="1"/>
    <col min="16" max="17" width="11.54296875" customWidth="1"/>
    <col min="18" max="18" width="13.54296875" customWidth="1"/>
    <col min="19" max="19" width="12.08984375" customWidth="1"/>
    <col min="20" max="20" width="11.54296875" customWidth="1"/>
    <col min="21" max="21" width="15.54296875" customWidth="1"/>
    <col min="22" max="22" width="16.36328125" customWidth="1"/>
  </cols>
  <sheetData>
    <row r="1" spans="1:29" ht="20" customHeight="1" x14ac:dyDescent="0.35">
      <c r="A1" s="90" t="s">
        <v>0</v>
      </c>
      <c r="B1" s="91"/>
      <c r="C1" s="91"/>
      <c r="D1" s="91"/>
      <c r="E1" s="91"/>
      <c r="F1" s="92"/>
    </row>
    <row r="2" spans="1:29" ht="20" customHeight="1" x14ac:dyDescent="0.35">
      <c r="A2" s="67" t="s">
        <v>1</v>
      </c>
      <c r="B2" s="67" t="s">
        <v>2</v>
      </c>
      <c r="C2" s="67" t="s">
        <v>3</v>
      </c>
      <c r="D2" s="67" t="s">
        <v>4</v>
      </c>
      <c r="E2" s="67" t="s">
        <v>5</v>
      </c>
      <c r="F2" s="67" t="s">
        <v>6</v>
      </c>
      <c r="G2" s="55"/>
      <c r="H2" s="55"/>
    </row>
    <row r="3" spans="1:29" ht="20" customHeight="1" x14ac:dyDescent="0.35">
      <c r="A3" s="2" t="s">
        <v>7</v>
      </c>
      <c r="B3" s="2" t="s">
        <v>8</v>
      </c>
      <c r="C3" s="2" t="s">
        <v>9</v>
      </c>
      <c r="D3" s="2" t="s">
        <v>10</v>
      </c>
      <c r="E3" s="2">
        <v>789</v>
      </c>
      <c r="F3" s="2">
        <v>10</v>
      </c>
      <c r="G3" s="55"/>
      <c r="H3" s="55"/>
    </row>
    <row r="4" spans="1:29" ht="20" customHeight="1" x14ac:dyDescent="0.35">
      <c r="A4" s="2" t="s">
        <v>11</v>
      </c>
      <c r="B4" s="2" t="s">
        <v>8</v>
      </c>
      <c r="C4" s="2" t="s">
        <v>12</v>
      </c>
      <c r="D4" s="2" t="s">
        <v>13</v>
      </c>
      <c r="E4" s="2">
        <v>790</v>
      </c>
      <c r="F4" s="2">
        <v>12</v>
      </c>
      <c r="G4" s="55"/>
      <c r="H4" s="55"/>
    </row>
    <row r="5" spans="1:29" ht="20" customHeight="1" x14ac:dyDescent="0.35">
      <c r="A5" s="2" t="s">
        <v>11</v>
      </c>
      <c r="B5" s="2" t="s">
        <v>8</v>
      </c>
      <c r="C5" s="2" t="s">
        <v>14</v>
      </c>
      <c r="D5" s="2" t="s">
        <v>10</v>
      </c>
      <c r="E5" s="2">
        <v>999</v>
      </c>
      <c r="F5" s="2">
        <v>5</v>
      </c>
      <c r="G5" s="55"/>
      <c r="H5" s="55"/>
    </row>
    <row r="6" spans="1:29" ht="20" customHeight="1" x14ac:dyDescent="0.35">
      <c r="A6" s="2" t="s">
        <v>11</v>
      </c>
      <c r="B6" s="2" t="s">
        <v>8</v>
      </c>
      <c r="C6" s="2" t="s">
        <v>15</v>
      </c>
      <c r="D6" s="2" t="s">
        <v>16</v>
      </c>
      <c r="E6" s="2">
        <v>555</v>
      </c>
      <c r="F6" s="2">
        <v>10</v>
      </c>
      <c r="G6" s="55"/>
      <c r="H6" s="55"/>
    </row>
    <row r="7" spans="1:29" ht="20" customHeight="1" x14ac:dyDescent="0.35">
      <c r="A7" s="59"/>
      <c r="B7" s="59"/>
      <c r="C7" s="59"/>
      <c r="D7" s="59"/>
      <c r="E7" s="59"/>
      <c r="F7" s="59"/>
      <c r="G7" s="55"/>
      <c r="H7" s="55"/>
    </row>
    <row r="8" spans="1:29" ht="20" customHeight="1" x14ac:dyDescent="0.35">
      <c r="A8" s="90" t="s">
        <v>17</v>
      </c>
      <c r="B8" s="91"/>
      <c r="C8" s="91"/>
      <c r="D8" s="91"/>
      <c r="E8" s="91"/>
      <c r="F8" s="91"/>
      <c r="G8" s="91"/>
      <c r="H8" s="92"/>
    </row>
    <row r="9" spans="1:29" ht="20" customHeight="1" x14ac:dyDescent="0.45">
      <c r="A9" s="68" t="s">
        <v>18</v>
      </c>
      <c r="B9" s="61" t="s">
        <v>1</v>
      </c>
      <c r="C9" s="61" t="s">
        <v>19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6</v>
      </c>
      <c r="N9" s="13"/>
    </row>
    <row r="10" spans="1:29" ht="20" customHeight="1" x14ac:dyDescent="0.45">
      <c r="A10" s="60" t="str">
        <f>VLOOKUP(Sheet1!$B10,Sheet4!A:D,4,0)</f>
        <v>NA</v>
      </c>
      <c r="B10" s="57" t="str">
        <f>A3</f>
        <v>Qatar</v>
      </c>
      <c r="C10" s="56" t="str">
        <f>VLOOKUP(Sheet1!$B10,Sheet4!A:B,2,0)</f>
        <v>Low Risk</v>
      </c>
      <c r="D10" s="56" t="str">
        <f>B3</f>
        <v>Project#1</v>
      </c>
      <c r="E10" s="58" t="s">
        <v>9</v>
      </c>
      <c r="F10" s="56" t="str">
        <f>D3</f>
        <v>New</v>
      </c>
      <c r="G10" s="56">
        <f>E3</f>
        <v>789</v>
      </c>
      <c r="H10" s="56">
        <f>F3</f>
        <v>10</v>
      </c>
      <c r="N10" s="13"/>
    </row>
    <row r="11" spans="1:29" ht="20" customHeight="1" x14ac:dyDescent="0.35">
      <c r="A11" s="69" t="str">
        <f>VLOOKUP(Sheet1!$B11,Sheet4!A:D,4,0)</f>
        <v>ME</v>
      </c>
      <c r="B11" s="57" t="str">
        <f>A4</f>
        <v>UAE</v>
      </c>
      <c r="C11" s="56" t="str">
        <f>VLOOKUP(Sheet1!$B11,Sheet4!A:B,2,0)</f>
        <v>Low Risk</v>
      </c>
      <c r="D11" s="56" t="str">
        <f>B5</f>
        <v>Project#1</v>
      </c>
      <c r="E11" s="58" t="s">
        <v>14</v>
      </c>
      <c r="F11" s="56" t="str">
        <f>D5</f>
        <v>New</v>
      </c>
      <c r="G11" s="56">
        <f>E5</f>
        <v>999</v>
      </c>
      <c r="H11" s="56">
        <f>F4</f>
        <v>12</v>
      </c>
    </row>
    <row r="12" spans="1:29" s="47" customFormat="1" ht="20" customHeight="1" x14ac:dyDescent="0.45">
      <c r="A12" s="60" t="str">
        <f>VLOOKUP(Sheet1!$B12,Sheet4!A:D,4,0)</f>
        <v>ME</v>
      </c>
      <c r="B12" s="57" t="str">
        <f>A5</f>
        <v>UAE</v>
      </c>
      <c r="C12" s="56" t="str">
        <f>VLOOKUP(Sheet1!$B12,Sheet4!A:B,2,0)</f>
        <v>Low Risk</v>
      </c>
      <c r="D12" s="56" t="str">
        <f>B4</f>
        <v>Project#1</v>
      </c>
      <c r="E12" s="58" t="s">
        <v>12</v>
      </c>
      <c r="F12" s="56" t="str">
        <f>D4</f>
        <v>Swap</v>
      </c>
      <c r="G12" s="56">
        <f>E4</f>
        <v>790</v>
      </c>
      <c r="H12" s="56">
        <f>F5</f>
        <v>5</v>
      </c>
      <c r="N12" s="13"/>
      <c r="AC12" s="52"/>
    </row>
    <row r="13" spans="1:29" ht="20" customHeight="1" x14ac:dyDescent="0.35">
      <c r="A13" s="62" t="str">
        <f>VLOOKUP(Sheet1!$B13,Sheet4!A:D,4,0)</f>
        <v>ME</v>
      </c>
      <c r="B13" s="57" t="str">
        <f>A6</f>
        <v>UAE</v>
      </c>
      <c r="C13" s="63" t="str">
        <f>VLOOKUP(Sheet1!$B13,Sheet4!A:B,2,0)</f>
        <v>Low Risk</v>
      </c>
      <c r="D13" s="56" t="str">
        <f>B6</f>
        <v>Project#1</v>
      </c>
      <c r="E13" s="64" t="s">
        <v>15</v>
      </c>
      <c r="F13" s="56" t="str">
        <f>D6</f>
        <v>Exp</v>
      </c>
      <c r="G13" s="56">
        <f>E6</f>
        <v>555</v>
      </c>
      <c r="H13" s="56">
        <f>F6</f>
        <v>10</v>
      </c>
      <c r="AC13" s="52"/>
    </row>
    <row r="14" spans="1:29" ht="20" customHeight="1" x14ac:dyDescent="0.35">
      <c r="AC14" s="52"/>
    </row>
    <row r="15" spans="1:29" ht="20" customHeight="1" x14ac:dyDescent="0.35">
      <c r="A15" s="93" t="s">
        <v>20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AC15" s="52"/>
    </row>
    <row r="16" spans="1:29" ht="20" customHeight="1" x14ac:dyDescent="0.35">
      <c r="AC16" s="52"/>
    </row>
    <row r="17" spans="1:29" ht="20" customHeight="1" x14ac:dyDescent="0.45">
      <c r="A17" s="66" t="s">
        <v>9</v>
      </c>
      <c r="AC17" s="52"/>
    </row>
    <row r="18" spans="1:29" ht="20" customHeight="1" x14ac:dyDescent="0.45">
      <c r="A18" s="70" t="s">
        <v>21</v>
      </c>
      <c r="B18" s="71" t="s">
        <v>22</v>
      </c>
      <c r="C18" s="71" t="s">
        <v>23</v>
      </c>
      <c r="D18" s="71" t="s">
        <v>24</v>
      </c>
      <c r="E18" s="71" t="s">
        <v>25</v>
      </c>
      <c r="F18" s="71" t="s">
        <v>26</v>
      </c>
      <c r="G18" s="71" t="s">
        <v>27</v>
      </c>
      <c r="H18" s="72" t="s">
        <v>28</v>
      </c>
      <c r="I18" s="71" t="s">
        <v>29</v>
      </c>
      <c r="J18" s="71" t="s">
        <v>30</v>
      </c>
      <c r="K18" s="71" t="s">
        <v>31</v>
      </c>
      <c r="L18" s="71" t="s">
        <v>32</v>
      </c>
      <c r="M18" s="73" t="s">
        <v>33</v>
      </c>
      <c r="N18" s="13"/>
      <c r="AC18" s="52"/>
    </row>
    <row r="19" spans="1:29" ht="20" customHeight="1" x14ac:dyDescent="0.45">
      <c r="A19" s="74" t="s">
        <v>34</v>
      </c>
      <c r="B19" s="75">
        <f>IF(Sheet1!H10&gt;=1,Sheet2!A3,"")</f>
        <v>59.175000000000004</v>
      </c>
      <c r="C19" s="75">
        <f>IF(Sheet1!H10&gt;=2,Sheet2!A4,"")</f>
        <v>169.28333333333333</v>
      </c>
      <c r="D19" s="75">
        <f>IF(Sheet1!H10&gt;=3,Sheet2!A5,"")</f>
        <v>220.21666666666667</v>
      </c>
      <c r="E19" s="75">
        <f>IF(Sheet1!H10&gt;=4,Sheet2!A6,"")</f>
        <v>220.21666666666667</v>
      </c>
      <c r="F19" s="75">
        <f>IF(Sheet1!H10&gt;=5,Sheet2!A7,"")</f>
        <v>220.21666666666667</v>
      </c>
      <c r="G19" s="75">
        <f>IF(Sheet1!H10&gt;=6,Sheet2!A8,"")</f>
        <v>169.28333333333333</v>
      </c>
      <c r="H19" s="75" t="str">
        <f>IF(Sheet1!H10&gt;=7,Sheet2!A9,"")</f>
        <v>A7</v>
      </c>
      <c r="I19" s="75" t="str">
        <f>IF(Sheet1!H10&gt;=8,Sheet2!A10,"")</f>
        <v>A8</v>
      </c>
      <c r="J19" s="75" t="str">
        <f>IF(Sheet1!H10&gt;=9,Sheet2!A11,"")</f>
        <v>A9</v>
      </c>
      <c r="K19" s="75" t="str">
        <f>IF(Sheet1!H10&gt;=10,Sheet2!A12,"")</f>
        <v>A10</v>
      </c>
      <c r="L19" s="75" t="str">
        <f>IF(Sheet1!H10&gt;=11,Sheet2!A13,"")</f>
        <v/>
      </c>
      <c r="M19" s="76" t="str">
        <f>IF(Sheet1!H10&gt;=12,Sheet2!A14,"")</f>
        <v/>
      </c>
      <c r="N19" s="13"/>
      <c r="AC19" s="50"/>
    </row>
    <row r="20" spans="1:29" ht="20" customHeight="1" x14ac:dyDescent="0.45">
      <c r="A20" s="74" t="s">
        <v>35</v>
      </c>
      <c r="B20" s="75">
        <f>IF(Sheet1!H10&gt;=1,Sheet2!B3,"")</f>
        <v>19.725000000000001</v>
      </c>
      <c r="C20" s="75">
        <f>IF(Sheet1!H10&gt;=2,Sheet2!B4,"")</f>
        <v>39.450000000000003</v>
      </c>
      <c r="D20" s="75">
        <f>IF(Sheet1!H10&gt;=3,Sheet2!B5,"")</f>
        <v>59.175000000000004</v>
      </c>
      <c r="E20" s="75">
        <f>IF(Sheet1!H10&gt;=4,Sheet2!B6,"")</f>
        <v>110.10833333333333</v>
      </c>
      <c r="F20" s="75">
        <f>IF(Sheet1!H10&gt;=5,Sheet2!B7,"")</f>
        <v>110.10833333333333</v>
      </c>
      <c r="G20" s="75">
        <f>IF(Sheet1!H10&gt;=6,Sheet2!B8,"")</f>
        <v>110.10833333333333</v>
      </c>
      <c r="H20" s="75">
        <f>IF(Sheet1!H10&gt;=7,Sheet2!B9,"")</f>
        <v>110.10833333333333</v>
      </c>
      <c r="I20" s="75">
        <f>IF(Sheet1!H10&gt;=8,Sheet2!B10,"")</f>
        <v>110.10833333333333</v>
      </c>
      <c r="J20" s="75">
        <f>IF(Sheet1!H10&gt;=9,Sheet2!B11,"")</f>
        <v>110.10833333333333</v>
      </c>
      <c r="K20" s="75">
        <f>IF(Sheet1!H10&gt;=10,Sheet2!B12,"")</f>
        <v>110.10833333333333</v>
      </c>
      <c r="L20" s="75" t="str">
        <f>IF(Sheet1!H10&gt;=11,Sheet2!B13,"")</f>
        <v/>
      </c>
      <c r="M20" s="76" t="str">
        <f>IF(Sheet1!H10&gt;=12,Sheet2!B14,"")</f>
        <v/>
      </c>
      <c r="N20" s="13"/>
      <c r="AB20" s="52"/>
      <c r="AC20" s="50"/>
    </row>
    <row r="21" spans="1:29" ht="20" customHeight="1" x14ac:dyDescent="0.45">
      <c r="A21" s="77" t="s">
        <v>36</v>
      </c>
      <c r="B21" s="75">
        <f>IF(Sheet1!H10&gt;=1,Sheet2!C3,"")</f>
        <v>1.8492187500000001</v>
      </c>
      <c r="C21" s="75">
        <f>IF(Sheet1!H10&gt;=2,Sheet2!C4,"")</f>
        <v>5.2901041666666666</v>
      </c>
      <c r="D21" s="75">
        <f>IF(Sheet1!H10&gt;=3,Sheet2!C5,"")</f>
        <v>4.587847222222222</v>
      </c>
      <c r="E21" s="75">
        <f>IF(Sheet1!H10&gt;=4,Sheet2!C6,"")</f>
        <v>4.587847222222222</v>
      </c>
      <c r="F21" s="75">
        <f>IF(Sheet1!H10&gt;=5,Sheet2!C7,"")</f>
        <v>4.587847222222222</v>
      </c>
      <c r="G21" s="75">
        <f>IF(Sheet1!H10&gt;=6,Sheet2!C8,"")</f>
        <v>3.5267361111111111</v>
      </c>
      <c r="H21" s="75" t="str">
        <f>IF(Sheet1!H10&gt;=7,Sheet2!C9,"")</f>
        <v>C7</v>
      </c>
      <c r="I21" s="75" t="str">
        <f>IF(Sheet1!H10&gt;=8,Sheet2!C10,"")</f>
        <v>C8</v>
      </c>
      <c r="J21" s="75" t="str">
        <f>IF(Sheet1!H10&gt;=9,Sheet2!C11,"")</f>
        <v>C9</v>
      </c>
      <c r="K21" s="75" t="str">
        <f>IF(Sheet1!H10&gt;=10,Sheet2!C12,"")</f>
        <v>C10</v>
      </c>
      <c r="L21" s="75" t="str">
        <f>IF(Sheet1!H10&gt;=11,Sheet2!C13,"")</f>
        <v/>
      </c>
      <c r="M21" s="76" t="str">
        <f>IF(Sheet1!H10&gt;=12,Sheet2!C14,"")</f>
        <v/>
      </c>
      <c r="N21" s="13"/>
      <c r="AB21" s="52"/>
      <c r="AC21" s="50"/>
    </row>
    <row r="22" spans="1:29" ht="20" customHeight="1" x14ac:dyDescent="0.45">
      <c r="A22" s="77" t="s">
        <v>37</v>
      </c>
      <c r="B22" s="75">
        <f>IF(Sheet1!H10&gt;=1,Sheet2!D3,"")</f>
        <v>4.9312500000000004</v>
      </c>
      <c r="C22" s="75">
        <f>IF(Sheet1!H10&gt;=2,Sheet2!D4,"")</f>
        <v>9.8625000000000007</v>
      </c>
      <c r="D22" s="75">
        <f>IF(Sheet1!H10&gt;=3,Sheet2!D5,"")</f>
        <v>14.793750000000001</v>
      </c>
      <c r="E22" s="75">
        <f>IF(Sheet1!H10&gt;=4,Sheet2!D6,"")</f>
        <v>18.351388888888888</v>
      </c>
      <c r="F22" s="75">
        <f>IF(Sheet1!H10&gt;=5,Sheet2!D7,"")</f>
        <v>18.351388888888888</v>
      </c>
      <c r="G22" s="75">
        <f>IF(Sheet1!H10&gt;=6,Sheet2!D8,"")</f>
        <v>18.351388888888888</v>
      </c>
      <c r="H22" s="78">
        <f>IF(Sheet1!H10&gt;=7,Sheet2!D9,"")</f>
        <v>18.351388888888888</v>
      </c>
      <c r="I22" s="75">
        <f>IF(Sheet1!H10&gt;=8,Sheet2!D10,"")</f>
        <v>18.351388888888888</v>
      </c>
      <c r="J22" s="75">
        <f>IF(Sheet1!H10&gt;=9,Sheet2!D11,"")</f>
        <v>18.351388888888888</v>
      </c>
      <c r="K22" s="75">
        <f>IF(Sheet1!H10&gt;=10,Sheet2!D12,"")</f>
        <v>18.351388888888888</v>
      </c>
      <c r="L22" s="75" t="str">
        <f>IF(Sheet1!H10&gt;=11,Sheet2!D13,"")</f>
        <v/>
      </c>
      <c r="M22" s="76" t="str">
        <f>IF(Sheet1!H10&gt;=12,Sheet2!D14,"")</f>
        <v/>
      </c>
      <c r="N22" s="13"/>
      <c r="AC22" s="50"/>
    </row>
    <row r="23" spans="1:29" ht="20" customHeight="1" x14ac:dyDescent="0.45">
      <c r="A23" s="77" t="s">
        <v>38</v>
      </c>
      <c r="B23" s="75">
        <f>IF(Sheet1!H10&gt;=1,(Sheet2!H3),"")</f>
        <v>1.2328125000000001</v>
      </c>
      <c r="C23" s="75">
        <f>IF(Sheet1!H10&gt;=2,Sheet2!H4,"")</f>
        <v>2.4656250000000002</v>
      </c>
      <c r="D23" s="75">
        <f>IF(Sheet1!H10&gt;=3,Sheet2!H5,"")</f>
        <v>3.6984375000000003</v>
      </c>
      <c r="E23" s="75">
        <f>IF(Sheet1!H10&gt;=4,Sheet2!H6,"")</f>
        <v>4.587847222222222</v>
      </c>
      <c r="F23" s="75">
        <f>IF(Sheet1!H10&gt;=5,Sheet2!H7,"")</f>
        <v>4.587847222222222</v>
      </c>
      <c r="G23" s="75">
        <f>IF(Sheet1!H10&gt;=6,Sheet2!H8,"")</f>
        <v>4.587847222222222</v>
      </c>
      <c r="H23" s="75">
        <f>IF(Sheet1!H10&gt;=7,Sheet2!H9,"")</f>
        <v>4.587847222222222</v>
      </c>
      <c r="I23" s="75">
        <f>IF(Sheet1!H10&gt;=8,Sheet2!H10,"")</f>
        <v>4.587847222222222</v>
      </c>
      <c r="J23" s="75">
        <f>IF(Sheet1!H10&gt;=9,Sheet2!H11,"")</f>
        <v>4.587847222222222</v>
      </c>
      <c r="K23" s="75">
        <f>IF(Sheet1!H10&gt;=10,Sheet2!H12,"")</f>
        <v>4.587847222222222</v>
      </c>
      <c r="L23" s="75" t="str">
        <f>IF(Sheet1!H10&gt;=11,Sheet2!H13,"")</f>
        <v/>
      </c>
      <c r="M23" s="76" t="str">
        <f>IF(Sheet1!H10&gt;=12,Sheet2!H14,"")</f>
        <v/>
      </c>
      <c r="N23" s="13"/>
      <c r="AC23" s="50"/>
    </row>
    <row r="24" spans="1:29" ht="20" customHeight="1" x14ac:dyDescent="0.45">
      <c r="A24" s="77" t="s">
        <v>39</v>
      </c>
      <c r="B24" s="75">
        <f>IF(Sheet1!H10&gt;=1,(Sheet2!I3),"")</f>
        <v>1</v>
      </c>
      <c r="C24" s="75">
        <f>IF(Sheet1!H10&gt;=2,Sheet2!I4,"")</f>
        <v>1</v>
      </c>
      <c r="D24" s="75">
        <f>IF(Sheet1!H10&gt;=3,Sheet2!I5,"")</f>
        <v>1</v>
      </c>
      <c r="E24" s="75">
        <f>IF(Sheet1!H10&gt;=4,Sheet2!I6,"")</f>
        <v>1.1469618055555555</v>
      </c>
      <c r="F24" s="75">
        <f>IF(Sheet1!H10&gt;=5,Sheet2!I7,"")</f>
        <v>1.1469618055555555</v>
      </c>
      <c r="G24" s="75">
        <f>IF(Sheet1!H10&gt;=6,Sheet2!I8,"")</f>
        <v>1.1469618055555555</v>
      </c>
      <c r="H24" s="75">
        <f>IF(Sheet1!H10&gt;=7,Sheet2!I9,"")</f>
        <v>1.1469618055555555</v>
      </c>
      <c r="I24" s="75">
        <f>IF(Sheet1!H10&gt;=8,Sheet2!I10,"")</f>
        <v>1.1469618055555555</v>
      </c>
      <c r="J24" s="75">
        <f>IF(Sheet1!H10&gt;=9,Sheet2!I11,"")</f>
        <v>1.1469618055555555</v>
      </c>
      <c r="K24" s="75">
        <f>IF(Sheet1!H10&gt;=10,Sheet2!I12,"")</f>
        <v>1.1469618055555555</v>
      </c>
      <c r="L24" s="75" t="str">
        <f>IF(Sheet1!H10&gt;=11,Sheet2!I13,"")</f>
        <v/>
      </c>
      <c r="M24" s="76" t="str">
        <f>IF(Sheet1!H10&gt;=12,Sheet2!I14,"")</f>
        <v/>
      </c>
      <c r="N24" s="13"/>
      <c r="AC24" s="50"/>
    </row>
    <row r="25" spans="1:29" ht="20" customHeight="1" x14ac:dyDescent="0.45">
      <c r="A25" s="77" t="s">
        <v>40</v>
      </c>
      <c r="B25" s="79">
        <f>IF(Sheet1!H10&gt;=1,(Sheet2!J3),"")</f>
        <v>1</v>
      </c>
      <c r="C25" s="79">
        <f>IF(Sheet1!H10&gt;=2,Sheet2!J4,"")</f>
        <v>1</v>
      </c>
      <c r="D25" s="79">
        <f>IF(Sheet1!H10&gt;=3,Sheet2!J5,"")</f>
        <v>1</v>
      </c>
      <c r="E25" s="79">
        <f>IF(Sheet1!H10&gt;=4,Sheet2!J6,"")</f>
        <v>1.1010833333333334</v>
      </c>
      <c r="F25" s="79">
        <f>IF(Sheet1!H10&gt;=5,Sheet2!J7,"")</f>
        <v>1.1010833333333334</v>
      </c>
      <c r="G25" s="79">
        <f>IF(Sheet1!H10&gt;=6,Sheet2!J8,"")</f>
        <v>1.1010833333333334</v>
      </c>
      <c r="H25" s="79">
        <f>IF(Sheet1!H10&gt;=7,Sheet2!J9,"")</f>
        <v>1.1010833333333334</v>
      </c>
      <c r="I25" s="79">
        <f>IF(Sheet1!H10&gt;=8,Sheet2!J10,"")</f>
        <v>1.1010833333333334</v>
      </c>
      <c r="J25" s="79">
        <f>IF(Sheet1!H10&gt;=9,Sheet2!J11,"")</f>
        <v>1.1010833333333334</v>
      </c>
      <c r="K25" s="79">
        <f>IF(Sheet1!H10&gt;=10,Sheet2!J12,"")</f>
        <v>1.1010833333333334</v>
      </c>
      <c r="L25" s="79" t="str">
        <f>IF(Sheet1!H10&gt;=11,Sheet2!J13,"")</f>
        <v/>
      </c>
      <c r="M25" s="80" t="str">
        <f>IF(Sheet1!H10&gt;=12,Sheet2!J14,"")</f>
        <v/>
      </c>
      <c r="N25" s="13"/>
      <c r="AC25" s="50"/>
    </row>
    <row r="26" spans="1:29" ht="20" customHeight="1" x14ac:dyDescent="0.45">
      <c r="A26" s="81" t="s">
        <v>14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3"/>
      <c r="N26" s="1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9" ht="20" customHeight="1" x14ac:dyDescent="0.45">
      <c r="A27" s="71" t="s">
        <v>21</v>
      </c>
      <c r="B27" s="71" t="s">
        <v>22</v>
      </c>
      <c r="C27" s="71" t="s">
        <v>23</v>
      </c>
      <c r="D27" s="71" t="s">
        <v>24</v>
      </c>
      <c r="E27" s="71" t="s">
        <v>25</v>
      </c>
      <c r="F27" s="71" t="s">
        <v>26</v>
      </c>
      <c r="G27" s="71" t="s">
        <v>27</v>
      </c>
      <c r="H27" s="71" t="s">
        <v>28</v>
      </c>
      <c r="I27" s="71" t="s">
        <v>29</v>
      </c>
      <c r="J27" s="71" t="s">
        <v>30</v>
      </c>
      <c r="K27" s="71" t="s">
        <v>31</v>
      </c>
      <c r="L27" s="71" t="s">
        <v>32</v>
      </c>
      <c r="M27" s="73" t="s">
        <v>33</v>
      </c>
      <c r="N27" s="1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9" ht="20" customHeight="1" x14ac:dyDescent="0.45">
      <c r="A28" s="74" t="s">
        <v>34</v>
      </c>
      <c r="B28" s="75">
        <f>IF(Sheet1!H11&gt;=1,Sheet2!A18,"")</f>
        <v>62.4375</v>
      </c>
      <c r="C28" s="75">
        <f>IF(Sheet1!H11&gt;=2,Sheet2!A19,"")</f>
        <v>170.203125</v>
      </c>
      <c r="D28" s="75">
        <f>IF(Sheet1!H11&gt;=3,Sheet2!A20,"")</f>
        <v>215.53125</v>
      </c>
      <c r="E28" s="75">
        <f>IF(Sheet1!H11&gt;=4,Sheet2!A21,"")</f>
        <v>215.53125</v>
      </c>
      <c r="F28" s="75">
        <f>IF(Sheet1!H11&gt;=5,Sheet2!A22,"")</f>
        <v>215.53125</v>
      </c>
      <c r="G28" s="75">
        <f>IF(Sheet1!H11&gt;=6,Sheet2!A23,"")</f>
        <v>170.203125</v>
      </c>
      <c r="H28" s="75" t="str">
        <f>IF(Sheet1!H11&gt;=7,Sheet2!A24,"")</f>
        <v>A7</v>
      </c>
      <c r="I28" s="75" t="str">
        <f>IF(Sheet1!H11&gt;=8,Sheet2!A25,"")</f>
        <v>A8</v>
      </c>
      <c r="J28" s="75" t="str">
        <f>IF(Sheet1!H11&gt;=9,Sheet2!A26,"")</f>
        <v>A9</v>
      </c>
      <c r="K28" s="75" t="str">
        <f>IF(Sheet1!H11&gt;=10,Sheet2!A27,"")</f>
        <v>A10</v>
      </c>
      <c r="L28" s="75" t="str">
        <f>IF(Sheet1!H11&gt;=11,Sheet2!A28,"")</f>
        <v>A11</v>
      </c>
      <c r="M28" s="76" t="str">
        <f>IF(Sheet1!H11&gt;=12,Sheet2!A29,"")</f>
        <v>A12</v>
      </c>
      <c r="N28" s="1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9" ht="20" customHeight="1" x14ac:dyDescent="0.45">
      <c r="A29" s="74" t="s">
        <v>35</v>
      </c>
      <c r="B29" s="75">
        <f>IF(Sheet1!H11&gt;=1,Sheet2!B18,"")</f>
        <v>20.8125</v>
      </c>
      <c r="C29" s="75">
        <f>IF(Sheet1!H11&gt;=2,Sheet2!B19,"")</f>
        <v>41.625</v>
      </c>
      <c r="D29" s="75">
        <f>IF(Sheet1!H11&gt;=3,Sheet2!B20,"")</f>
        <v>62.4375</v>
      </c>
      <c r="E29" s="75">
        <f>IF(Sheet1!H11&gt;=4,Sheet2!B21,"")</f>
        <v>107.765625</v>
      </c>
      <c r="F29" s="75">
        <f>IF(Sheet1!H11&gt;=5,Sheet2!B22,"")</f>
        <v>107.765625</v>
      </c>
      <c r="G29" s="75">
        <f>IF(Sheet1!H11&gt;=6,Sheet2!B23,"")</f>
        <v>107.765625</v>
      </c>
      <c r="H29" s="75">
        <f>IF(Sheet1!H11&gt;=7,Sheet2!B24,"")</f>
        <v>107.765625</v>
      </c>
      <c r="I29" s="75">
        <f>IF(Sheet1!H11&gt;=8,Sheet2!B25,"")</f>
        <v>107.765625</v>
      </c>
      <c r="J29" s="75">
        <f>IF(Sheet1!H11&gt;=9,Sheet2!B26,"")</f>
        <v>107.765625</v>
      </c>
      <c r="K29" s="75">
        <f>IF(Sheet1!H11&gt;=10,Sheet2!B27,"")</f>
        <v>107.765625</v>
      </c>
      <c r="L29" s="75">
        <f>IF(Sheet1!H11&gt;=11,Sheet2!B28,"")</f>
        <v>107.765625</v>
      </c>
      <c r="M29" s="76">
        <f>IF(Sheet1!H11&gt;=12,Sheet2!B29,"")</f>
        <v>62.4375</v>
      </c>
      <c r="N29" s="1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9" ht="20" customHeight="1" x14ac:dyDescent="0.45">
      <c r="A30" s="77" t="s">
        <v>36</v>
      </c>
      <c r="B30" s="75">
        <f>IF(Sheet1!H11&gt;=1,Sheet2!C18,"")</f>
        <v>1.951171875</v>
      </c>
      <c r="C30" s="75">
        <f>IF(Sheet1!H11&gt;=2,Sheet2!C19,"")</f>
        <v>5.31884765625</v>
      </c>
      <c r="D30" s="75">
        <f>IF(Sheet1!H11&gt;=3,Sheet2!C20,"")</f>
        <v>4.490234375</v>
      </c>
      <c r="E30" s="75">
        <f>IF(Sheet1!H11&gt;=4,Sheet2!C21,"")</f>
        <v>4.490234375</v>
      </c>
      <c r="F30" s="75">
        <f>IF(Sheet1!H11&gt;=5,Sheet2!C22,"")</f>
        <v>4.490234375</v>
      </c>
      <c r="G30" s="75">
        <f>IF(Sheet1!H11&gt;=6,Sheet2!C23,"")</f>
        <v>3.5458984375</v>
      </c>
      <c r="H30" s="75" t="str">
        <f>IF(Sheet1!H11&gt;=7,Sheet2!C24,"")</f>
        <v>C7</v>
      </c>
      <c r="I30" s="75" t="str">
        <f>IF(Sheet1!H11&gt;=8,Sheet2!C25,"")</f>
        <v>C8</v>
      </c>
      <c r="J30" s="75" t="str">
        <f>IF(Sheet1!H11&gt;=9,Sheet2!C26,"")</f>
        <v>C9</v>
      </c>
      <c r="K30" s="75" t="str">
        <f>IF(Sheet1!H11&gt;=10,Sheet2!C27,"")</f>
        <v>C10</v>
      </c>
      <c r="L30" s="75" t="str">
        <f>IF(Sheet1!H11&gt;=11,Sheet2!C28,"")</f>
        <v>C11</v>
      </c>
      <c r="M30" s="76" t="str">
        <f>IF(Sheet1!H11&gt;=12,Sheet2!C29,"")</f>
        <v>C12</v>
      </c>
      <c r="N30" s="1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9" ht="20" customHeight="1" x14ac:dyDescent="0.45">
      <c r="A31" s="77" t="s">
        <v>41</v>
      </c>
      <c r="B31" s="75">
        <f>IF(Sheet1!H11&gt;=1,Sheet2!E18,"")</f>
        <v>3.90234375</v>
      </c>
      <c r="C31" s="75">
        <f>IF(Sheet1!H11&gt;=2,Sheet2!E19,"")</f>
        <v>7.8046875</v>
      </c>
      <c r="D31" s="75">
        <f>IF(Sheet1!H11&gt;=3,Sheet2!E20,"")</f>
        <v>11.70703125</v>
      </c>
      <c r="E31" s="75">
        <f>IF(Sheet1!H11&gt;=4,Sheet2!E21,"")</f>
        <v>13.470703125</v>
      </c>
      <c r="F31" s="75">
        <f>IF(Sheet1!H11&gt;=5,Sheet2!E22,"")</f>
        <v>13.470703125</v>
      </c>
      <c r="G31" s="75">
        <f>IF(Sheet1!H11&gt;=6,Sheet2!E23,"")</f>
        <v>13.470703125</v>
      </c>
      <c r="H31" s="75">
        <f>IF(Sheet1!H11&gt;=7,Sheet2!E24,"")</f>
        <v>13.470703125</v>
      </c>
      <c r="I31" s="75">
        <f>IF(Sheet1!H11&gt;=8,Sheet2!E25,"")</f>
        <v>13.470703125</v>
      </c>
      <c r="J31" s="75">
        <f>IF(Sheet1!H11&gt;=9,Sheet2!E26,"")</f>
        <v>13.470703125</v>
      </c>
      <c r="K31" s="75">
        <f>IF(Sheet1!H11&gt;=10,Sheet2!E27,"")</f>
        <v>13.470703125</v>
      </c>
      <c r="L31" s="75">
        <f>IF(Sheet1!H11&gt;=11,Sheet2!E28,"")</f>
        <v>13.470703125</v>
      </c>
      <c r="M31" s="76">
        <f>IF(Sheet1!H11&gt;=12,Sheet2!E29,"")</f>
        <v>7.8046875</v>
      </c>
      <c r="N31" s="1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9" ht="20" customHeight="1" x14ac:dyDescent="0.45">
      <c r="A32" s="77" t="s">
        <v>38</v>
      </c>
      <c r="B32" s="75">
        <f>IF(Sheet1!H11&gt;=1,Sheet2!H18,"")</f>
        <v>1</v>
      </c>
      <c r="C32" s="75">
        <f>IF(Sheet1!H11&gt;=2,Sheet2!H19,"")</f>
        <v>1.951171875</v>
      </c>
      <c r="D32" s="75">
        <f>IF(Sheet1!H11&gt;=3,Sheet2!H20,"")</f>
        <v>2.9267578125</v>
      </c>
      <c r="E32" s="75">
        <f>IF(Sheet1!H11&gt;=4,Sheet2!H21,"")</f>
        <v>3.36767578125</v>
      </c>
      <c r="F32" s="75">
        <f>IF(Sheet1!H11&gt;=5,Sheet2!H22,"")</f>
        <v>3.36767578125</v>
      </c>
      <c r="G32" s="75">
        <f>IF(Sheet1!H11&gt;=6,Sheet2!H23,"")</f>
        <v>3.36767578125</v>
      </c>
      <c r="H32" s="75">
        <f>IF(Sheet1!H11&gt;=7,Sheet2!H24,"")</f>
        <v>3.36767578125</v>
      </c>
      <c r="I32" s="75">
        <f>IF(Sheet1!H11&gt;=8,Sheet2!H25,"")</f>
        <v>3.36767578125</v>
      </c>
      <c r="J32" s="75">
        <f>IF(Sheet1!H11&gt;=9,Sheet2!H26,"")</f>
        <v>3.36767578125</v>
      </c>
      <c r="K32" s="75">
        <f>IF(Sheet1!H11&gt;=10,Sheet2!H27,"")</f>
        <v>3.36767578125</v>
      </c>
      <c r="L32" s="75">
        <f>IF(Sheet1!H11&gt;=11,Sheet2!H28,"")</f>
        <v>3.36767578125</v>
      </c>
      <c r="M32" s="76">
        <f>IF(Sheet1!H11&gt;=12,Sheet2!H29,"")</f>
        <v>1.951171875</v>
      </c>
      <c r="N32" s="1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20" customHeight="1" x14ac:dyDescent="0.45">
      <c r="A33" s="77" t="s">
        <v>39</v>
      </c>
      <c r="B33" s="75">
        <f>IF(Sheet1!H11&gt;=1,Sheet2!I18,"")</f>
        <v>1</v>
      </c>
      <c r="C33" s="75">
        <f>IF(Sheet1!H11&gt;=2,Sheet2!I19,"")</f>
        <v>1</v>
      </c>
      <c r="D33" s="75">
        <f>IF(Sheet1!H11&gt;=3,Sheet2!I20,"")</f>
        <v>1</v>
      </c>
      <c r="E33" s="75">
        <f>IF(Sheet1!H11&gt;=4,Sheet2!I21,"")</f>
        <v>1</v>
      </c>
      <c r="F33" s="75">
        <f>IF(Sheet1!H11&gt;=5,Sheet2!I22,"")</f>
        <v>1</v>
      </c>
      <c r="G33" s="75">
        <f>IF(Sheet1!H11&gt;=6,Sheet2!I23,"")</f>
        <v>1</v>
      </c>
      <c r="H33" s="75">
        <f>IF(Sheet1!H11&gt;=7,Sheet2!I24,"")</f>
        <v>1</v>
      </c>
      <c r="I33" s="75">
        <f>IF(Sheet1!H11&gt;=8,Sheet2!I25,"")</f>
        <v>1</v>
      </c>
      <c r="J33" s="75">
        <f>IF(Sheet1!H11&gt;=9,Sheet2!I26,"")</f>
        <v>1</v>
      </c>
      <c r="K33" s="75">
        <f>IF(Sheet1!H11&gt;=10,Sheet2!I27,"")</f>
        <v>1</v>
      </c>
      <c r="L33" s="75">
        <f>IF(Sheet1!H11&gt;=11,Sheet2!I28,"")</f>
        <v>1</v>
      </c>
      <c r="M33" s="76">
        <f>IF(Sheet1!H11&gt;=12,Sheet2!I29,"")</f>
        <v>1</v>
      </c>
      <c r="N33" s="1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20" customHeight="1" x14ac:dyDescent="0.45">
      <c r="A34" s="77" t="s">
        <v>40</v>
      </c>
      <c r="B34" s="79">
        <f>IF(Sheet1!H11&gt;=1,Sheet2!J18,"")</f>
        <v>1</v>
      </c>
      <c r="C34" s="79">
        <f>IF(Sheet1!H11&gt;=2,Sheet2!J19,"")</f>
        <v>1</v>
      </c>
      <c r="D34" s="79">
        <f>IF(Sheet1!H11&gt;=3,Sheet2!J20,"")</f>
        <v>1</v>
      </c>
      <c r="E34" s="79">
        <f>IF(Sheet1!H11&gt;=4,Sheet2!J21,"")</f>
        <v>1.07765625</v>
      </c>
      <c r="F34" s="79">
        <f>IF(Sheet1!H11&gt;=5,Sheet2!J22,"")</f>
        <v>1.07765625</v>
      </c>
      <c r="G34" s="79">
        <f>IF(Sheet1!H11&gt;=6,Sheet2!J23,"")</f>
        <v>1.07765625</v>
      </c>
      <c r="H34" s="79">
        <f>IF(Sheet1!H11&gt;=7,Sheet2!J24,"")</f>
        <v>1.07765625</v>
      </c>
      <c r="I34" s="79">
        <f>IF(Sheet1!H11&gt;=8,Sheet2!J25,"")</f>
        <v>1.07765625</v>
      </c>
      <c r="J34" s="79">
        <f>IF(Sheet1!H11&gt;=9,Sheet2!J26,"")</f>
        <v>1.07765625</v>
      </c>
      <c r="K34" s="79">
        <f>IF(Sheet1!H11&gt;=10,Sheet2!J27,"")</f>
        <v>1.07765625</v>
      </c>
      <c r="L34" s="79">
        <f>IF(Sheet1!H11&gt;=11,Sheet2!J28,"")</f>
        <v>1.07765625</v>
      </c>
      <c r="M34" s="80">
        <f>IF(Sheet1!H11&gt;=12,Sheet2!J29,"")</f>
        <v>1</v>
      </c>
      <c r="N34" s="1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20" customHeight="1" x14ac:dyDescent="0.45">
      <c r="A35" s="81" t="s">
        <v>12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3"/>
      <c r="N35" s="13"/>
    </row>
    <row r="36" spans="1:27" ht="20" customHeight="1" x14ac:dyDescent="0.45">
      <c r="A36" s="71" t="s">
        <v>21</v>
      </c>
      <c r="B36" s="71" t="s">
        <v>22</v>
      </c>
      <c r="C36" s="71" t="s">
        <v>23</v>
      </c>
      <c r="D36" s="71" t="s">
        <v>24</v>
      </c>
      <c r="E36" s="71" t="s">
        <v>25</v>
      </c>
      <c r="F36" s="71" t="s">
        <v>26</v>
      </c>
      <c r="G36" s="71" t="s">
        <v>27</v>
      </c>
      <c r="H36" s="72" t="s">
        <v>28</v>
      </c>
      <c r="I36" s="71" t="s">
        <v>29</v>
      </c>
      <c r="J36" s="71" t="s">
        <v>30</v>
      </c>
      <c r="K36" s="71" t="s">
        <v>31</v>
      </c>
      <c r="L36" s="71" t="s">
        <v>32</v>
      </c>
      <c r="M36" s="73" t="s">
        <v>33</v>
      </c>
      <c r="N36" s="13"/>
    </row>
    <row r="37" spans="1:27" ht="20" customHeight="1" x14ac:dyDescent="0.45">
      <c r="A37" s="74" t="s">
        <v>34</v>
      </c>
      <c r="B37" s="75">
        <f>IF(Sheet1!H12&gt;=1,Sheet2!A33,"")</f>
        <v>118.5</v>
      </c>
      <c r="C37" s="75">
        <f>IF(Sheet1!H12&gt;=2,Sheet2!A34,"")</f>
        <v>666.5</v>
      </c>
      <c r="D37" s="75">
        <f>IF(Sheet1!H12&gt;=3,Sheet2!A35,"")</f>
        <v>1096</v>
      </c>
      <c r="E37" s="75">
        <f>IF(Sheet1!H12&gt;=4,Sheet2!A36,"")</f>
        <v>1096</v>
      </c>
      <c r="F37" s="75">
        <f>IF(Sheet1!H12&gt;=5,Sheet2!A37,"")</f>
        <v>1096</v>
      </c>
      <c r="G37" s="75" t="str">
        <f>IF(Sheet1!H12&gt;=6,Sheet2!A38,"")</f>
        <v/>
      </c>
      <c r="H37" s="75" t="str">
        <f>IF(Sheet1!H12&gt;=7,Sheet2!A39,"")</f>
        <v/>
      </c>
      <c r="I37" s="75" t="str">
        <f>IF(Sheet1!H12&gt;=8,Sheet2!A40,"")</f>
        <v/>
      </c>
      <c r="J37" s="75" t="str">
        <f>IF(Sheet1!H12&gt;=9,Sheet2!A41,"")</f>
        <v/>
      </c>
      <c r="K37" s="75" t="str">
        <f>IF(Sheet1!H12&gt;=10,Sheet2!A42,"")</f>
        <v/>
      </c>
      <c r="L37" s="75" t="str">
        <f>IF(Sheet1!H12&gt;=11,Sheet2!A43,"")</f>
        <v/>
      </c>
      <c r="M37" s="76" t="str">
        <f>IF(Sheet1!H12&gt;=12,Sheet2!A44,"")</f>
        <v/>
      </c>
      <c r="N37" s="13"/>
    </row>
    <row r="38" spans="1:27" ht="20" customHeight="1" x14ac:dyDescent="0.45">
      <c r="A38" s="74" t="s">
        <v>35</v>
      </c>
      <c r="B38" s="75">
        <f>IF(Sheet1!H12&gt;=1,Sheet2!B33,"")</f>
        <v>39.5</v>
      </c>
      <c r="C38" s="75">
        <f>IF(Sheet1!H12&gt;=2,Sheet2!B34,"")</f>
        <v>79</v>
      </c>
      <c r="D38" s="75">
        <f>IF(Sheet1!H12&gt;=3,Sheet2!B35,"")</f>
        <v>118.5</v>
      </c>
      <c r="E38" s="75">
        <f>IF(Sheet1!H12&gt;=4,Sheet2!B36,"")</f>
        <v>548</v>
      </c>
      <c r="F38" s="75">
        <f>IF(Sheet1!H12&gt;=5,Sheet2!B37,"")</f>
        <v>548</v>
      </c>
      <c r="G38" s="75" t="str">
        <f>IF(Sheet1!H12&gt;=6,Sheet2!B38,"")</f>
        <v/>
      </c>
      <c r="H38" s="75" t="str">
        <f>IF(Sheet1!H12&gt;=7,Sheet2!B39,"")</f>
        <v/>
      </c>
      <c r="I38" s="75" t="str">
        <f>IF(Sheet1!H12&gt;=8,Sheet2!B40,"")</f>
        <v/>
      </c>
      <c r="J38" s="75" t="str">
        <f>IF(Sheet1!H12&gt;=9,Sheet2!B41,"")</f>
        <v/>
      </c>
      <c r="K38" s="75" t="str">
        <f>IF(Sheet1!H12&gt;=10,Sheet2!B42,"")</f>
        <v/>
      </c>
      <c r="L38" s="75" t="str">
        <f>IF(Sheet1!H12&gt;=11,Sheet2!B43,"")</f>
        <v/>
      </c>
      <c r="M38" s="76" t="str">
        <f>IF(Sheet1!H12&gt;=12,Sheet2!B44,"")</f>
        <v/>
      </c>
      <c r="N38" s="13"/>
    </row>
    <row r="39" spans="1:27" ht="20" customHeight="1" x14ac:dyDescent="0.45">
      <c r="A39" s="84" t="s">
        <v>42</v>
      </c>
      <c r="B39" s="75">
        <f>IF(Sheet1!H12&gt;=1,Sheet2!C33,"")</f>
        <v>3.703125</v>
      </c>
      <c r="C39" s="75">
        <f>IF(Sheet1!H12&gt;=2,Sheet2!C34,"")</f>
        <v>20.828125</v>
      </c>
      <c r="D39" s="75">
        <f>IF(Sheet1!H12&gt;=3,Sheet2!C35,"")</f>
        <v>22.833333333333332</v>
      </c>
      <c r="E39" s="75">
        <f>IF(Sheet1!H12&gt;=4,Sheet2!C36,"")</f>
        <v>22.833333333333332</v>
      </c>
      <c r="F39" s="75">
        <f>IF(Sheet1!H12&gt;=5,Sheet2!C37,"")</f>
        <v>22.833333333333332</v>
      </c>
      <c r="G39" s="75" t="str">
        <f>IF(Sheet1!H12&gt;=6,Sheet2!C38,"")</f>
        <v/>
      </c>
      <c r="H39" s="75" t="str">
        <f>IF(Sheet1!H12&gt;=7,Sheet2!C39,"")</f>
        <v/>
      </c>
      <c r="I39" s="75" t="str">
        <f>IF(Sheet1!H12&gt;=8,Sheet2!C40,"")</f>
        <v/>
      </c>
      <c r="J39" s="75" t="str">
        <f>IF(Sheet1!H12&gt;=9,Sheet2!C41,"")</f>
        <v/>
      </c>
      <c r="K39" s="75" t="str">
        <f>IF(Sheet1!H12&gt;=10,Sheet2!C42,"")</f>
        <v/>
      </c>
      <c r="L39" s="75" t="str">
        <f>IF(Sheet1!H12&gt;=11,Sheet2!C43,"")</f>
        <v/>
      </c>
      <c r="M39" s="76" t="str">
        <f>IF(Sheet1!H12&gt;=12,Sheet2!C44,"")</f>
        <v/>
      </c>
      <c r="N39" s="13"/>
    </row>
    <row r="40" spans="1:27" ht="20" customHeight="1" x14ac:dyDescent="0.45">
      <c r="A40" s="84" t="s">
        <v>41</v>
      </c>
      <c r="B40" s="75">
        <f>IF(Sheet1!H12&gt;=1,Sheet2!F33,"")</f>
        <v>9.875</v>
      </c>
      <c r="C40" s="75">
        <f>IF(Sheet1!H12&gt;=2,Sheet2!F34,"")</f>
        <v>19.75</v>
      </c>
      <c r="D40" s="75">
        <f>IF(Sheet1!H12&gt;=3,Sheet2!F35,"")</f>
        <v>29.625</v>
      </c>
      <c r="E40" s="75">
        <f>IF(Sheet1!H12&gt;=4,Sheet2!F36,"")</f>
        <v>91.333333333333329</v>
      </c>
      <c r="F40" s="75">
        <f>IF(Sheet1!H12&gt;=5,Sheet2!F37,"")</f>
        <v>91.333333333333329</v>
      </c>
      <c r="G40" s="75" t="str">
        <f>IF(Sheet1!H12&gt;=6,Sheet2!F38,"")</f>
        <v/>
      </c>
      <c r="H40" s="75" t="str">
        <f>IF(Sheet1!H12&gt;=7,Sheet2!F39,"")</f>
        <v/>
      </c>
      <c r="I40" s="75" t="str">
        <f>IF(Sheet1!H12&gt;=8,Sheet2!F40,"")</f>
        <v/>
      </c>
      <c r="J40" s="75" t="str">
        <f>IF(Sheet1!H12&gt;=9,Sheet2!F41,"")</f>
        <v/>
      </c>
      <c r="K40" s="75" t="str">
        <f>IF(Sheet1!H12&gt;=10,Sheet2!F42,"")</f>
        <v/>
      </c>
      <c r="L40" s="75" t="str">
        <f>IF(Sheet1!H12&gt;=11,Sheet2!F43,"")</f>
        <v/>
      </c>
      <c r="M40" s="76" t="str">
        <f>IF(Sheet1!H12&gt;=12,Sheet2!F44,"")</f>
        <v/>
      </c>
      <c r="N40" s="13"/>
    </row>
    <row r="41" spans="1:27" ht="20" customHeight="1" x14ac:dyDescent="0.45">
      <c r="A41" s="77" t="s">
        <v>38</v>
      </c>
      <c r="B41" s="75">
        <f>IF(Sheet1!H12&gt;=1,Sheet2!H33,"")</f>
        <v>2.46875</v>
      </c>
      <c r="C41" s="75">
        <f>IF(Sheet1!H12&gt;=2,Sheet2!H34,"")</f>
        <v>4.9375</v>
      </c>
      <c r="D41" s="75">
        <f>IF(Sheet1!H12&gt;=3,Sheet2!H35,"")</f>
        <v>7.40625</v>
      </c>
      <c r="E41" s="75">
        <f>IF(Sheet1!H12&gt;=4,Sheet2!H36,"")</f>
        <v>22.833333333333332</v>
      </c>
      <c r="F41" s="75">
        <f>IF(Sheet1!H12&gt;=5,Sheet2!H37,"")</f>
        <v>22.833333333333332</v>
      </c>
      <c r="G41" s="75" t="str">
        <f>IF(Sheet1!H12&gt;=6,Sheet2!H38,"")</f>
        <v/>
      </c>
      <c r="H41" s="75" t="str">
        <f>IF(Sheet1!H12&gt;=7,Sheet2!H39,"")</f>
        <v/>
      </c>
      <c r="I41" s="75" t="str">
        <f>IF(Sheet1!H12&gt;=8,Sheet2!H40,"")</f>
        <v/>
      </c>
      <c r="J41" s="75" t="str">
        <f>IF(Sheet1!H12&gt;=9,Sheet2!H41,"")</f>
        <v/>
      </c>
      <c r="K41" s="75" t="str">
        <f>IF(Sheet1!H12&gt;=10,Sheet2!H42,"")</f>
        <v/>
      </c>
      <c r="L41" s="75" t="str">
        <f>IF(Sheet1!H12&gt;=11,Sheet2!H43,"")</f>
        <v/>
      </c>
      <c r="M41" s="76" t="str">
        <f>IF(Sheet1!H12&gt;=12,Sheet2!H44,"")</f>
        <v/>
      </c>
      <c r="N41" s="13"/>
    </row>
    <row r="42" spans="1:27" ht="20" customHeight="1" x14ac:dyDescent="0.45">
      <c r="A42" s="77" t="s">
        <v>39</v>
      </c>
      <c r="B42" s="75">
        <f>IF(Sheet1!H12&gt;=1,Sheet2!I33,"")</f>
        <v>1</v>
      </c>
      <c r="C42" s="75">
        <f>IF(Sheet1!H12&gt;=2,Sheet2!I34,"")</f>
        <v>1.234375</v>
      </c>
      <c r="D42" s="75">
        <f>IF(Sheet1!H12&gt;=3,Sheet2!I35,"")</f>
        <v>1.8515625</v>
      </c>
      <c r="E42" s="75">
        <f>IF(Sheet1!H12&gt;=4,Sheet2!I36,"")</f>
        <v>5.708333333333333</v>
      </c>
      <c r="F42" s="75">
        <f>IF(Sheet1!H12&gt;=5,Sheet2!I37,"")</f>
        <v>5.708333333333333</v>
      </c>
      <c r="G42" s="75" t="str">
        <f>IF(Sheet1!H12&gt;=6,Sheet2!I38,"")</f>
        <v/>
      </c>
      <c r="H42" s="75" t="str">
        <f>IF(Sheet1!H12&gt;=7,Sheet2!I39,"")</f>
        <v/>
      </c>
      <c r="I42" s="75" t="str">
        <f>IF(Sheet1!H12&gt;=8,Sheet2!I40,"")</f>
        <v/>
      </c>
      <c r="J42" s="75" t="str">
        <f>IF(Sheet1!H12&gt;=9,Sheet2!I41,"")</f>
        <v/>
      </c>
      <c r="K42" s="75" t="str">
        <f>IF(Sheet1!H12&gt;=10,Sheet2!I42,"")</f>
        <v/>
      </c>
      <c r="L42" s="75" t="str">
        <f>IF(Sheet1!H12&gt;=11,Sheet2!I43,"")</f>
        <v/>
      </c>
      <c r="M42" s="76" t="str">
        <f>IF(Sheet1!H12&gt;=12,Sheet2!I44,"")</f>
        <v/>
      </c>
      <c r="N42" s="13"/>
    </row>
    <row r="43" spans="1:27" ht="20" customHeight="1" x14ac:dyDescent="0.45">
      <c r="A43" s="77" t="s">
        <v>40</v>
      </c>
      <c r="B43" s="79">
        <f>IF(Sheet1!H12&gt;=1,Sheet2!J33,"")</f>
        <v>1</v>
      </c>
      <c r="C43" s="79">
        <f>IF(Sheet1!H12&gt;=2,Sheet2!J34,"")</f>
        <v>1</v>
      </c>
      <c r="D43" s="79">
        <f>IF(Sheet1!H12&gt;=3,Sheet2!J35,"")</f>
        <v>1.1850000000000001</v>
      </c>
      <c r="E43" s="79">
        <f>IF(Sheet1!H12&gt;=4,Sheet2!J36,"")</f>
        <v>5.48</v>
      </c>
      <c r="F43" s="79">
        <f>IF(Sheet1!H12&gt;=5,Sheet2!J37,"")</f>
        <v>5.48</v>
      </c>
      <c r="G43" s="79" t="str">
        <f>IF(Sheet1!H12&gt;=6,Sheet2!J38,"")</f>
        <v/>
      </c>
      <c r="H43" s="79" t="str">
        <f>IF(Sheet1!H12&gt;=7,Sheet2!J39,"")</f>
        <v/>
      </c>
      <c r="I43" s="79" t="str">
        <f>IF(Sheet1!H12&gt;=8,Sheet2!J40,"")</f>
        <v/>
      </c>
      <c r="J43" s="79" t="str">
        <f>IF(Sheet1!H12&gt;=9,Sheet2!J41,"")</f>
        <v/>
      </c>
      <c r="K43" s="79" t="str">
        <f>IF(Sheet1!H12&gt;=10,Sheet2!J42,"")</f>
        <v/>
      </c>
      <c r="L43" s="79" t="str">
        <f>IF(Sheet1!H12&gt;=11,Sheet2!J43,"")</f>
        <v/>
      </c>
      <c r="M43" s="80" t="str">
        <f>IF(Sheet1!H12&gt;=12,Sheet2!J44,"")</f>
        <v/>
      </c>
      <c r="N43" s="13"/>
    </row>
    <row r="44" spans="1:27" ht="20" customHeight="1" x14ac:dyDescent="0.45">
      <c r="A44" s="81" t="s">
        <v>15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3"/>
    </row>
    <row r="45" spans="1:27" ht="20" customHeight="1" x14ac:dyDescent="0.35">
      <c r="A45" s="71" t="s">
        <v>21</v>
      </c>
      <c r="B45" s="71" t="s">
        <v>22</v>
      </c>
      <c r="C45" s="71" t="s">
        <v>23</v>
      </c>
      <c r="D45" s="71" t="s">
        <v>24</v>
      </c>
      <c r="E45" s="71" t="s">
        <v>25</v>
      </c>
      <c r="F45" s="71" t="s">
        <v>26</v>
      </c>
      <c r="G45" s="71" t="s">
        <v>27</v>
      </c>
      <c r="H45" s="71" t="s">
        <v>28</v>
      </c>
      <c r="I45" s="71" t="s">
        <v>29</v>
      </c>
      <c r="J45" s="71" t="s">
        <v>30</v>
      </c>
      <c r="K45" s="71" t="s">
        <v>31</v>
      </c>
      <c r="L45" s="71" t="s">
        <v>32</v>
      </c>
      <c r="M45" s="73" t="s">
        <v>33</v>
      </c>
    </row>
    <row r="46" spans="1:27" ht="20" customHeight="1" x14ac:dyDescent="0.35">
      <c r="A46" s="74" t="s">
        <v>34</v>
      </c>
      <c r="B46" s="75">
        <f>IF(Sheet1!H13&gt;=1,Sheet2!A48,"")</f>
        <v>41.625</v>
      </c>
      <c r="C46" s="75">
        <f>IF(Sheet1!H13&gt;=2,Sheet2!A49,"")</f>
        <v>118.58333333333333</v>
      </c>
      <c r="D46" s="75">
        <f>IF(Sheet1!H13&gt;=3,Sheet2!A50,"")</f>
        <v>153.91666666666666</v>
      </c>
      <c r="E46" s="75">
        <f>IF(Sheet1!H13&gt;=4,Sheet2!A51,"")</f>
        <v>153.91666666666666</v>
      </c>
      <c r="F46" s="75">
        <f>IF(Sheet1!H13&gt;=5,Sheet2!A52,"")</f>
        <v>153.91666666666666</v>
      </c>
      <c r="G46" s="75">
        <f>IF(Sheet1!H13&gt;=6,Sheet2!A53,"")</f>
        <v>118.58333333333333</v>
      </c>
      <c r="H46" s="75" t="str">
        <f>IF(Sheet1!H13&gt;=7,Sheet2!A54,"")</f>
        <v>A7</v>
      </c>
      <c r="I46" s="75" t="str">
        <f>IF(Sheet1!H13&gt;=8,Sheet2!A55,"")</f>
        <v>A8</v>
      </c>
      <c r="J46" s="75" t="str">
        <f>IF(Sheet1!H13&gt;=9,Sheet2!A56,"")</f>
        <v>A9</v>
      </c>
      <c r="K46" s="75" t="str">
        <f>IF(Sheet1!H13&gt;=10,Sheet2!A57,"")</f>
        <v>A10</v>
      </c>
      <c r="L46" s="75" t="str">
        <f>IF(Sheet1!H13&gt;=11,Sheet2!A58,"")</f>
        <v/>
      </c>
      <c r="M46" s="76" t="str">
        <f>IF(Sheet1!H13&gt;=12,Sheet2!A59,"")</f>
        <v/>
      </c>
    </row>
    <row r="47" spans="1:27" ht="20" customHeight="1" x14ac:dyDescent="0.35">
      <c r="A47" s="74" t="s">
        <v>35</v>
      </c>
      <c r="B47" s="75">
        <f>IF(Sheet1!H13&gt;=1,Sheet2!B48,"")</f>
        <v>13.875</v>
      </c>
      <c r="C47" s="75">
        <f>IF(Sheet1!H13&gt;=2,Sheet2!B49,"")</f>
        <v>27.75</v>
      </c>
      <c r="D47" s="75">
        <f>IF(Sheet1!H13&gt;=3,Sheet2!B50,"")</f>
        <v>41.625</v>
      </c>
      <c r="E47" s="75">
        <f>IF(Sheet1!H13&gt;=4,Sheet2!B51,"")</f>
        <v>76.958333333333329</v>
      </c>
      <c r="F47" s="75">
        <f>IF(Sheet1!H13&gt;=5,Sheet2!B52,"")</f>
        <v>76.958333333333329</v>
      </c>
      <c r="G47" s="75">
        <f>IF(Sheet1!H13&gt;=6,Sheet2!B53,"")</f>
        <v>76.958333333333329</v>
      </c>
      <c r="H47" s="75">
        <f>IF(Sheet1!H13&gt;=7,Sheet2!B54,"")</f>
        <v>76.958333333333329</v>
      </c>
      <c r="I47" s="75">
        <f>IF(Sheet1!H13&gt;=8,Sheet2!B55,"")</f>
        <v>76.958333333333329</v>
      </c>
      <c r="J47" s="75">
        <f>IF(Sheet1!H13&gt;=9,Sheet2!B56,"")</f>
        <v>76.958333333333329</v>
      </c>
      <c r="K47" s="75">
        <f>IF(Sheet1!H13&gt;=10,Sheet2!B57,"")</f>
        <v>76.958333333333329</v>
      </c>
      <c r="L47" s="75" t="str">
        <f>IF(Sheet1!H13&gt;=11,Sheet2!B58,"")</f>
        <v/>
      </c>
      <c r="M47" s="76" t="str">
        <f>IF(Sheet1!H13&gt;=12,Sheet2!B59,"")</f>
        <v/>
      </c>
    </row>
    <row r="48" spans="1:27" ht="20" customHeight="1" x14ac:dyDescent="0.35">
      <c r="A48" s="84" t="s">
        <v>43</v>
      </c>
      <c r="B48" s="75">
        <f>IF(Sheet1!H13&gt;=1,Sheet2!C48,"")</f>
        <v>1.30078125</v>
      </c>
      <c r="C48" s="75">
        <f>IF(Sheet1!H13&gt;=2,Sheet2!C49,"")</f>
        <v>3.7057291666666665</v>
      </c>
      <c r="D48" s="75">
        <f>IF(Sheet1!H13&gt;=3,Sheet2!C50,"")</f>
        <v>3.2065972222222219</v>
      </c>
      <c r="E48" s="75">
        <f>IF(Sheet1!H13&gt;=4,Sheet2!C51,"")</f>
        <v>3.2065972222222219</v>
      </c>
      <c r="F48" s="75">
        <f>IF(Sheet1!H13&gt;=5,Sheet2!C52,"")</f>
        <v>3.2065972222222219</v>
      </c>
      <c r="G48" s="75">
        <f>IF(Sheet1!H13&gt;=6,Sheet2!C53,"")</f>
        <v>2.4704861111111112</v>
      </c>
      <c r="H48" s="75" t="str">
        <f>IF(Sheet1!H13&gt;=7,Sheet2!C54,"")</f>
        <v>C7</v>
      </c>
      <c r="I48" s="75" t="str">
        <f>IF(Sheet1!H13&gt;=8,Sheet2!C55,"")</f>
        <v>C8</v>
      </c>
      <c r="J48" s="75" t="str">
        <f>IF(Sheet1!H13&gt;=9,Sheet2!C56,"")</f>
        <v>C9</v>
      </c>
      <c r="K48" s="75" t="str">
        <f>IF(Sheet1!H13&gt;=10,Sheet2!C57,"")</f>
        <v>C10</v>
      </c>
      <c r="L48" s="75" t="str">
        <f>IF(Sheet1!H13&gt;=11,Sheet2!C58,"")</f>
        <v/>
      </c>
      <c r="M48" s="76" t="str">
        <f>IF(Sheet1!H13&gt;=12,Sheet2!C59,"")</f>
        <v/>
      </c>
    </row>
    <row r="49" spans="1:13" ht="20" customHeight="1" x14ac:dyDescent="0.35">
      <c r="A49" s="84" t="s">
        <v>41</v>
      </c>
      <c r="B49" s="75">
        <f>IF(Sheet1!H13&gt;=1,Sheet2!G48,"")</f>
        <v>2.6015625</v>
      </c>
      <c r="C49" s="75">
        <f>IF(Sheet1!H13&gt;=2,Sheet2!G49,"")</f>
        <v>5.203125</v>
      </c>
      <c r="D49" s="75">
        <f>IF(Sheet1!H13&gt;=3,Sheet2!G50,"")</f>
        <v>7.8046875</v>
      </c>
      <c r="E49" s="75">
        <f>IF(Sheet1!H13&gt;=4,Sheet2!G51,"")</f>
        <v>9.6197916666666661</v>
      </c>
      <c r="F49" s="75">
        <f>IF(Sheet1!H13&gt;=5,Sheet2!G52,"")</f>
        <v>9.6197916666666661</v>
      </c>
      <c r="G49" s="75">
        <f>IF(Sheet1!H13&gt;=6,Sheet2!G53,"")</f>
        <v>9.6197916666666661</v>
      </c>
      <c r="H49" s="75">
        <f>IF(Sheet1!H13&gt;=7,Sheet2!G54,"")</f>
        <v>9.6197916666666661</v>
      </c>
      <c r="I49" s="75">
        <f>IF(Sheet1!H13&gt;=8,Sheet2!G55,"")</f>
        <v>9.6197916666666661</v>
      </c>
      <c r="J49" s="75">
        <f>IF(Sheet1!H13&gt;=9,Sheet2!G56,"")</f>
        <v>9.6197916666666661</v>
      </c>
      <c r="K49" s="75">
        <f>IF(Sheet1!H13&gt;=10,Sheet2!G57,"")</f>
        <v>9.6197916666666661</v>
      </c>
      <c r="L49" s="75" t="str">
        <f>IF(Sheet1!H13&gt;=11,Sheet2!G58,"")</f>
        <v/>
      </c>
      <c r="M49" s="76" t="str">
        <f>IF(Sheet1!H13&gt;=12,Sheet2!G59,"")</f>
        <v/>
      </c>
    </row>
    <row r="50" spans="1:13" ht="20" customHeight="1" x14ac:dyDescent="0.35">
      <c r="A50" s="77" t="s">
        <v>38</v>
      </c>
      <c r="B50" s="75">
        <f>IF(Sheet1!H13&gt;=1,Sheet2!H48,"")</f>
        <v>1</v>
      </c>
      <c r="C50" s="75">
        <f>IF(Sheet1!H13&gt;=2,Sheet2!H49,"")</f>
        <v>1.30078125</v>
      </c>
      <c r="D50" s="75">
        <f>IF(Sheet1!H13&gt;=3,Sheet2!H50,"")</f>
        <v>1.951171875</v>
      </c>
      <c r="E50" s="75">
        <f>IF(Sheet1!H13&gt;=4,Sheet2!H51,"")</f>
        <v>2.4049479166666665</v>
      </c>
      <c r="F50" s="75">
        <f>IF(Sheet1!H13&gt;=5,Sheet2!H52,"")</f>
        <v>2.4049479166666665</v>
      </c>
      <c r="G50" s="75">
        <f>IF(Sheet1!H13&gt;=6,Sheet2!H53,"")</f>
        <v>2.4049479166666665</v>
      </c>
      <c r="H50" s="75">
        <f>IF(Sheet1!H13&gt;=7,Sheet2!H54,"")</f>
        <v>2.4049479166666665</v>
      </c>
      <c r="I50" s="75">
        <f>IF(Sheet1!H13&gt;=8,Sheet2!H55,"")</f>
        <v>2.4049479166666665</v>
      </c>
      <c r="J50" s="75">
        <f>IF(Sheet1!H13&gt;=9,Sheet2!H56,"")</f>
        <v>2.4049479166666665</v>
      </c>
      <c r="K50" s="75">
        <f>IF(Sheet1!H13&gt;=10,Sheet2!H57,"")</f>
        <v>2.4049479166666665</v>
      </c>
      <c r="L50" s="75" t="str">
        <f>IF(Sheet1!H13&gt;=11,Sheet2!H58,"")</f>
        <v/>
      </c>
      <c r="M50" s="76" t="str">
        <f>IF(Sheet1!H13&gt;=12,Sheet2!H59,"")</f>
        <v/>
      </c>
    </row>
    <row r="51" spans="1:13" ht="20" customHeight="1" x14ac:dyDescent="0.35">
      <c r="A51" s="77" t="s">
        <v>39</v>
      </c>
      <c r="B51" s="75">
        <f>IF(Sheet1!H13&gt;=1,Sheet2!I48,"")</f>
        <v>1</v>
      </c>
      <c r="C51" s="75">
        <f>IF(Sheet1!H13&gt;=2,Sheet2!I49,"")</f>
        <v>1</v>
      </c>
      <c r="D51" s="75">
        <f>IF(Sheet1!H13&gt;=3,Sheet2!I50,"")</f>
        <v>1</v>
      </c>
      <c r="E51" s="75">
        <f>IF(Sheet1!H13&gt;=4,Sheet2!I51,"")</f>
        <v>1</v>
      </c>
      <c r="F51" s="75">
        <f>IF(Sheet1!H13&gt;=5,Sheet2!I52,"")</f>
        <v>1</v>
      </c>
      <c r="G51" s="75">
        <f>IF(Sheet1!H13&gt;=6,Sheet2!I53,"")</f>
        <v>1</v>
      </c>
      <c r="H51" s="75">
        <f>IF(Sheet1!H13&gt;=7,Sheet2!I54,"")</f>
        <v>1</v>
      </c>
      <c r="I51" s="75">
        <f>IF(Sheet1!H13&gt;=8,Sheet2!I55,"")</f>
        <v>1</v>
      </c>
      <c r="J51" s="75">
        <f>IF(Sheet1!H13&gt;=9,Sheet2!I56,"")</f>
        <v>1</v>
      </c>
      <c r="K51" s="75">
        <f>IF(Sheet1!H13&gt;=10,Sheet2!I57,"")</f>
        <v>1</v>
      </c>
      <c r="L51" s="75" t="str">
        <f>IF(Sheet1!H13&gt;=11,Sheet2!I58,"")</f>
        <v/>
      </c>
      <c r="M51" s="76" t="str">
        <f>IF(Sheet1!H13&gt;=12,Sheet2!I59,"")</f>
        <v/>
      </c>
    </row>
    <row r="52" spans="1:13" ht="20" customHeight="1" x14ac:dyDescent="0.35">
      <c r="A52" s="77" t="s">
        <v>40</v>
      </c>
      <c r="B52" s="79">
        <f>IF(Sheet1!H13&gt;=1,Sheet2!J48,"")</f>
        <v>0</v>
      </c>
      <c r="C52" s="79">
        <f>IF(Sheet1!H13&gt;=2,Sheet2!J49,"")</f>
        <v>0</v>
      </c>
      <c r="D52" s="79">
        <f>IF(Sheet1!H13&gt;=3,Sheet2!J50,"")</f>
        <v>0</v>
      </c>
      <c r="E52" s="79">
        <f>IF(Sheet1!H13&gt;=4,Sheet2!J51,"")</f>
        <v>0</v>
      </c>
      <c r="F52" s="79">
        <f>IF(Sheet1!H13&gt;=5,Sheet2!J52,"")</f>
        <v>0</v>
      </c>
      <c r="G52" s="79">
        <f>IF(Sheet1!H13&gt;=6,Sheet2!J53,"")</f>
        <v>0</v>
      </c>
      <c r="H52" s="79">
        <f>IF(Sheet1!H13&gt;=7,Sheet2!J54,"")</f>
        <v>0</v>
      </c>
      <c r="I52" s="79">
        <f>IF(Sheet1!H13&gt;=8,Sheet2!J55,"")</f>
        <v>0</v>
      </c>
      <c r="J52" s="79">
        <f>IF(Sheet1!H13&gt;=9,Sheet2!J56,"")</f>
        <v>0</v>
      </c>
      <c r="K52" s="79">
        <f>IF(Sheet1!H13&gt;=10,Sheet2!J57,"")</f>
        <v>0</v>
      </c>
      <c r="L52" s="79" t="str">
        <f>IF(Sheet1!H13&gt;=11,Sheet2!J58,"")</f>
        <v/>
      </c>
      <c r="M52" s="80" t="str">
        <f>IF(Sheet1!H13&gt;=12,Sheet2!J59,"")</f>
        <v/>
      </c>
    </row>
    <row r="53" spans="1:13" ht="20" customHeight="1" x14ac:dyDescent="0.45">
      <c r="A53" s="81" t="s">
        <v>44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6"/>
    </row>
    <row r="54" spans="1:13" ht="20" customHeight="1" x14ac:dyDescent="0.35">
      <c r="A54" s="87" t="s">
        <v>21</v>
      </c>
      <c r="B54" s="71" t="s">
        <v>22</v>
      </c>
      <c r="C54" s="71" t="s">
        <v>23</v>
      </c>
      <c r="D54" s="71" t="s">
        <v>24</v>
      </c>
      <c r="E54" s="71" t="s">
        <v>25</v>
      </c>
      <c r="F54" s="71" t="s">
        <v>26</v>
      </c>
      <c r="G54" s="71" t="s">
        <v>27</v>
      </c>
      <c r="H54" s="71" t="s">
        <v>28</v>
      </c>
      <c r="I54" s="71" t="s">
        <v>29</v>
      </c>
      <c r="J54" s="71" t="s">
        <v>30</v>
      </c>
      <c r="K54" s="71" t="s">
        <v>31</v>
      </c>
      <c r="L54" s="71" t="s">
        <v>32</v>
      </c>
      <c r="M54" s="73" t="s">
        <v>33</v>
      </c>
    </row>
    <row r="55" spans="1:13" ht="20" customHeight="1" x14ac:dyDescent="0.35">
      <c r="A55" s="88" t="s">
        <v>45</v>
      </c>
      <c r="B55" s="75">
        <f>IF(OR(Sheet1!H10&gt;=1,Sheet1!H12&gt;=1,Sheet1!H11&gt;=1,Sheet1!H13&gt;=1),Sheet2!K3,"")</f>
        <v>1.3333333333333333</v>
      </c>
      <c r="C55" s="75">
        <f>IF(OR(Sheet1!H10&gt;=2,Sheet1!H12&gt;=2,Sheet1!H11&gt;=2,Sheet1!H13&gt;=2),Sheet2!K4,"")</f>
        <v>1.4114583333333333</v>
      </c>
      <c r="D55" s="75">
        <f>IF(OR(Sheet1!H10&gt;=3,Sheet1!H12&gt;=3,Sheet1!H11&gt;=3,Sheet1!H13&gt;=3),Sheet2!K5,"")</f>
        <v>1.6171875</v>
      </c>
      <c r="E55" s="75">
        <f>IF(OR(Sheet1!H10&gt;=4,Sheet1!H12&gt;=4,Sheet1!H11&gt;=4,Sheet1!H13&gt;=4),Sheet2!K6,"")</f>
        <v>2.9517650462962961</v>
      </c>
      <c r="F55" s="75">
        <f>IF(OR(Sheet1!H10&gt;=5,Sheet1!H12&gt;=5,Sheet1!H11&gt;=5,Sheet1!H13&gt;=5),Sheet2!K7,"")</f>
        <v>2.9517650462962961</v>
      </c>
      <c r="G55" s="75">
        <f>IF(OR(Sheet1!H10&gt;=6,Sheet1!H12&gt;=6,Sheet1!H11&gt;=6,Sheet1!H13&gt;=6),Sheet2!K8,"")</f>
        <v>2.9517650462962961</v>
      </c>
      <c r="H55" s="75">
        <f>IF(OR(Sheet1!H10&gt;=7,Sheet1!H12&gt;=7,Sheet1!H11&gt;=7,Sheet1!H13&gt;=7),Sheet2!K9,"")</f>
        <v>2.9517650462962961</v>
      </c>
      <c r="I55" s="75">
        <f>IF(OR(Sheet1!H10&gt;=8,Sheet1!H12&gt;=8,Sheet1!H11&gt;=8,Sheet1!H13&gt;=8),Sheet2!K10,"")</f>
        <v>2.9517650462962961</v>
      </c>
      <c r="J55" s="75">
        <f>IF(OR(Sheet1!H10&gt;=9,Sheet1!H12&gt;=9,Sheet1!H11&gt;=9,Sheet1!H13&gt;=9),Sheet2!K11,"")</f>
        <v>2.9517650462962961</v>
      </c>
      <c r="K55" s="75">
        <f>IF(OR(Sheet1!H10&gt;=10,Sheet1!H12&gt;=10,Sheet1!H11&gt;=10,Sheet1!H13&gt;=10),Sheet2!K12,"")</f>
        <v>2.9517650462962961</v>
      </c>
      <c r="L55" s="75">
        <f>IF(OR(Sheet1!H10&gt;=11,Sheet1!H12&gt;=11,Sheet1!H11&gt;=11,Sheet1!H13&gt;=11),Sheet2!K13,"")</f>
        <v>2.9517650462962961</v>
      </c>
      <c r="M55" s="76">
        <f>IF(OR(Sheet1!H10&gt;=12,Sheet1!H12&gt;=12,Sheet1!H11&gt;=12,Sheet1!H13&gt;=12),Sheet2!K14,"")</f>
        <v>1.4114583333333333</v>
      </c>
    </row>
    <row r="56" spans="1:13" ht="20" customHeight="1" x14ac:dyDescent="0.35">
      <c r="A56" s="88" t="s">
        <v>46</v>
      </c>
      <c r="B56" s="75">
        <f>IF(OR(Sheet1!H10&gt;=1,Sheet1!H12&gt;=1,Sheet1!H11&gt;=1,Sheet1!H13&gt;=1),Sheet2!L3,"")</f>
        <v>1</v>
      </c>
      <c r="C56" s="75">
        <f>IF(OR(Sheet1!H10&gt;=2,Sheet1!H12&gt;=2,Sheet1!H11&gt;=2,Sheet1!H13&gt;=2),Sheet2!L4,"")</f>
        <v>1</v>
      </c>
      <c r="D56" s="75">
        <f>IF(OR(Sheet1!H10&gt;=3,Sheet1!H12&gt;=3,Sheet1!H11&gt;=3,Sheet1!H13&gt;=3),Sheet2!L5,"")</f>
        <v>1</v>
      </c>
      <c r="E56" s="75">
        <f>IF(OR(Sheet1!H10&gt;=4,Sheet1!H12&gt;=4,Sheet1!H11&gt;=4,Sheet1!H13&gt;=4),Sheet2!L6,"")</f>
        <v>1</v>
      </c>
      <c r="F56" s="75">
        <f>IF(OR(Sheet1!H10&gt;=5,Sheet1!H12&gt;=5,Sheet1!H11&gt;=5,Sheet1!H13&gt;=5),Sheet2!L7,"")</f>
        <v>1</v>
      </c>
      <c r="G56" s="75">
        <f>IF(OR(Sheet1!H10&gt;=6,Sheet1!H12&gt;=6,Sheet1!H11&gt;=6,Sheet1!H13&gt;=6),Sheet2!L8,"")</f>
        <v>1</v>
      </c>
      <c r="H56" s="75">
        <f>IF(OR(Sheet1!H10&gt;=7,Sheet1!H12&gt;=7,Sheet1!H11&gt;=7,Sheet1!H13&gt;=7),Sheet2!L9,"")</f>
        <v>1</v>
      </c>
      <c r="I56" s="75">
        <f>IF(OR(Sheet1!H10&gt;=8,Sheet1!H12&gt;=8,Sheet1!H11&gt;=8,Sheet1!H13&gt;=8),Sheet2!L10,"")</f>
        <v>1</v>
      </c>
      <c r="J56" s="75">
        <f>IF(OR(Sheet1!H10&gt;=9,Sheet1!H12&gt;=9,Sheet1!H11&gt;=9,Sheet1!H13&gt;=9),Sheet2!L11,"")</f>
        <v>1</v>
      </c>
      <c r="K56" s="75">
        <f>IF(OR(Sheet1!H10&gt;=10,Sheet1!H12&gt;=10,Sheet1!H11&gt;=10,Sheet1!H13&gt;=10),Sheet2!L12,"")</f>
        <v>1</v>
      </c>
      <c r="L56" s="75">
        <f>IF(OR(Sheet1!H10&gt;=11,Sheet1!H12&gt;=11,Sheet1!H11&gt;=11,Sheet1!H13&gt;=11),Sheet2!L13,"")</f>
        <v>1</v>
      </c>
      <c r="M56" s="89">
        <f>IF(OR(Sheet1!H10&gt;=12,Sheet1!H12&gt;=12,Sheet1!H11&gt;=12,Sheet1!H13&gt;=12),Sheet2!L14,"")</f>
        <v>1</v>
      </c>
    </row>
    <row r="57" spans="1:13" ht="20" customHeight="1" x14ac:dyDescent="0.35">
      <c r="A57" s="88" t="s">
        <v>47</v>
      </c>
      <c r="B57" s="79">
        <f>IF(OR(Sheet1!H10&gt;=1,Sheet1!H12&gt;=1,Sheet1!H11&gt;=1,Sheet1!H13&gt;=1),Sheet2!M3,"")</f>
        <v>1</v>
      </c>
      <c r="C57" s="79">
        <f>IF(OR(Sheet1!H10&gt;=2,Sheet1!H12&gt;=2,Sheet1!H11&gt;=2,Sheet1!H13&gt;=2),Sheet2!M4,"")</f>
        <v>1</v>
      </c>
      <c r="D57" s="79">
        <f>IF(OR(Sheet1!H10&gt;=3,Sheet1!H12&gt;=3,Sheet1!H11&gt;=3,Sheet1!H13&gt;=3),Sheet2!M5,"")</f>
        <v>1.4086875000000001</v>
      </c>
      <c r="E57" s="79">
        <f>IF(OR(Sheet1!H10&gt;=4,Sheet1!H12&gt;=4,Sheet1!H11&gt;=4,Sheet1!H13&gt;=4),Sheet2!M6,"")</f>
        <v>4.2141614583333338</v>
      </c>
      <c r="F57" s="79">
        <f>IF(OR(Sheet1!H10&gt;=5,Sheet1!H12&gt;=5,Sheet1!H11&gt;=5,Sheet1!H13&gt;=5),Sheet2!M7,"")</f>
        <v>4.2141614583333338</v>
      </c>
      <c r="G57" s="79">
        <f>IF(OR(Sheet1!H10&gt;=6,Sheet1!H12&gt;=6,Sheet1!H11&gt;=6,Sheet1!H13&gt;=6),Sheet2!M8,"")</f>
        <v>4.2141614583333338</v>
      </c>
      <c r="H57" s="79">
        <f>IF(OR(Sheet1!H10&gt;=7,Sheet1!H12&gt;=7,Sheet1!H11&gt;=7,Sheet1!H13&gt;=7),Sheet2!M9,"")</f>
        <v>4.2141614583333338</v>
      </c>
      <c r="I57" s="79">
        <f>IF(OR(Sheet1!H10&gt;=8,Sheet1!H12&gt;=8,Sheet1!H11&gt;=8,Sheet1!H13&gt;=8),Sheet2!M10,"")</f>
        <v>4.2141614583333338</v>
      </c>
      <c r="J57" s="79">
        <f>IF(OR(Sheet1!H10&gt;=9,Sheet1!H12&gt;=9,Sheet1!H11&gt;=9,Sheet1!H13&gt;=9),Sheet2!M11,"")</f>
        <v>4.2141614583333338</v>
      </c>
      <c r="K57" s="79">
        <f>IF(OR(Sheet1!H10&gt;=10,Sheet1!H12&gt;=10,Sheet1!H11&gt;=10,Sheet1!H13&gt;=10),Sheet2!M12,"")</f>
        <v>4.2141614583333338</v>
      </c>
      <c r="L57" s="79">
        <f>IF(OR(Sheet1!H10&gt;=11,Sheet1!H12&gt;=11,Sheet1!H11&gt;=11,Sheet1!H13&gt;=11),Sheet2!M13,"")</f>
        <v>4.2141614583333338</v>
      </c>
      <c r="M57" s="65">
        <f>IF(OR(Sheet1!H10&gt;=12,Sheet1!H12&gt;=12,Sheet1!H11&gt;=12,Sheet1!H13&gt;=12),Sheet2!M14,"")</f>
        <v>1.4086875000000001</v>
      </c>
    </row>
    <row r="58" spans="1:13" ht="20" customHeight="1" x14ac:dyDescent="0.35">
      <c r="A58" s="88" t="s">
        <v>48</v>
      </c>
      <c r="B58" s="79">
        <f>IF(OR(Sheet1!H10&gt;=1,Sheet1!H12&gt;=1,Sheet1!H11&gt;=1,Sheet1!H13&gt;=1),Sheet2!N3,"")</f>
        <v>1</v>
      </c>
      <c r="C58" s="79">
        <f>IF(OR(Sheet1!H10&gt;=2,Sheet1!H12&gt;=2,Sheet1!H11&gt;=2,Sheet1!H13&gt;=2),Sheet2!N4,"")</f>
        <v>1.2521666666666667</v>
      </c>
      <c r="D58" s="79">
        <f>IF(OR(Sheet1!H10&gt;=3,Sheet1!H12&gt;=3,Sheet1!H11&gt;=3,Sheet1!H13&gt;=3),Sheet2!N5,"")</f>
        <v>1.87825</v>
      </c>
      <c r="E58" s="79">
        <f>IF(OR(Sheet1!H10&gt;=4,Sheet1!H12&gt;=4,Sheet1!H11&gt;=4,Sheet1!H13&gt;=4),Sheet2!N6,"")</f>
        <v>5.6188819444444444</v>
      </c>
      <c r="F58" s="79">
        <f>IF(OR(Sheet1!H10&gt;=5,Sheet1!H12&gt;=5,Sheet1!H11&gt;=5,Sheet1!H13&gt;=5),Sheet2!N7,"")</f>
        <v>5.6188819444444444</v>
      </c>
      <c r="G58" s="79">
        <f>IF(OR(Sheet1!H10&gt;=6,Sheet1!H12&gt;=6,Sheet1!H11&gt;=6,Sheet1!H13&gt;=6),Sheet2!N8,"")</f>
        <v>5.6188819444444444</v>
      </c>
      <c r="H58" s="79">
        <f>IF(OR(Sheet1!H10&gt;=7,Sheet1!H12&gt;=7,Sheet1!H11&gt;=7,Sheet1!H13&gt;=7),Sheet2!N9,"")</f>
        <v>5.6188819444444444</v>
      </c>
      <c r="I58" s="79">
        <f>IF(OR(Sheet1!H10&gt;=8,Sheet1!H12&gt;=8,Sheet1!H11&gt;=8,Sheet1!H13&gt;=8),Sheet2!N10,"")</f>
        <v>5.6188819444444444</v>
      </c>
      <c r="J58" s="79">
        <f>IF(OR(Sheet1!H10&gt;=9,Sheet1!H12&gt;=9,Sheet1!H11&gt;=9,Sheet1!H13&gt;=9),Sheet2!N11,"")</f>
        <v>5.6188819444444444</v>
      </c>
      <c r="K58" s="79">
        <f>IF(OR(Sheet1!H10&gt;=10,Sheet1!H12&gt;=10,Sheet1!H11&gt;=10,Sheet1!H13&gt;=10),Sheet2!N12,"")</f>
        <v>5.6188819444444444</v>
      </c>
      <c r="L58" s="79">
        <f>IF(OR(Sheet1!H10&gt;=11,Sheet1!H12&gt;=11,Sheet1!H11&gt;=11,Sheet1!H13&gt;=11),Sheet2!N13,"")</f>
        <v>5.6188819444444444</v>
      </c>
      <c r="M58" s="65">
        <f>IF(OR(Sheet1!H10&gt;=12,Sheet1!H12&gt;=12,Sheet1!H11&gt;=12,Sheet1!H13&gt;=12),Sheet2!N14,"")</f>
        <v>1.87825</v>
      </c>
    </row>
    <row r="59" spans="1:13" ht="20" customHeight="1" x14ac:dyDescent="0.35">
      <c r="A59" s="88" t="s">
        <v>49</v>
      </c>
      <c r="B59" s="79">
        <f>IF(OR(Sheet1!H10&gt;=1,Sheet1!H12&gt;=1,Sheet1!H11&gt;=1,Sheet1!H13&gt;=1),Sheet2!O3,"")</f>
        <v>1</v>
      </c>
      <c r="C59" s="79">
        <f>IF(OR(Sheet1!H10&gt;=2,Sheet1!H12&gt;=2,Sheet1!H11&gt;=2,Sheet1!H13&gt;=2),Sheet2!O4,"")</f>
        <v>1.2521666666666667</v>
      </c>
      <c r="D59" s="79">
        <f>IF(OR(Sheet1!H10&gt;=3,Sheet1!H12&gt;=3,Sheet1!H11&gt;=3,Sheet1!H13&gt;=3),Sheet2!O5,"")</f>
        <v>1.87825</v>
      </c>
      <c r="E59" s="79">
        <f>IF(OR(Sheet1!H10&gt;=4,Sheet1!H12&gt;=4,Sheet1!H11&gt;=4,Sheet1!H13&gt;=4),Sheet2!O6,"")</f>
        <v>5.6188819444444444</v>
      </c>
      <c r="F59" s="79">
        <f>IF(OR(Sheet1!H10&gt;=5,Sheet1!H12&gt;=5,Sheet1!H11&gt;=5,Sheet1!H13&gt;=5),Sheet2!O7,"")</f>
        <v>5.6188819444444444</v>
      </c>
      <c r="G59" s="79">
        <f>IF(OR(Sheet1!H10&gt;=6,Sheet1!H12&gt;=6,Sheet1!H11&gt;=6,Sheet1!H13&gt;=6),Sheet2!O8,"")</f>
        <v>5.6188819444444444</v>
      </c>
      <c r="H59" s="79">
        <f>IF(OR(Sheet1!H10&gt;=7,Sheet1!H12&gt;=7,Sheet1!H11&gt;=7,Sheet1!H13&gt;=7),Sheet2!O9,"")</f>
        <v>5.6188819444444444</v>
      </c>
      <c r="I59" s="79">
        <f>IF(OR(Sheet1!H10&gt;=8,Sheet1!H12&gt;=8,Sheet1!H11&gt;=8,Sheet1!H13&gt;=8),Sheet2!O10,"")</f>
        <v>5.6188819444444444</v>
      </c>
      <c r="J59" s="79">
        <f>IF(OR(Sheet1!H10&gt;=9,Sheet1!H12&gt;=9,Sheet1!H11&gt;=9,Sheet1!H13&gt;=9),Sheet2!O11,"")</f>
        <v>5.6188819444444444</v>
      </c>
      <c r="K59" s="79">
        <f>IF(OR(Sheet1!H10&gt;=10,Sheet1!H12&gt;=10,Sheet1!H11&gt;=10,Sheet1!H13&gt;=10),Sheet2!O12,"")</f>
        <v>5.6188819444444444</v>
      </c>
      <c r="L59" s="79">
        <f>IF(OR(Sheet1!H10&gt;=11,Sheet1!H12&gt;=11,Sheet1!H11&gt;=11,Sheet1!H13&gt;=11),Sheet2!O13,"")</f>
        <v>5.6188819444444444</v>
      </c>
      <c r="M59" s="65">
        <f>IF(OR(Sheet1!H10&gt;=12,Sheet1!H12&gt;=12,Sheet1!H11&gt;=12,Sheet1!H13&gt;=12),Sheet2!O14,"")</f>
        <v>1.87825</v>
      </c>
    </row>
    <row r="60" spans="1:13" ht="20" customHeight="1" x14ac:dyDescent="0.35">
      <c r="A60" s="88" t="s">
        <v>50</v>
      </c>
      <c r="B60" s="79">
        <f>IF(OR(Sheet1!H10&gt;=1,Sheet1!H12&gt;=1,Sheet1!H11&gt;=1,Sheet1!H13&gt;=1),Sheet2!P3,"")</f>
        <v>1</v>
      </c>
      <c r="C60" s="79">
        <f>IF(OR(Sheet1!H10&gt;=2,Sheet1!H12&gt;=2,Sheet1!H11&gt;=2,Sheet1!H13&gt;=2),Sheet2!P4,"")</f>
        <v>1.2521666666666667</v>
      </c>
      <c r="D60" s="79">
        <f>IF(OR(Sheet1!H10&gt;=3,Sheet1!H12&gt;=3,Sheet1!H11&gt;=3,Sheet1!H13&gt;=3),Sheet2!P5,"")</f>
        <v>1.87825</v>
      </c>
      <c r="E60" s="79">
        <f>IF(OR(Sheet1!H10&gt;=4,Sheet1!H12&gt;=4,Sheet1!H11&gt;=4,Sheet1!H13&gt;=4),Sheet2!P6,"")</f>
        <v>5.6188819444444444</v>
      </c>
      <c r="F60" s="79">
        <f>IF(OR(Sheet1!H10&gt;=5,Sheet1!H12&gt;=5,Sheet1!H11&gt;=5,Sheet1!H13&gt;=5),Sheet2!P7,"")</f>
        <v>5.6188819444444444</v>
      </c>
      <c r="G60" s="79">
        <f>IF(OR(Sheet1!H10&gt;=6,Sheet1!H12&gt;=6,Sheet1!H11&gt;=6,Sheet1!H13&gt;=6),Sheet2!P8,"")</f>
        <v>5.6188819444444444</v>
      </c>
      <c r="H60" s="79">
        <f>IF(OR(Sheet1!H10&gt;=7,Sheet1!H12&gt;=7,Sheet1!H11&gt;=7,Sheet1!H13&gt;=7),Sheet2!P9,"")</f>
        <v>5.6188819444444444</v>
      </c>
      <c r="I60" s="79">
        <f>IF(OR(Sheet1!H10&gt;=8,Sheet1!H12&gt;=8,Sheet1!H11&gt;=8,Sheet1!H13&gt;=8),Sheet2!P10,"")</f>
        <v>5.6188819444444444</v>
      </c>
      <c r="J60" s="79">
        <f>IF(OR(Sheet1!H10&gt;=9,Sheet1!H12&gt;=9,Sheet1!H11&gt;=9,Sheet1!H13&gt;=9),Sheet2!P11,"")</f>
        <v>5.6188819444444444</v>
      </c>
      <c r="K60" s="79">
        <f>IF(OR(Sheet1!H10&gt;=10,Sheet1!H12&gt;=10,Sheet1!H11&gt;=10,Sheet1!H13&gt;=10),Sheet2!P12,"")</f>
        <v>5.6188819444444444</v>
      </c>
      <c r="L60" s="79">
        <f>IF(OR(Sheet1!H10&gt;=11,Sheet1!H12&gt;=11,Sheet1!H11&gt;=11,Sheet1!H13&gt;=11),Sheet2!P13,"")</f>
        <v>5.6188819444444444</v>
      </c>
      <c r="M60" s="65">
        <f>IF(OR(Sheet1!H10&gt;=12,Sheet1!H12&gt;=12,Sheet1!H11&gt;=12,Sheet1!H13&gt;=12),Sheet2!P14,"")</f>
        <v>1.87825</v>
      </c>
    </row>
    <row r="61" spans="1:13" ht="20" customHeight="1" x14ac:dyDescent="0.35">
      <c r="A61" s="88" t="s">
        <v>51</v>
      </c>
      <c r="B61" s="79">
        <f>IF(OR(Sheet1!H10&gt;=1,Sheet1!H12&gt;=1,Sheet1!H11&gt;=1,Sheet1!H13&gt;=1),Sheet2!Q3,"")</f>
        <v>1</v>
      </c>
      <c r="C61" s="79">
        <f>IF(OR(Sheet1!H10&gt;=2,Sheet1!H12&gt;=2,Sheet1!H11&gt;=2,Sheet1!H13&gt;=2),Sheet2!Q4,"")</f>
        <v>1</v>
      </c>
      <c r="D61" s="79">
        <f>IF(OR(Sheet1!H10&gt;=3,Sheet1!H12&gt;=3,Sheet1!H11&gt;=3,Sheet1!H13&gt;=3),Sheet2!Q5,"")</f>
        <v>1</v>
      </c>
      <c r="E61" s="79">
        <f>IF(OR(Sheet1!H10&gt;=4,Sheet1!H12&gt;=4,Sheet1!H11&gt;=4,Sheet1!H13&gt;=4),Sheet2!Q6,"")</f>
        <v>1</v>
      </c>
      <c r="F61" s="79">
        <f>IF(OR(Sheet1!H10&gt;=5,Sheet1!H12&gt;=5,Sheet1!H11&gt;=5,Sheet1!H13&gt;=5),Sheet2!Q7,"")</f>
        <v>1</v>
      </c>
      <c r="G61" s="79">
        <f>IF(OR(Sheet1!H10&gt;=6,Sheet1!H12&gt;=6,Sheet1!H11&gt;=6,Sheet1!H13&gt;=6),Sheet2!Q8,"")</f>
        <v>1</v>
      </c>
      <c r="H61" s="79">
        <f>IF(OR(Sheet1!H10&gt;=7,Sheet1!H12&gt;=7,Sheet1!H11&gt;=7,Sheet1!H13&gt;=7),Sheet2!Q9,"")</f>
        <v>1</v>
      </c>
      <c r="I61" s="79">
        <f>IF(OR(Sheet1!H10&gt;=8,Sheet1!H12&gt;=8,Sheet1!H11&gt;=8,Sheet1!H13&gt;=8),Sheet2!Q10,"")</f>
        <v>1</v>
      </c>
      <c r="J61" s="79">
        <f>IF(OR(Sheet1!H10&gt;=9,Sheet1!H12&gt;=9,Sheet1!H11&gt;=9,Sheet1!H13&gt;=9),Sheet2!Q11,"")</f>
        <v>1</v>
      </c>
      <c r="K61" s="79">
        <f>IF(OR(Sheet1!H10&gt;=10,Sheet1!H12&gt;=10,Sheet1!H11&gt;=10,Sheet1!H13&gt;=10),Sheet2!Q12,"")</f>
        <v>1</v>
      </c>
      <c r="L61" s="79">
        <f>IF(OR(Sheet1!H10&gt;=11,Sheet1!H12&gt;=11,Sheet1!H11&gt;=11,Sheet1!H13&gt;=11),Sheet2!Q13,"")</f>
        <v>1</v>
      </c>
      <c r="M61" s="65">
        <f>IF(OR(Sheet1!H10&gt;=12,Sheet1!H12&gt;=12,Sheet1!H11&gt;=12,Sheet1!H13&gt;=12),Sheet2!Q14,"")</f>
        <v>1</v>
      </c>
    </row>
    <row r="62" spans="1:13" ht="20" customHeight="1" x14ac:dyDescent="0.35">
      <c r="A62" s="88" t="s">
        <v>52</v>
      </c>
      <c r="B62" s="79">
        <f>IF(OR(Sheet1!H10&gt;=1,Sheet1!H12&gt;=1,Sheet1!H11&gt;=1,Sheet1!H13&gt;=1),Sheet2!R3,"")</f>
        <v>1.2521666666666667</v>
      </c>
      <c r="C62" s="79">
        <f>IF(OR(Sheet1!H10&gt;=2,Sheet1!H12&gt;=2,Sheet1!H11&gt;=2,Sheet1!H13&gt;=2),Sheet2!R4,"")</f>
        <v>2.5043333333333333</v>
      </c>
      <c r="D62" s="79">
        <f>IF(OR(Sheet1!H10&gt;=3,Sheet1!H12&gt;=3,Sheet1!H11&gt;=3,Sheet1!H13&gt;=3),Sheet2!R5,"")</f>
        <v>3.7565</v>
      </c>
      <c r="E62" s="79">
        <f>IF(OR(Sheet1!H10&gt;=4,Sheet1!H12&gt;=4,Sheet1!H11&gt;=4,Sheet1!H13&gt;=4),Sheet2!R6,"")</f>
        <v>11.237763888888889</v>
      </c>
      <c r="F62" s="79">
        <f>IF(OR(Sheet1!H10&gt;=5,Sheet1!H12&gt;=5,Sheet1!H11&gt;=5,Sheet1!H13&gt;=5),Sheet2!R7,"")</f>
        <v>11.237763888888889</v>
      </c>
      <c r="G62" s="79">
        <f>IF(OR(Sheet1!H10&gt;=6,Sheet1!H12&gt;=6,Sheet1!H11&gt;=6,Sheet1!H13&gt;=6),Sheet2!R8,"")</f>
        <v>11.237763888888889</v>
      </c>
      <c r="H62" s="79">
        <f>IF(OR(Sheet1!H10&gt;=7,Sheet1!H12&gt;=7,Sheet1!H11&gt;=7,Sheet1!H13&gt;=7),Sheet2!R9,"")</f>
        <v>11.237763888888889</v>
      </c>
      <c r="I62" s="79">
        <f>IF(OR(Sheet1!H10&gt;=8,Sheet1!H12&gt;=8,Sheet1!H11&gt;=8,Sheet1!H13&gt;=8),Sheet2!R10,"")</f>
        <v>11.237763888888889</v>
      </c>
      <c r="J62" s="79">
        <f>IF(OR(Sheet1!H10&gt;=9,Sheet1!H12&gt;=9,Sheet1!H11&gt;=9,Sheet1!H13&gt;=9),Sheet2!R11,"")</f>
        <v>11.237763888888889</v>
      </c>
      <c r="K62" s="79">
        <f>IF(OR(Sheet1!H10&gt;=10,Sheet1!H12&gt;=10,Sheet1!H11&gt;=10,Sheet1!H13&gt;=10),Sheet2!R12,"")</f>
        <v>11.237763888888889</v>
      </c>
      <c r="L62" s="79">
        <f>IF(OR(Sheet1!H10&gt;=11,Sheet1!H12&gt;=11,Sheet1!H11&gt;=11,Sheet1!H13&gt;=11),Sheet2!R13,"")</f>
        <v>11.237763888888889</v>
      </c>
      <c r="M62" s="65">
        <f>IF(OR(Sheet1!H10&gt;=12,Sheet1!H12&gt;=12,Sheet1!H11&gt;=12,Sheet1!H13&gt;=12),Sheet2!R14,"")</f>
        <v>3.7565</v>
      </c>
    </row>
    <row r="63" spans="1:13" ht="20" customHeight="1" x14ac:dyDescent="0.35">
      <c r="A63" s="88" t="s">
        <v>53</v>
      </c>
      <c r="B63" s="79">
        <f>IF(OR(Sheet1!H10&gt;=1,Sheet1!H12&gt;=1,Sheet1!H11&gt;=1,Sheet1!H13&gt;=1),Sheet2!S3,"")</f>
        <v>1</v>
      </c>
      <c r="C63" s="79">
        <f>IF(OR(Sheet1!H10&gt;=2,Sheet1!H12&gt;=2,Sheet1!H11&gt;=2,Sheet1!H13&gt;=2),Sheet2!S4,"")</f>
        <v>1.2521666666666667</v>
      </c>
      <c r="D63" s="79">
        <f>IF(OR(Sheet1!H10&gt;=3,Sheet1!H12&gt;=3,Sheet1!H11&gt;=3,Sheet1!H13&gt;=3),Sheet2!S5,"")</f>
        <v>1.87825</v>
      </c>
      <c r="E63" s="79">
        <f>IF(OR(Sheet1!H10&gt;=4,Sheet1!H12&gt;=4,Sheet1!H11&gt;=4,Sheet1!H13&gt;=4),Sheet2!S6,"")</f>
        <v>5.6188819444444444</v>
      </c>
      <c r="F63" s="79">
        <f>IF(OR(Sheet1!H10&gt;=5,Sheet1!H12&gt;=5,Sheet1!H11&gt;=5,Sheet1!H13&gt;=5),Sheet2!S7,"")</f>
        <v>5.6188819444444444</v>
      </c>
      <c r="G63" s="79">
        <f>IF(OR(Sheet1!H10&gt;=6,Sheet1!H12&gt;=6,Sheet1!H11&gt;=6,Sheet1!H13&gt;=6),Sheet2!S8,"")</f>
        <v>5.6188819444444444</v>
      </c>
      <c r="H63" s="79">
        <f>IF(OR(Sheet1!H10&gt;=7,Sheet1!H12&gt;=7,Sheet1!H11&gt;=7,Sheet1!H13&gt;=7),Sheet2!S9,"")</f>
        <v>5.6188819444444444</v>
      </c>
      <c r="I63" s="79">
        <f>IF(OR(Sheet1!H10&gt;=8,Sheet1!H12&gt;=8,Sheet1!H11&gt;=8,Sheet1!H13&gt;=8),Sheet2!S10,"")</f>
        <v>5.6188819444444444</v>
      </c>
      <c r="J63" s="79">
        <f>IF(OR(Sheet1!H10&gt;=9,Sheet1!H12&gt;=9,Sheet1!H11&gt;=9,Sheet1!H13&gt;=9),Sheet2!S11,"")</f>
        <v>5.6188819444444444</v>
      </c>
      <c r="K63" s="79">
        <f>IF(OR(Sheet1!H10&gt;=10,Sheet1!H12&gt;=10,Sheet1!H11&gt;=10,Sheet1!H13&gt;=10),Sheet2!S12,"")</f>
        <v>5.6188819444444444</v>
      </c>
      <c r="L63" s="79">
        <f>IF(OR(Sheet1!H10&gt;=11,Sheet1!H12&gt;=11,Sheet1!H11&gt;=11,Sheet1!H13&gt;=11),Sheet2!S13,"")</f>
        <v>5.6188819444444444</v>
      </c>
      <c r="M63" s="65">
        <f>IF(OR(Sheet1!H10&gt;=12,Sheet1!H12&gt;=12,Sheet1!H11&gt;=12,Sheet1!H13&gt;=12),Sheet2!S14,"")</f>
        <v>1.87825</v>
      </c>
    </row>
    <row r="64" spans="1:13" ht="20" customHeight="1" x14ac:dyDescent="0.35"/>
    <row r="65" ht="20" customHeight="1" x14ac:dyDescent="0.35"/>
  </sheetData>
  <mergeCells count="3">
    <mergeCell ref="A8:H8"/>
    <mergeCell ref="A1:F1"/>
    <mergeCell ref="A15:M15"/>
  </mergeCells>
  <pageMargins left="0.7" right="0.7" top="0.75" bottom="0.75" header="0.3" footer="0.3"/>
  <pageSetup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59"/>
  <sheetViews>
    <sheetView zoomScale="70" zoomScaleNormal="70" workbookViewId="0">
      <selection activeCell="K48" sqref="K48:K59"/>
    </sheetView>
  </sheetViews>
  <sheetFormatPr defaultRowHeight="14.5" x14ac:dyDescent="0.35"/>
  <cols>
    <col min="1" max="1" width="7.81640625" bestFit="1" customWidth="1"/>
    <col min="2" max="2" width="7.453125" customWidth="1"/>
    <col min="3" max="3" width="10.54296875" bestFit="1" customWidth="1"/>
    <col min="4" max="7" width="10.54296875" customWidth="1"/>
    <col min="8" max="8" width="10.1796875" bestFit="1" customWidth="1"/>
    <col min="9" max="9" width="4.54296875" bestFit="1" customWidth="1"/>
    <col min="10" max="10" width="7.81640625" bestFit="1" customWidth="1"/>
    <col min="11" max="11" width="4.7265625" bestFit="1" customWidth="1"/>
    <col min="12" max="12" width="3.36328125" bestFit="1" customWidth="1"/>
    <col min="13" max="13" width="6.90625" bestFit="1" customWidth="1"/>
    <col min="14" max="14" width="8.453125" bestFit="1" customWidth="1"/>
    <col min="15" max="15" width="8.6328125" bestFit="1" customWidth="1"/>
    <col min="16" max="16" width="8.54296875" bestFit="1" customWidth="1"/>
    <col min="19" max="19" width="8.1796875" bestFit="1" customWidth="1"/>
  </cols>
  <sheetData>
    <row r="1" spans="1:20" x14ac:dyDescent="0.35">
      <c r="A1" s="95" t="s">
        <v>9</v>
      </c>
      <c r="B1" s="91"/>
      <c r="C1" s="91"/>
      <c r="D1" s="91"/>
      <c r="E1" s="91"/>
      <c r="F1" s="91"/>
      <c r="G1" s="91"/>
      <c r="H1" s="91"/>
      <c r="I1" s="91"/>
      <c r="J1" s="92"/>
      <c r="K1" s="96" t="s">
        <v>54</v>
      </c>
      <c r="L1" s="91"/>
      <c r="M1" s="91"/>
      <c r="N1" s="91"/>
      <c r="O1" s="91"/>
      <c r="P1" s="91"/>
      <c r="Q1" s="91"/>
      <c r="R1" s="91"/>
      <c r="S1" s="91"/>
    </row>
    <row r="2" spans="1:20" ht="57.5" customHeight="1" x14ac:dyDescent="0.35">
      <c r="A2" s="18" t="s">
        <v>34</v>
      </c>
      <c r="B2" s="18" t="s">
        <v>35</v>
      </c>
      <c r="C2" s="18" t="s">
        <v>36</v>
      </c>
      <c r="D2" s="22" t="s">
        <v>37</v>
      </c>
      <c r="E2" s="42" t="s">
        <v>41</v>
      </c>
      <c r="F2" s="42" t="s">
        <v>42</v>
      </c>
      <c r="G2" s="42" t="s">
        <v>43</v>
      </c>
      <c r="H2" s="18" t="s">
        <v>38</v>
      </c>
      <c r="I2" s="18" t="s">
        <v>39</v>
      </c>
      <c r="J2" s="18" t="s">
        <v>40</v>
      </c>
      <c r="K2" s="24" t="s">
        <v>55</v>
      </c>
      <c r="L2" s="24" t="s">
        <v>56</v>
      </c>
      <c r="M2" s="25" t="s">
        <v>47</v>
      </c>
      <c r="N2" s="25" t="s">
        <v>48</v>
      </c>
      <c r="O2" s="25" t="s">
        <v>49</v>
      </c>
      <c r="P2" s="25" t="s">
        <v>50</v>
      </c>
      <c r="Q2" s="25" t="s">
        <v>51</v>
      </c>
      <c r="R2" s="25" t="s">
        <v>52</v>
      </c>
      <c r="S2" s="25" t="s">
        <v>53</v>
      </c>
    </row>
    <row r="3" spans="1:20" x14ac:dyDescent="0.35">
      <c r="A3" s="17">
        <f>B3+B4</f>
        <v>59.175000000000004</v>
      </c>
      <c r="B3" s="41">
        <f>Sheet1!G10/Sheet1!H10*0.25</f>
        <v>19.725000000000001</v>
      </c>
      <c r="C3" s="48">
        <f t="array" ref="C3">_xlfn.IFS(
Sheet1!C10="Low Risk",A3/Sheet3!L6,
Sheet1!C10="Medium Risk",A3/Sheet3!L7,
Sheet1!C10="High Risk",A3/Sheet3!L8,
Sheet1!C10="Very High",A3/Sheet3!L9
)</f>
        <v>1.8492187500000001</v>
      </c>
      <c r="D3" s="48">
        <f t="array" ref="D3">_xlfn.IFS(
    AND(TRIM(Sheet1!C10)="Low Risk", TRIM(Sheet1!F10)="New"), B3/Sheet3!M6,
    AND(TRIM(Sheet1!C10)="Low Risk", TRIM(Sheet1!F10)="Exp"), B3/Sheet3!N6,
    AND(TRIM(Sheet1!C10)="Low Risk", TRIM(Sheet1!F10)="Swap"), B3/Sheet3!O6,
    AND(TRIM(Sheet1!C10)="Medium Risk", TRIM(Sheet1!F10)="New"), B3/Sheet3!M7,
    AND(TRIM(Sheet1!C10)="Medium Risk", TRIM(Sheet1!F10)="Exp"), B3/Sheet3!N7,
    AND(TRIM(Sheet1!C10)="Medium Risk", TRIM(Sheet1!F10)="Swap"), B3/Sheet3!O7,
    AND(TRIM(Sheet1!C10)="High Risk", TRIM(Sheet1!F10)="New"), B3/Sheet3!M8,
    AND(TRIM(Sheet1!C10)="High Risk", TRIM(Sheet1!F10)="Exp"), B3/Sheet3!N8,
    AND(TRIM(Sheet1!C10)="High Risk", TRIM(Sheet1!F10)="Swap"), B3/Sheet3!O8,
    AND(TRIM(Sheet1!C10)="Very High", TRIM(Sheet1!F10)="New"), B3/Sheet3!M9,
    AND(TRIM(Sheet1!C10)="Very High", TRIM(Sheet1!F10)="Exp"), B3/Sheet3!N9,
    AND(TRIM(Sheet1!C10)="Very High", TRIM(Sheet1!F10)="Swap"), B3/Sheet3!O9 )</f>
        <v>4.9312500000000004</v>
      </c>
      <c r="E3" s="48"/>
      <c r="F3" s="48"/>
      <c r="G3" s="48"/>
      <c r="H3" s="17">
        <f t="shared" ref="H3:H14" si="0">IF(D3/4&lt;1,1,D3/4)</f>
        <v>1.2328125000000001</v>
      </c>
      <c r="I3" s="17">
        <f t="shared" ref="I3:I14" si="1">IF(H3/4&lt;1,1,H3/4)</f>
        <v>1</v>
      </c>
      <c r="J3" s="17">
        <f t="shared" ref="J3:J14" si="2">IF(B3/100&lt;1,1,B3/100)</f>
        <v>1</v>
      </c>
      <c r="K3" s="17">
        <f t="shared" ref="K3:K14" si="3">IF((I3+I18+I33+I48)/3&lt;1,1,(I3+I18+I33+I48)/3)</f>
        <v>1.3333333333333333</v>
      </c>
      <c r="L3" s="17">
        <f t="shared" ref="L3:L14" si="4">IF(K3/3&lt;1,1,K3/3)</f>
        <v>1</v>
      </c>
      <c r="M3" s="17">
        <f t="shared" ref="M3:M14" si="5">IF((B3+B18+B33+B48)/200&lt;1,1,(B3+B18+B33+B48)/200)</f>
        <v>1</v>
      </c>
      <c r="N3" s="17">
        <f t="shared" ref="N3:N14" si="6">IF((B3+B18+B33+B48)/150&lt;1,1,(B3+B18+B33+B48)/150)</f>
        <v>1</v>
      </c>
      <c r="O3" s="17">
        <f t="shared" ref="O3:O14" si="7">IF((B3+B18+B33+B48)/150&lt;1,1,(B3+B18+B33+B48)/150)</f>
        <v>1</v>
      </c>
      <c r="P3" s="17">
        <f t="shared" ref="P3:P14" si="8">IF((B3+B18+B33+B48)/150&lt;1,1,(B3+B18+B33+B48)/150)</f>
        <v>1</v>
      </c>
      <c r="Q3" s="17">
        <f t="shared" ref="Q3:Q14" si="9">IF(K3/3&lt;1,1,K3/3)</f>
        <v>1</v>
      </c>
      <c r="R3" s="17">
        <f t="shared" ref="R3:R14" si="10">IF((B3+B18+B33+B48)/75&lt;1,1,(B3+B18+B33+B48)/75)</f>
        <v>1.2521666666666667</v>
      </c>
      <c r="S3" s="17">
        <f t="shared" ref="S3:S14" si="11">IF((B3+B18+B33+B48)/150&lt;1,1,(B3+B18+B33+B48)/150)</f>
        <v>1</v>
      </c>
      <c r="T3" s="51" t="s">
        <v>22</v>
      </c>
    </row>
    <row r="4" spans="1:20" x14ac:dyDescent="0.35">
      <c r="A4" s="17">
        <f>B5+B6</f>
        <v>169.28333333333333</v>
      </c>
      <c r="B4" s="41">
        <f>Sheet1!G10/Sheet1!H10*0.5</f>
        <v>39.450000000000003</v>
      </c>
      <c r="C4" s="48">
        <f t="array" ref="C4">_xlfn.IFS(
Sheet1!C10="Low Risk",A4/Sheet3!L6,
Sheet1!C10="Medium Risk",A4/Sheet3!L7,
Sheet1!C10="High Risk",A4/Sheet3!L8,
Sheet1!C10="Very High",A4/Sheet3!L9
)</f>
        <v>5.2901041666666666</v>
      </c>
      <c r="D4" s="48">
        <f t="array" ref="D4">_xlfn.IFS(
    AND(TRIM(Sheet1!C10)="Low Risk", TRIM(Sheet1!F10)="New"), B4/Sheet3!M6,
    AND(TRIM(Sheet1!C10)="Low Risk", TRIM(Sheet1!F10)="Exp"), B4/Sheet3!N6,
    AND(TRIM(Sheet1!C10)="Low Risk", TRIM(Sheet1!F10)="Swap"), B4/Sheet3!O6,
    AND(TRIM(Sheet1!C10)="Medium Risk", TRIM(Sheet1!F10)="New"), B4/Sheet3!M7,
    AND(TRIM(Sheet1!C10)="Medium Risk", TRIM(Sheet1!F10)="Exp"), B4/Sheet3!N7,
    AND(TRIM(Sheet1!C10)="Medium Risk", TRIM(Sheet1!F10)="Swap"), B4/Sheet3!O7,
    AND(TRIM(Sheet1!C10)="High Risk", TRIM(Sheet1!F10)="New"), B4/Sheet3!M8,
    AND(TRIM(Sheet1!C10)="High Risk", TRIM(Sheet1!F10)="Exp"), B4/Sheet3!N8,
    AND(TRIM(Sheet1!C10)="High Risk", TRIM(Sheet1!F10)="Swap"), B4/Sheet3!O8,
    AND(TRIM(Sheet1!C10)="Very High", TRIM(Sheet1!F10)="New"), B4/Sheet3!M9,
    AND(TRIM(Sheet1!C10)="Very High", TRIM(Sheet1!F10)="Exp"), B4/Sheet3!N9,
    AND(TRIM(Sheet1!C10)="Very High", TRIM(Sheet1!F10)="Swap"), B4/Sheet3!O9 )</f>
        <v>9.8625000000000007</v>
      </c>
      <c r="E4" s="48"/>
      <c r="F4" s="48"/>
      <c r="G4" s="48"/>
      <c r="H4" s="17">
        <f t="shared" si="0"/>
        <v>2.4656250000000002</v>
      </c>
      <c r="I4" s="17">
        <f t="shared" si="1"/>
        <v>1</v>
      </c>
      <c r="J4" s="17">
        <f t="shared" si="2"/>
        <v>1</v>
      </c>
      <c r="K4" s="17">
        <f t="shared" si="3"/>
        <v>1.4114583333333333</v>
      </c>
      <c r="L4" s="17">
        <f t="shared" si="4"/>
        <v>1</v>
      </c>
      <c r="M4" s="17">
        <f t="shared" si="5"/>
        <v>1</v>
      </c>
      <c r="N4" s="17">
        <f t="shared" si="6"/>
        <v>1.2521666666666667</v>
      </c>
      <c r="O4" s="17">
        <f t="shared" si="7"/>
        <v>1.2521666666666667</v>
      </c>
      <c r="P4" s="17">
        <f t="shared" si="8"/>
        <v>1.2521666666666667</v>
      </c>
      <c r="Q4" s="17">
        <f t="shared" si="9"/>
        <v>1</v>
      </c>
      <c r="R4" s="17">
        <f t="shared" si="10"/>
        <v>2.5043333333333333</v>
      </c>
      <c r="S4" s="17">
        <f t="shared" si="11"/>
        <v>1.2521666666666667</v>
      </c>
      <c r="T4" s="51" t="s">
        <v>23</v>
      </c>
    </row>
    <row r="5" spans="1:20" x14ac:dyDescent="0.35">
      <c r="A5" s="17">
        <f>B7+B8</f>
        <v>220.21666666666667</v>
      </c>
      <c r="B5" s="41">
        <f>Sheet1!G10/Sheet1!H10*0.75</f>
        <v>59.175000000000004</v>
      </c>
      <c r="C5" s="48">
        <f t="array" ref="C5">_xlfn.IFS(
Sheet1!C10="Low Risk",A5/Sheet3!L2,
Sheet1!C10="Medium Risk",A5/Sheet3!L3,
Sheet1!C10="High Risk",A5/Sheet3!L4,
Sheet1!C10="Very High",A5/Sheet3!L5
)</f>
        <v>4.587847222222222</v>
      </c>
      <c r="D5" s="48">
        <f t="array" ref="D5">_xlfn.IFS(
    AND(TRIM(Sheet1!C10)="Low Risk", TRIM(Sheet1!F10)="New"), B5/Sheet3!M6,
    AND(TRIM(Sheet1!C10)="Low Risk", TRIM(Sheet1!F10)="Exp"), B5/Sheet3!N6,
    AND(TRIM(Sheet1!C10)="Low Risk", TRIM(Sheet1!F10)="Swap"), B5/Sheet3!O6,
    AND(TRIM(Sheet1!C10)="Medium Risk", TRIM(Sheet1!F10)="New"), B5/Sheet3!M7,
    AND(TRIM(Sheet1!C10)="Medium Risk", TRIM(Sheet1!F10)="Exp"), B5/Sheet3!N7,
    AND(TRIM(Sheet1!C10)="Medium Risk", TRIM(Sheet1!F10)="Swap"), B5/Sheet3!O7,
    AND(TRIM(Sheet1!C10)="High Risk", TRIM(Sheet1!F10)="New"), B5/Sheet3!M8,
    AND(TRIM(Sheet1!C10)="High Risk", TRIM(Sheet1!F10)="Exp"), B5/Sheet3!N8,
    AND(TRIM(Sheet1!C10)="High Risk", TRIM(Sheet1!F10)="Swap"), B5/Sheet3!O8,
    AND(TRIM(Sheet1!C10)="Very High", TRIM(Sheet1!F10)="New"), B5/Sheet3!M9,
    AND(TRIM(Sheet1!C10)="Very High", TRIM(Sheet1!F10)="Exp"), B5/Sheet3!N9,
    AND(TRIM(Sheet1!C10)="Very High", TRIM(Sheet1!F10)="Swap"), B5/Sheet3!O9 )</f>
        <v>14.793750000000001</v>
      </c>
      <c r="E5" s="48"/>
      <c r="F5" s="48"/>
      <c r="G5" s="48"/>
      <c r="H5" s="17">
        <f t="shared" si="0"/>
        <v>3.6984375000000003</v>
      </c>
      <c r="I5" s="17">
        <f t="shared" si="1"/>
        <v>1</v>
      </c>
      <c r="J5" s="17">
        <f t="shared" si="2"/>
        <v>1</v>
      </c>
      <c r="K5" s="17">
        <f t="shared" si="3"/>
        <v>1.6171875</v>
      </c>
      <c r="L5" s="17">
        <f t="shared" si="4"/>
        <v>1</v>
      </c>
      <c r="M5" s="17">
        <f t="shared" si="5"/>
        <v>1.4086875000000001</v>
      </c>
      <c r="N5" s="17">
        <f t="shared" si="6"/>
        <v>1.87825</v>
      </c>
      <c r="O5" s="17">
        <f t="shared" si="7"/>
        <v>1.87825</v>
      </c>
      <c r="P5" s="17">
        <f t="shared" si="8"/>
        <v>1.87825</v>
      </c>
      <c r="Q5" s="17">
        <f t="shared" si="9"/>
        <v>1</v>
      </c>
      <c r="R5" s="17">
        <f t="shared" si="10"/>
        <v>3.7565</v>
      </c>
      <c r="S5" s="17">
        <f t="shared" si="11"/>
        <v>1.87825</v>
      </c>
      <c r="T5" s="51" t="s">
        <v>24</v>
      </c>
    </row>
    <row r="6" spans="1:20" x14ac:dyDescent="0.35">
      <c r="A6" s="17">
        <f>B9+B10</f>
        <v>220.21666666666667</v>
      </c>
      <c r="B6" s="41">
        <f>(Sheet1!G10-B3-B4-B5-Sheet1!H10)/(Sheet1!H10-4)</f>
        <v>110.10833333333333</v>
      </c>
      <c r="C6" s="48">
        <f t="array" ref="C6">_xlfn.IFS(
Sheet1!C10="Low Risk",A6/Sheet3!L2,
Sheet1!C10="Medium Risk",A6/Sheet3!L3,
Sheet1!C10="High Risk",A6/Sheet3!L4,
Sheet1!C10="Very High",A6/Sheet3!L5
)</f>
        <v>4.587847222222222</v>
      </c>
      <c r="D6" s="48">
        <f t="array" ref="D6">_xlfn.IFS(
    AND(TRIM(Sheet1!C10)="Low Risk", TRIM(Sheet1!F10)="New"), B6/Sheet3!M2,
    AND(TRIM(Sheet1!C10)="Low Risk", TRIM(Sheet1!F10)="Exp"), B6/Sheet3!N2,
    AND(TRIM(Sheet1!C10)="Low Risk", TRIM(Sheet1!F10)="Swap"), B6/Sheet3!O2,
    AND(TRIM(Sheet1!C10)="Medium Risk", TRIM(Sheet1!F10)="New"), B6/Sheet3!M3,
    AND(TRIM(Sheet1!C10)="Medium Risk", TRIM(Sheet1!F10)="Exp"), B6/Sheet3!N3,
    AND(TRIM(Sheet1!C10)="Medium Risk", TRIM(Sheet1!F10)="Swap"), B6/Sheet3!O3,
    AND(TRIM(Sheet1!C10)="High Risk", TRIM(Sheet1!F10)="New"), B6/Sheet3!M4,
    AND(TRIM(Sheet1!C10)="High Risk", TRIM(Sheet1!F10)="Exp"), B6/Sheet3!N4,
    AND(TRIM(Sheet1!C10)="High Risk", TRIM(Sheet1!F10)="Swap"), B6/Sheet3!O4,
    AND(TRIM(Sheet1!C10)="Very High", TRIM(Sheet1!F10)="New"), B6/Sheet3!M5,
    AND(TRIM(Sheet1!C10)="Very High", TRIM(Sheet1!F10)="Exp"), B6/Sheet3!N5,
    AND(TRIM(Sheet1!C10)="Very High", TRIM(Sheet1!F10)="Swap"), B6/Sheet3!O5)</f>
        <v>18.351388888888888</v>
      </c>
      <c r="E6" s="48"/>
      <c r="F6" s="48"/>
      <c r="G6" s="48"/>
      <c r="H6" s="17">
        <f t="shared" si="0"/>
        <v>4.587847222222222</v>
      </c>
      <c r="I6" s="17">
        <f t="shared" si="1"/>
        <v>1.1469618055555555</v>
      </c>
      <c r="J6" s="17">
        <f t="shared" si="2"/>
        <v>1.1010833333333334</v>
      </c>
      <c r="K6" s="17">
        <f t="shared" si="3"/>
        <v>2.9517650462962961</v>
      </c>
      <c r="L6" s="17">
        <f t="shared" si="4"/>
        <v>1</v>
      </c>
      <c r="M6" s="17">
        <f t="shared" si="5"/>
        <v>4.2141614583333338</v>
      </c>
      <c r="N6" s="17">
        <f t="shared" si="6"/>
        <v>5.6188819444444444</v>
      </c>
      <c r="O6" s="17">
        <f t="shared" si="7"/>
        <v>5.6188819444444444</v>
      </c>
      <c r="P6" s="17">
        <f t="shared" si="8"/>
        <v>5.6188819444444444</v>
      </c>
      <c r="Q6" s="17">
        <f t="shared" si="9"/>
        <v>1</v>
      </c>
      <c r="R6" s="17">
        <f t="shared" si="10"/>
        <v>11.237763888888889</v>
      </c>
      <c r="S6" s="17">
        <f t="shared" si="11"/>
        <v>5.6188819444444444</v>
      </c>
      <c r="T6" s="51" t="s">
        <v>25</v>
      </c>
    </row>
    <row r="7" spans="1:20" x14ac:dyDescent="0.35">
      <c r="A7" s="17">
        <f>B11+B12</f>
        <v>220.21666666666667</v>
      </c>
      <c r="B7" s="41">
        <f>(Sheet1!G10-B3-B4-B5-Sheet1!H10)/(Sheet1!H10-4)</f>
        <v>110.10833333333333</v>
      </c>
      <c r="C7" s="48">
        <f t="array" ref="C7">_xlfn.IFS(
Sheet1!C10="Low Risk",A7/Sheet3!L2,
Sheet1!C10="Medium Risk",A7/Sheet3!L3,
Sheet1!C10="High Risk",A7/Sheet3!L4,
Sheet1!C10="Very High",A7/Sheet3!L5
)</f>
        <v>4.587847222222222</v>
      </c>
      <c r="D7" s="48">
        <f t="array" ref="D7">_xlfn.IFS(
    AND(TRIM(Sheet1!C10)="Low Risk", TRIM(Sheet1!F10)="New"), B7/Sheet3!M2,
    AND(TRIM(Sheet1!C10)="Low Risk", TRIM(Sheet1!F10)="Exp"), B7/Sheet3!N2,
    AND(TRIM(Sheet1!C10)="Low Risk", TRIM(Sheet1!F10)="Swap"), B7/Sheet3!O2,
    AND(TRIM(Sheet1!C10)="Medium Risk", TRIM(Sheet1!F10)="New"), B7/Sheet3!M3,
    AND(TRIM(Sheet1!C10)="Medium Risk", TRIM(Sheet1!F10)="Exp"), B7/Sheet3!N3,
    AND(TRIM(Sheet1!C10)="Medium Risk", TRIM(Sheet1!F10)="Swap"), B7/Sheet3!O3,
    AND(TRIM(Sheet1!C10)="High Risk", TRIM(Sheet1!F10)="New"), B7/Sheet3!M4,
    AND(TRIM(Sheet1!C10)="High Risk", TRIM(Sheet1!F10)="Exp"), B7/Sheet3!N4,
    AND(TRIM(Sheet1!C10)="High Risk", TRIM(Sheet1!F10)="Swap"), B7/Sheet3!O4,
    AND(TRIM(Sheet1!C10)="Very High", TRIM(Sheet1!F10)="New"), B7/Sheet3!M5,
    AND(TRIM(Sheet1!C10)="Very High", TRIM(Sheet1!F10)="Exp"), B7/Sheet3!N5,
    AND(TRIM(Sheet1!C10)="Very High", TRIM(Sheet1!F10)="Swap"), B7/Sheet3!O5)</f>
        <v>18.351388888888888</v>
      </c>
      <c r="E7" s="48"/>
      <c r="F7" s="48"/>
      <c r="G7" s="48"/>
      <c r="H7" s="17">
        <f t="shared" si="0"/>
        <v>4.587847222222222</v>
      </c>
      <c r="I7" s="17">
        <f t="shared" si="1"/>
        <v>1.1469618055555555</v>
      </c>
      <c r="J7" s="17">
        <f t="shared" si="2"/>
        <v>1.1010833333333334</v>
      </c>
      <c r="K7" s="17">
        <f t="shared" si="3"/>
        <v>2.9517650462962961</v>
      </c>
      <c r="L7" s="17">
        <f t="shared" si="4"/>
        <v>1</v>
      </c>
      <c r="M7" s="17">
        <f t="shared" si="5"/>
        <v>4.2141614583333338</v>
      </c>
      <c r="N7" s="17">
        <f t="shared" si="6"/>
        <v>5.6188819444444444</v>
      </c>
      <c r="O7" s="17">
        <f t="shared" si="7"/>
        <v>5.6188819444444444</v>
      </c>
      <c r="P7" s="17">
        <f t="shared" si="8"/>
        <v>5.6188819444444444</v>
      </c>
      <c r="Q7" s="17">
        <f t="shared" si="9"/>
        <v>1</v>
      </c>
      <c r="R7" s="17">
        <f t="shared" si="10"/>
        <v>11.237763888888889</v>
      </c>
      <c r="S7" s="17">
        <f t="shared" si="11"/>
        <v>5.6188819444444444</v>
      </c>
      <c r="T7" s="51" t="s">
        <v>26</v>
      </c>
    </row>
    <row r="8" spans="1:20" x14ac:dyDescent="0.35">
      <c r="A8" s="17">
        <f>B13+B14</f>
        <v>169.28333333333333</v>
      </c>
      <c r="B8" s="41">
        <f>(Sheet1!G10-B3-B4-B5-Sheet1!H10)/(Sheet1!H10-4)</f>
        <v>110.10833333333333</v>
      </c>
      <c r="C8" s="48">
        <f t="array" ref="C8">_xlfn.IFS(
Sheet1!C10="Low Risk",A8/Sheet3!L2,
Sheet1!C10="Medium Risk",A8/Sheet3!L3,
Sheet1!C10="High Risk",A8/Sheet3!L4,
Sheet1!C10="Very High",A8/Sheet3!L5
)</f>
        <v>3.5267361111111111</v>
      </c>
      <c r="D8" s="48">
        <f t="array" ref="D8">_xlfn.IFS(
    AND(TRIM(Sheet1!C10)="Low Risk", TRIM(Sheet1!F10)="New"), B8/Sheet3!M2,
    AND(TRIM(Sheet1!C10)="Low Risk", TRIM(Sheet1!F10)="Exp"), B8/Sheet3!N2,
    AND(TRIM(Sheet1!C10)="Low Risk", TRIM(Sheet1!F10)="Swap"), B8/Sheet3!O2,
    AND(TRIM(Sheet1!C10)="Medium Risk", TRIM(Sheet1!F10)="New"), B8/Sheet3!M3,
    AND(TRIM(Sheet1!C10)="Medium Risk", TRIM(Sheet1!F10)="Exp"), B8/Sheet3!N3,
    AND(TRIM(Sheet1!C10)="Medium Risk", TRIM(Sheet1!F10)="Swap"), B8/Sheet3!O3,
    AND(TRIM(Sheet1!C10)="High Risk", TRIM(Sheet1!F10)="New"), B8/Sheet3!M4,
    AND(TRIM(Sheet1!C10)="High Risk", TRIM(Sheet1!F10)="Exp"), B8/Sheet3!N4,
    AND(TRIM(Sheet1!C10)="High Risk", TRIM(Sheet1!F10)="Swap"), B8/Sheet3!O4,
    AND(TRIM(Sheet1!C10)="Very High", TRIM(Sheet1!F10)="New"), B8/Sheet3!M5,
    AND(TRIM(Sheet1!C10)="Very High", TRIM(Sheet1!F10)="Exp"), B8/Sheet3!N5,
    AND(TRIM(Sheet1!C10)="Very High", TRIM(Sheet1!F10)="Swap"), B8/Sheet3!O5)</f>
        <v>18.351388888888888</v>
      </c>
      <c r="E8" s="48"/>
      <c r="F8" s="48"/>
      <c r="G8" s="48"/>
      <c r="H8" s="17">
        <f t="shared" si="0"/>
        <v>4.587847222222222</v>
      </c>
      <c r="I8" s="17">
        <f t="shared" si="1"/>
        <v>1.1469618055555555</v>
      </c>
      <c r="J8" s="17">
        <f t="shared" si="2"/>
        <v>1.1010833333333334</v>
      </c>
      <c r="K8" s="17">
        <f t="shared" si="3"/>
        <v>2.9517650462962961</v>
      </c>
      <c r="L8" s="17">
        <f t="shared" si="4"/>
        <v>1</v>
      </c>
      <c r="M8" s="17">
        <f t="shared" si="5"/>
        <v>4.2141614583333338</v>
      </c>
      <c r="N8" s="17">
        <f t="shared" si="6"/>
        <v>5.6188819444444444</v>
      </c>
      <c r="O8" s="17">
        <f t="shared" si="7"/>
        <v>5.6188819444444444</v>
      </c>
      <c r="P8" s="17">
        <f t="shared" si="8"/>
        <v>5.6188819444444444</v>
      </c>
      <c r="Q8" s="17">
        <f t="shared" si="9"/>
        <v>1</v>
      </c>
      <c r="R8" s="17">
        <f t="shared" si="10"/>
        <v>11.237763888888889</v>
      </c>
      <c r="S8" s="17">
        <f t="shared" si="11"/>
        <v>5.6188819444444444</v>
      </c>
      <c r="T8" s="51" t="s">
        <v>27</v>
      </c>
    </row>
    <row r="9" spans="1:20" x14ac:dyDescent="0.35">
      <c r="A9" s="23" t="s">
        <v>57</v>
      </c>
      <c r="B9" s="41">
        <f>(Sheet1!G10-B3-B4-B5-Sheet1!H10)/(Sheet1!H10-4)</f>
        <v>110.10833333333333</v>
      </c>
      <c r="C9" s="23" t="s">
        <v>58</v>
      </c>
      <c r="D9" s="49">
        <f t="array" ref="D9">_xlfn.IFS(
    AND(TRIM(Sheet1!C10)="Low Risk", TRIM(Sheet1!F10)="New"), B9/Sheet3!M2,
    AND(TRIM(Sheet1!C10)="Low Risk", TRIM(Sheet1!F10)="Exp"), B9/Sheet3!N2,
    AND(TRIM(Sheet1!C10)="Low Risk", TRIM(Sheet1!F10)="Swap"), B9/Sheet3!O2,
    AND(TRIM(Sheet1!C10)="Medium Risk", TRIM(Sheet1!F10)="New"), B9/Sheet3!M3,
    AND(TRIM(Sheet1!C10)="Medium Risk", TRIM(Sheet1!F10)="Exp"), B9/Sheet3!N3,
    AND(TRIM(Sheet1!C10)="Medium Risk", TRIM(Sheet1!F10)="Swap"), B9/Sheet3!O3,
    AND(TRIM(Sheet1!C10)="High Risk", TRIM(Sheet1!F10)="New"), B9/Sheet3!M4,
    AND(TRIM(Sheet1!C10)="High Risk", TRIM(Sheet1!F10)="Exp"), B9/Sheet3!N4,
    AND(TRIM(Sheet1!C10)="High Risk", TRIM(Sheet1!F10)="Swap"), B9/Sheet3!O4,
    AND(TRIM(Sheet1!C10)="Very High", TRIM(Sheet1!F10)="New"), B9/Sheet3!M5,
    AND(TRIM(Sheet1!C10)="Very High", TRIM(Sheet1!F10)="Exp"), B9/Sheet3!N5,
    AND(TRIM(Sheet1!C10)="Very High", TRIM(Sheet1!F10)="Swap"), B9/Sheet3!O5)</f>
        <v>18.351388888888888</v>
      </c>
      <c r="E9" s="49"/>
      <c r="F9" s="49"/>
      <c r="G9" s="49"/>
      <c r="H9" s="17">
        <f t="shared" si="0"/>
        <v>4.587847222222222</v>
      </c>
      <c r="I9" s="17">
        <f t="shared" si="1"/>
        <v>1.1469618055555555</v>
      </c>
      <c r="J9" s="17">
        <f t="shared" si="2"/>
        <v>1.1010833333333334</v>
      </c>
      <c r="K9" s="17">
        <f t="shared" si="3"/>
        <v>2.9517650462962961</v>
      </c>
      <c r="L9" s="17">
        <f t="shared" si="4"/>
        <v>1</v>
      </c>
      <c r="M9" s="17">
        <f t="shared" si="5"/>
        <v>4.2141614583333338</v>
      </c>
      <c r="N9" s="17">
        <f t="shared" si="6"/>
        <v>5.6188819444444444</v>
      </c>
      <c r="O9" s="17">
        <f t="shared" si="7"/>
        <v>5.6188819444444444</v>
      </c>
      <c r="P9" s="17">
        <f t="shared" si="8"/>
        <v>5.6188819444444444</v>
      </c>
      <c r="Q9" s="17">
        <f t="shared" si="9"/>
        <v>1</v>
      </c>
      <c r="R9" s="17">
        <f t="shared" si="10"/>
        <v>11.237763888888889</v>
      </c>
      <c r="S9" s="17">
        <f t="shared" si="11"/>
        <v>5.6188819444444444</v>
      </c>
      <c r="T9" s="51" t="s">
        <v>28</v>
      </c>
    </row>
    <row r="10" spans="1:20" x14ac:dyDescent="0.35">
      <c r="A10" s="23" t="s">
        <v>59</v>
      </c>
      <c r="B10" s="41">
        <f>(Sheet1!G10-B3-B4-B5-Sheet1!H10)/(Sheet1!H10-4)</f>
        <v>110.10833333333333</v>
      </c>
      <c r="C10" s="23" t="s">
        <v>60</v>
      </c>
      <c r="D10" s="49">
        <f t="array" ref="D10">_xlfn.IFS(
    AND(TRIM(Sheet1!C10)="Low Risk", TRIM(Sheet1!F10)="New"), B10/Sheet3!M2,
    AND(TRIM(Sheet1!C10)="Low Risk", TRIM(Sheet1!F10)="Exp"), B10/Sheet3!N2,
    AND(TRIM(Sheet1!C10)="Low Risk", TRIM(Sheet1!F10)="Swap"), B10/Sheet3!O2,
    AND(TRIM(Sheet1!C10)="Medium Risk", TRIM(Sheet1!F10)="New"), B10/Sheet3!M3,
    AND(TRIM(Sheet1!C10)="Medium Risk", TRIM(Sheet1!F10)="Exp"), B10/Sheet3!N3,
    AND(TRIM(Sheet1!C10)="Medium Risk", TRIM(Sheet1!F10)="Swap"), B10/Sheet3!O3,
    AND(TRIM(Sheet1!C10)="High Risk", TRIM(Sheet1!F10)="New"), B10/Sheet3!M4,
    AND(TRIM(Sheet1!C10)="High Risk", TRIM(Sheet1!F10)="Exp"), B10/Sheet3!N4,
    AND(TRIM(Sheet1!C10)="High Risk", TRIM(Sheet1!F10)="Swap"), B10/Sheet3!O4,
    AND(TRIM(Sheet1!C10)="Very High", TRIM(Sheet1!F10)="New"), B10/Sheet3!M5,
    AND(TRIM(Sheet1!C10)="Very High", TRIM(Sheet1!F10)="Exp"), B10/Sheet3!N5,
    AND(TRIM(Sheet1!C10)="Very High", TRIM(Sheet1!F10)="Swap"), B10/Sheet3!O5)</f>
        <v>18.351388888888888</v>
      </c>
      <c r="E10" s="49"/>
      <c r="F10" s="49"/>
      <c r="G10" s="49"/>
      <c r="H10" s="17">
        <f t="shared" si="0"/>
        <v>4.587847222222222</v>
      </c>
      <c r="I10" s="17">
        <f t="shared" si="1"/>
        <v>1.1469618055555555</v>
      </c>
      <c r="J10" s="17">
        <f t="shared" si="2"/>
        <v>1.1010833333333334</v>
      </c>
      <c r="K10" s="17">
        <f t="shared" si="3"/>
        <v>2.9517650462962961</v>
      </c>
      <c r="L10" s="17">
        <f t="shared" si="4"/>
        <v>1</v>
      </c>
      <c r="M10" s="17">
        <f t="shared" si="5"/>
        <v>4.2141614583333338</v>
      </c>
      <c r="N10" s="17">
        <f t="shared" si="6"/>
        <v>5.6188819444444444</v>
      </c>
      <c r="O10" s="17">
        <f t="shared" si="7"/>
        <v>5.6188819444444444</v>
      </c>
      <c r="P10" s="17">
        <f t="shared" si="8"/>
        <v>5.6188819444444444</v>
      </c>
      <c r="Q10" s="17">
        <f t="shared" si="9"/>
        <v>1</v>
      </c>
      <c r="R10" s="17">
        <f t="shared" si="10"/>
        <v>11.237763888888889</v>
      </c>
      <c r="S10" s="17">
        <f t="shared" si="11"/>
        <v>5.6188819444444444</v>
      </c>
      <c r="T10" s="51" t="s">
        <v>29</v>
      </c>
    </row>
    <row r="11" spans="1:20" x14ac:dyDescent="0.35">
      <c r="A11" s="23" t="s">
        <v>61</v>
      </c>
      <c r="B11" s="41">
        <f>(Sheet1!G10-B3-B4-B5-Sheet1!H10)/(Sheet1!H10-4)</f>
        <v>110.10833333333333</v>
      </c>
      <c r="C11" s="23" t="s">
        <v>62</v>
      </c>
      <c r="D11" s="49">
        <f t="array" ref="D11">_xlfn.IFS(
    AND(TRIM(Sheet1!C10)="Low Risk", TRIM(Sheet1!F10)="New"), B11/Sheet3!M2,
    AND(TRIM(Sheet1!C10)="Low Risk", TRIM(Sheet1!F10)="Exp"), B11/Sheet3!N2,
    AND(TRIM(Sheet1!C10)="Low Risk", TRIM(Sheet1!F10)="Swap"), B11/Sheet3!O2,
    AND(TRIM(Sheet1!C10)="Medium Risk", TRIM(Sheet1!F10)="New"), B11/Sheet3!M3,
    AND(TRIM(Sheet1!C10)="Medium Risk", TRIM(Sheet1!F10)="Exp"), B11/Sheet3!N3,
    AND(TRIM(Sheet1!C10)="Medium Risk", TRIM(Sheet1!F10)="Swap"), B11/Sheet3!O3,
    AND(TRIM(Sheet1!C10)="High Risk", TRIM(Sheet1!F10)="New"), B11/Sheet3!M4,
    AND(TRIM(Sheet1!C10)="High Risk", TRIM(Sheet1!F10)="Exp"), B11/Sheet3!N4,
    AND(TRIM(Sheet1!C10)="High Risk", TRIM(Sheet1!F10)="Swap"), B11/Sheet3!O4,
    AND(TRIM(Sheet1!C10)="Very High", TRIM(Sheet1!F10)="New"), B11/Sheet3!M5,
    AND(TRIM(Sheet1!C10)="Very High", TRIM(Sheet1!F10)="Exp"), B11/Sheet3!N5,
    AND(TRIM(Sheet1!C10)="Very High", TRIM(Sheet1!F10)="Swap"), B11/Sheet3!O5)</f>
        <v>18.351388888888888</v>
      </c>
      <c r="E11" s="49"/>
      <c r="F11" s="49"/>
      <c r="G11" s="49"/>
      <c r="H11" s="17">
        <f t="shared" si="0"/>
        <v>4.587847222222222</v>
      </c>
      <c r="I11" s="17">
        <f t="shared" si="1"/>
        <v>1.1469618055555555</v>
      </c>
      <c r="J11" s="17">
        <f t="shared" si="2"/>
        <v>1.1010833333333334</v>
      </c>
      <c r="K11" s="17">
        <f t="shared" si="3"/>
        <v>2.9517650462962961</v>
      </c>
      <c r="L11" s="17">
        <f t="shared" si="4"/>
        <v>1</v>
      </c>
      <c r="M11" s="17">
        <f t="shared" si="5"/>
        <v>4.2141614583333338</v>
      </c>
      <c r="N11" s="17">
        <f t="shared" si="6"/>
        <v>5.6188819444444444</v>
      </c>
      <c r="O11" s="17">
        <f t="shared" si="7"/>
        <v>5.6188819444444444</v>
      </c>
      <c r="P11" s="17">
        <f t="shared" si="8"/>
        <v>5.6188819444444444</v>
      </c>
      <c r="Q11" s="17">
        <f t="shared" si="9"/>
        <v>1</v>
      </c>
      <c r="R11" s="17">
        <f t="shared" si="10"/>
        <v>11.237763888888889</v>
      </c>
      <c r="S11" s="17">
        <f t="shared" si="11"/>
        <v>5.6188819444444444</v>
      </c>
      <c r="T11" s="51" t="s">
        <v>30</v>
      </c>
    </row>
    <row r="12" spans="1:20" x14ac:dyDescent="0.35">
      <c r="A12" s="23" t="s">
        <v>63</v>
      </c>
      <c r="B12" s="41">
        <f>(Sheet1!G10-B3-B4-B5-Sheet1!H10)/(Sheet1!H10-4)</f>
        <v>110.10833333333333</v>
      </c>
      <c r="C12" s="23" t="s">
        <v>64</v>
      </c>
      <c r="D12" s="49">
        <f t="array" ref="D12">_xlfn.IFS(
    AND(TRIM(Sheet1!C10)="Low Risk", TRIM(Sheet1!F10)="New"), B12/Sheet3!M2,
    AND(TRIM(Sheet1!C10)="Low Risk", TRIM(Sheet1!F10)="Exp"), B12/Sheet3!N2,
    AND(TRIM(Sheet1!C10)="Low Risk", TRIM(Sheet1!F10)="Swap"), B12/Sheet3!O2,
    AND(TRIM(Sheet1!C10)="Medium Risk", TRIM(Sheet1!F10)="New"), B12/Sheet3!M3,
    AND(TRIM(Sheet1!C10)="Medium Risk", TRIM(Sheet1!F10)="Exp"), B12/Sheet3!N3,
    AND(TRIM(Sheet1!C10)="Medium Risk", TRIM(Sheet1!F10)="Swap"), B12/Sheet3!O3,
    AND(TRIM(Sheet1!C10)="High Risk", TRIM(Sheet1!F10)="New"), B12/Sheet3!M4,
    AND(TRIM(Sheet1!C10)="High Risk", TRIM(Sheet1!F10)="Exp"), B12/Sheet3!N4,
    AND(TRIM(Sheet1!C10)="High Risk", TRIM(Sheet1!F10)="Swap"), B12/Sheet3!O4,
    AND(TRIM(Sheet1!C10)="Very High", TRIM(Sheet1!F10)="New"), B12/Sheet3!M5,
    AND(TRIM(Sheet1!C10)="Very High", TRIM(Sheet1!F10)="Exp"), B12/Sheet3!N5,
    AND(TRIM(Sheet1!C10)="Very High", TRIM(Sheet1!F10)="Swap"), B12/Sheet3!O5)</f>
        <v>18.351388888888888</v>
      </c>
      <c r="E12" s="49"/>
      <c r="F12" s="49"/>
      <c r="G12" s="49"/>
      <c r="H12" s="17">
        <f t="shared" si="0"/>
        <v>4.587847222222222</v>
      </c>
      <c r="I12" s="17">
        <f t="shared" si="1"/>
        <v>1.1469618055555555</v>
      </c>
      <c r="J12" s="17">
        <f t="shared" si="2"/>
        <v>1.1010833333333334</v>
      </c>
      <c r="K12" s="17">
        <f t="shared" si="3"/>
        <v>2.9517650462962961</v>
      </c>
      <c r="L12" s="17">
        <f t="shared" si="4"/>
        <v>1</v>
      </c>
      <c r="M12" s="17">
        <f t="shared" si="5"/>
        <v>4.2141614583333338</v>
      </c>
      <c r="N12" s="17">
        <f t="shared" si="6"/>
        <v>5.6188819444444444</v>
      </c>
      <c r="O12" s="17">
        <f t="shared" si="7"/>
        <v>5.6188819444444444</v>
      </c>
      <c r="P12" s="17">
        <f t="shared" si="8"/>
        <v>5.6188819444444444</v>
      </c>
      <c r="Q12" s="17">
        <f t="shared" si="9"/>
        <v>1</v>
      </c>
      <c r="R12" s="17">
        <f t="shared" si="10"/>
        <v>11.237763888888889</v>
      </c>
      <c r="S12" s="17">
        <f t="shared" si="11"/>
        <v>5.6188819444444444</v>
      </c>
      <c r="T12" s="51" t="s">
        <v>31</v>
      </c>
    </row>
    <row r="13" spans="1:20" x14ac:dyDescent="0.35">
      <c r="A13" s="23" t="s">
        <v>65</v>
      </c>
      <c r="B13" s="41">
        <f>(Sheet1!G10-B3-B4-B5-Sheet1!H10)/(Sheet1!H10-4)</f>
        <v>110.10833333333333</v>
      </c>
      <c r="C13" s="23" t="s">
        <v>66</v>
      </c>
      <c r="D13" s="49">
        <f t="array" ref="D13">_xlfn.IFS(
    AND(TRIM(Sheet1!C10)="Low Risk", TRIM(Sheet1!F10)="New"), B13/Sheet3!M2,
    AND(TRIM(Sheet1!C10)="Low Risk", TRIM(Sheet1!F10)="Exp"), B13/Sheet3!N2,
    AND(TRIM(Sheet1!C10)="Low Risk", TRIM(Sheet1!F10)="Swap"), B13/Sheet3!O2,
    AND(TRIM(Sheet1!C10)="Medium Risk", TRIM(Sheet1!F10)="New"), B13/Sheet3!M3,
    AND(TRIM(Sheet1!C10)="Medium Risk", TRIM(Sheet1!F10)="Exp"), B13/Sheet3!N3,
    AND(TRIM(Sheet1!C10)="Medium Risk", TRIM(Sheet1!F10)="Swap"), B13/Sheet3!O3,
    AND(TRIM(Sheet1!C10)="High Risk", TRIM(Sheet1!F10)="New"), B13/Sheet3!M4,
    AND(TRIM(Sheet1!C10)="High Risk", TRIM(Sheet1!F10)="Exp"), B13/Sheet3!N4,
    AND(TRIM(Sheet1!C10)="High Risk", TRIM(Sheet1!F10)="Swap"), B13/Sheet3!O4,
    AND(TRIM(Sheet1!C10)="Very High", TRIM(Sheet1!F10)="New"), B13/Sheet3!M5,
    AND(TRIM(Sheet1!C10)="Very High", TRIM(Sheet1!F10)="Exp"), B13/Sheet3!N5,
    AND(TRIM(Sheet1!C10)="Very High", TRIM(Sheet1!F10)="Swap"), B13/Sheet3!O5)</f>
        <v>18.351388888888888</v>
      </c>
      <c r="E13" s="49"/>
      <c r="F13" s="49"/>
      <c r="G13" s="49"/>
      <c r="H13" s="17">
        <f t="shared" si="0"/>
        <v>4.587847222222222</v>
      </c>
      <c r="I13" s="17">
        <f t="shared" si="1"/>
        <v>1.1469618055555555</v>
      </c>
      <c r="J13" s="17">
        <f t="shared" si="2"/>
        <v>1.1010833333333334</v>
      </c>
      <c r="K13" s="17">
        <f t="shared" si="3"/>
        <v>2.9517650462962961</v>
      </c>
      <c r="L13" s="17">
        <f t="shared" si="4"/>
        <v>1</v>
      </c>
      <c r="M13" s="17">
        <f t="shared" si="5"/>
        <v>4.2141614583333338</v>
      </c>
      <c r="N13" s="17">
        <f t="shared" si="6"/>
        <v>5.6188819444444444</v>
      </c>
      <c r="O13" s="17">
        <f t="shared" si="7"/>
        <v>5.6188819444444444</v>
      </c>
      <c r="P13" s="17">
        <f t="shared" si="8"/>
        <v>5.6188819444444444</v>
      </c>
      <c r="Q13" s="17">
        <f t="shared" si="9"/>
        <v>1</v>
      </c>
      <c r="R13" s="17">
        <f t="shared" si="10"/>
        <v>11.237763888888889</v>
      </c>
      <c r="S13" s="17">
        <f t="shared" si="11"/>
        <v>5.6188819444444444</v>
      </c>
      <c r="T13" s="51" t="s">
        <v>32</v>
      </c>
    </row>
    <row r="14" spans="1:20" x14ac:dyDescent="0.35">
      <c r="A14" s="23" t="s">
        <v>67</v>
      </c>
      <c r="B14" s="41">
        <f>Sheet1!G10/Sheet1!H10*0.75</f>
        <v>59.175000000000004</v>
      </c>
      <c r="C14" s="23" t="s">
        <v>68</v>
      </c>
      <c r="D14" s="49">
        <f t="array" ref="D14">_xlfn.IFS(
    AND(TRIM(Sheet1!C10)="Low Risk", TRIM(Sheet1!F10)="New"), B14/Sheet3!M2,
    AND(TRIM(Sheet1!C10)="Low Risk", TRIM(Sheet1!F10)="Exp"), B14/Sheet3!N2,
    AND(TRIM(Sheet1!C10)="Low Risk", TRIM(Sheet1!F10)="Swap"), B14/Sheet3!O2,
    AND(TRIM(Sheet1!C10)="Medium Risk", TRIM(Sheet1!F10)="New"), B14/Sheet3!M3,
    AND(TRIM(Sheet1!C10)="Medium Risk", TRIM(Sheet1!F10)="Exp"), B14/Sheet3!N3,
    AND(TRIM(Sheet1!C10)="Medium Risk", TRIM(Sheet1!F10)="Swap"), B14/Sheet3!O3,
    AND(TRIM(Sheet1!C10)="High Risk", TRIM(Sheet1!F10)="New"), B14/Sheet3!M4,
    AND(TRIM(Sheet1!C10)="High Risk", TRIM(Sheet1!F10)="Exp"), B14/Sheet3!N4,
    AND(TRIM(Sheet1!C10)="High Risk", TRIM(Sheet1!F10)="Swap"), B14/Sheet3!O4,
    AND(TRIM(Sheet1!C10)="Very High", TRIM(Sheet1!F10)="New"), B14/Sheet3!M5,
    AND(TRIM(Sheet1!C10)="Very High", TRIM(Sheet1!F10)="Exp"), B14/Sheet3!N5,
    AND(TRIM(Sheet1!C10)="Very High", TRIM(Sheet1!F10)="Swap"), B14/Sheet3!O5)</f>
        <v>9.8625000000000007</v>
      </c>
      <c r="E14" s="49"/>
      <c r="F14" s="49"/>
      <c r="G14" s="49"/>
      <c r="H14" s="17">
        <f t="shared" si="0"/>
        <v>2.4656250000000002</v>
      </c>
      <c r="I14" s="17">
        <f t="shared" si="1"/>
        <v>1</v>
      </c>
      <c r="J14" s="17">
        <f t="shared" si="2"/>
        <v>1</v>
      </c>
      <c r="K14" s="17">
        <f t="shared" si="3"/>
        <v>1.4114583333333333</v>
      </c>
      <c r="L14" s="17">
        <f t="shared" si="4"/>
        <v>1</v>
      </c>
      <c r="M14" s="17">
        <f t="shared" si="5"/>
        <v>1.4086875000000001</v>
      </c>
      <c r="N14" s="17">
        <f t="shared" si="6"/>
        <v>1.87825</v>
      </c>
      <c r="O14" s="17">
        <f t="shared" si="7"/>
        <v>1.87825</v>
      </c>
      <c r="P14" s="17">
        <f t="shared" si="8"/>
        <v>1.87825</v>
      </c>
      <c r="Q14" s="17">
        <f t="shared" si="9"/>
        <v>1</v>
      </c>
      <c r="R14" s="17">
        <f t="shared" si="10"/>
        <v>3.7565</v>
      </c>
      <c r="S14" s="17">
        <f t="shared" si="11"/>
        <v>1.87825</v>
      </c>
      <c r="T14" s="51" t="s">
        <v>33</v>
      </c>
    </row>
    <row r="16" spans="1:20" x14ac:dyDescent="0.35">
      <c r="A16" s="95" t="s">
        <v>14</v>
      </c>
      <c r="B16" s="91"/>
      <c r="C16" s="91"/>
      <c r="D16" s="91"/>
      <c r="E16" s="91"/>
      <c r="F16" s="91"/>
      <c r="G16" s="91"/>
      <c r="H16" s="91"/>
      <c r="I16" s="91"/>
      <c r="J16" s="92"/>
    </row>
    <row r="17" spans="1:11" ht="28" customHeight="1" x14ac:dyDescent="0.35">
      <c r="A17" s="18" t="s">
        <v>34</v>
      </c>
      <c r="B17" s="18" t="s">
        <v>35</v>
      </c>
      <c r="C17" s="18" t="s">
        <v>36</v>
      </c>
      <c r="D17" s="42" t="s">
        <v>37</v>
      </c>
      <c r="E17" s="22" t="s">
        <v>41</v>
      </c>
      <c r="F17" s="42" t="s">
        <v>42</v>
      </c>
      <c r="G17" s="42" t="s">
        <v>43</v>
      </c>
      <c r="H17" s="18" t="s">
        <v>38</v>
      </c>
      <c r="I17" s="18" t="s">
        <v>39</v>
      </c>
      <c r="J17" s="15" t="s">
        <v>40</v>
      </c>
    </row>
    <row r="18" spans="1:11" x14ac:dyDescent="0.35">
      <c r="A18" s="17">
        <f>B18+B19</f>
        <v>62.4375</v>
      </c>
      <c r="B18" s="41">
        <f>Sheet1!G11/Sheet1!H11*0.25</f>
        <v>20.8125</v>
      </c>
      <c r="C18" s="48">
        <f t="array" ref="C18">_xlfn.IFS(
Sheet1!C11="Low Risk",A18/Sheet3!L6,
Sheet1!C11="Medium Risk",A18/Sheet3!L7,
Sheet1!C11="High Risk",A18/Sheet3!L8,
Sheet1!C11="Very High",A18/Sheet3!L9
)</f>
        <v>1.951171875</v>
      </c>
      <c r="D18" s="48"/>
      <c r="E18" s="48">
        <f t="array" ref="E18">_xlfn.IFS(
    AND(TRIM(Sheet1!C11)="Low Risk", TRIM(Sheet1!F11)="New"), B18/Sheet3!P6,
    AND(TRIM(Sheet1!C11)="Low Risk", TRIM(Sheet1!F11)="Exp"), B18/Sheet3!Q6,
    AND(TRIM(Sheet1!C11)="Low Risk", TRIM(Sheet1!F11)="Swap"), B18/Sheet3!R6,
    AND(TRIM(Sheet1!C11)="Medium Risk", TRIM(Sheet1!F11)="New"), B18/Sheet3!P7,
    AND(TRIM(Sheet1!C11)="Medium Risk", TRIM(Sheet1!F11)="Exp"), B18/Sheet3!Q7,
    AND(TRIM(Sheet1!C11)="Medium Risk", TRIM(Sheet1!F11)="Swap"), B18/Sheet3!R7,
    AND(TRIM(Sheet1!C11)="High Risk", TRIM(Sheet1!F11)="New"), B18/Sheet3!P8,
    AND(TRIM(Sheet1!C11)="High Risk", TRIM(Sheet1!F11)="Exp"), B18/Sheet3!Q8,
    AND(TRIM(Sheet1!C11)="High Risk", TRIM(Sheet1!F11)="Swap"), B18/Sheet3!R7,
    AND(TRIM(Sheet1!C11)="Very High", TRIM(Sheet1!F11)="New"), B18/Sheet3!P9,
    AND(TRIM(Sheet1!C11)="Very High", TRIM(Sheet1!F11)="Exp"), B18/Sheet3!Q9,
    AND(TRIM(Sheet1!C11)="Very High", TRIM(Sheet1!F11)="Swap"), B18/Sheet3!R7)</f>
        <v>3.90234375</v>
      </c>
      <c r="F18" s="48"/>
      <c r="G18" s="48"/>
      <c r="H18" s="17">
        <f t="shared" ref="H18:H29" si="12">IF(E18/4&lt;1,1,E18/4)</f>
        <v>1</v>
      </c>
      <c r="I18" s="17">
        <f t="shared" ref="I18:I29" si="13">IF(H18/4&lt;1,1,H18/4)</f>
        <v>1</v>
      </c>
      <c r="J18" s="17">
        <f t="shared" ref="J18:J29" si="14">IF(B18/100&lt;1,1,B18/100)</f>
        <v>1</v>
      </c>
      <c r="K18" s="51" t="s">
        <v>22</v>
      </c>
    </row>
    <row r="19" spans="1:11" x14ac:dyDescent="0.35">
      <c r="A19" s="17">
        <f>B20+B21</f>
        <v>170.203125</v>
      </c>
      <c r="B19" s="41">
        <f>Sheet1!G11/Sheet1!H11*0.5</f>
        <v>41.625</v>
      </c>
      <c r="C19" s="48">
        <f t="array" ref="C19">_xlfn.IFS(
Sheet1!C11="Low Risk",A19/Sheet3!L6,
Sheet1!C11="Medium Risk",A19/Sheet3!L7,
Sheet1!C11="High Risk",A19/Sheet3!L8,
Sheet1!C11="Very High",A19/Sheet3!L9
)</f>
        <v>5.31884765625</v>
      </c>
      <c r="D19" s="48"/>
      <c r="E19" s="48">
        <f t="array" ref="E19">_xlfn.IFS(
    AND(TRIM(Sheet1!C11)="Low Risk", TRIM(Sheet1!F11)="New"), B19/Sheet3!P6,
    AND(TRIM(Sheet1!C11)="Low Risk", TRIM(Sheet1!F11)="Exp"), B19/Sheet3!Q6,
    AND(TRIM(Sheet1!C11)="Low Risk", TRIM(Sheet1!F11)="Swap"), B19/Sheet3!R6,
    AND(TRIM(Sheet1!C11)="Medium Risk", TRIM(Sheet1!F11)="New"), B19/Sheet3!P7,
    AND(TRIM(Sheet1!C11)="Medium Risk", TRIM(Sheet1!F11)="Exp"), B19/Sheet3!Q7,
    AND(TRIM(Sheet1!C11)="Medium Risk", TRIM(Sheet1!F11)="Swap"), B19/Sheet3!R7,
    AND(TRIM(Sheet1!C11)="High Risk", TRIM(Sheet1!F11)="New"), B19/Sheet3!P8,
    AND(TRIM(Sheet1!C11)="High Risk", TRIM(Sheet1!F11)="Exp"), B19/Sheet3!Q8,
    AND(TRIM(Sheet1!C11)="High Risk", TRIM(Sheet1!F11)="Swap"), B19/Sheet3!R7,
    AND(TRIM(Sheet1!C11)="Very High", TRIM(Sheet1!F11)="New"), B19/Sheet3!P9,
    AND(TRIM(Sheet1!C11)="Very High", TRIM(Sheet1!F11)="Exp"), B19/Sheet3!Q9,
    AND(TRIM(Sheet1!C11)="Very High", TRIM(Sheet1!F11)="Swap"), B19/Sheet3!R7)</f>
        <v>7.8046875</v>
      </c>
      <c r="F19" s="48"/>
      <c r="G19" s="48"/>
      <c r="H19" s="17">
        <f t="shared" si="12"/>
        <v>1.951171875</v>
      </c>
      <c r="I19" s="17">
        <f t="shared" si="13"/>
        <v>1</v>
      </c>
      <c r="J19" s="17">
        <f t="shared" si="14"/>
        <v>1</v>
      </c>
      <c r="K19" s="51" t="s">
        <v>23</v>
      </c>
    </row>
    <row r="20" spans="1:11" x14ac:dyDescent="0.35">
      <c r="A20" s="17">
        <f>B22+B23</f>
        <v>215.53125</v>
      </c>
      <c r="B20" s="41">
        <f>Sheet1!G11/Sheet1!H11*0.75</f>
        <v>62.4375</v>
      </c>
      <c r="C20" s="48">
        <f t="array" ref="C20">_xlfn.IFS(
Sheet1!C11="Low Risk",A20/Sheet3!L2,
Sheet1!C11="Medium Risk",A20/Sheet3!L3,
Sheet1!C11="High Risk",A20/Sheet3!L4,
Sheet1!C11="Very High",A20/Sheet3!L5
)</f>
        <v>4.490234375</v>
      </c>
      <c r="D20" s="48"/>
      <c r="E20" s="48">
        <f t="array" ref="E20">_xlfn.IFS(
    AND(TRIM(Sheet1!C11)="Low Risk", TRIM(Sheet1!F11)="New"), B20/Sheet3!P6,
    AND(TRIM(Sheet1!C11)="Low Risk", TRIM(Sheet1!F11)="Exp"), B20/Sheet3!Q6,
    AND(TRIM(Sheet1!C11)="Low Risk", TRIM(Sheet1!F11)="Swap"), B20/Sheet3!R6,
    AND(TRIM(Sheet1!C11)="Medium Risk", TRIM(Sheet1!F11)="New"), B20/Sheet3!P7,
    AND(TRIM(Sheet1!C11)="Medium Risk", TRIM(Sheet1!F11)="Exp"), B20/Sheet3!Q7,
    AND(TRIM(Sheet1!C11)="Medium Risk", TRIM(Sheet1!F11)="Swap"), B20/Sheet3!R7,
    AND(TRIM(Sheet1!C11)="High Risk", TRIM(Sheet1!F11)="New"), B20/Sheet3!P8,
    AND(TRIM(Sheet1!C11)="High Risk", TRIM(Sheet1!F11)="Exp"), B20/Sheet3!Q8,
    AND(TRIM(Sheet1!C11)="High Risk", TRIM(Sheet1!F11)="Swap"), B20/Sheet3!R7,
    AND(TRIM(Sheet1!C11)="Very High", TRIM(Sheet1!F11)="New"), B20/Sheet3!P9,
    AND(TRIM(Sheet1!C11)="Very High", TRIM(Sheet1!F11)="Exp"), B20/Sheet3!Q9,
    AND(TRIM(Sheet1!C11)="Very High", TRIM(Sheet1!F11)="Swap"), B20/Sheet3!R7)</f>
        <v>11.70703125</v>
      </c>
      <c r="F20" s="48"/>
      <c r="G20" s="48"/>
      <c r="H20" s="17">
        <f t="shared" si="12"/>
        <v>2.9267578125</v>
      </c>
      <c r="I20" s="17">
        <f t="shared" si="13"/>
        <v>1</v>
      </c>
      <c r="J20" s="17">
        <f t="shared" si="14"/>
        <v>1</v>
      </c>
      <c r="K20" s="51" t="s">
        <v>24</v>
      </c>
    </row>
    <row r="21" spans="1:11" x14ac:dyDescent="0.35">
      <c r="A21" s="17">
        <f>B24+B25</f>
        <v>215.53125</v>
      </c>
      <c r="B21" s="41">
        <f>(Sheet1!G11-B18-B19-B20-Sheet1!H11)/(Sheet1!H11-4)</f>
        <v>107.765625</v>
      </c>
      <c r="C21" s="48">
        <f t="array" ref="C21">_xlfn.IFS(
Sheet1!C11="Low Risk",A21/Sheet3!L2,
Sheet1!C11="Medium Risk",A21/Sheet3!L3,
Sheet1!C11="High Risk",A21/Sheet3!L4,
Sheet1!C11="Very High",A21/Sheet3!L5
)</f>
        <v>4.490234375</v>
      </c>
      <c r="D21" s="48"/>
      <c r="E21" s="48">
        <f t="array" ref="E21">_xlfn.IFS(
    AND(TRIM(Sheet1!C11)="Low Risk", TRIM(Sheet1!F11)="New"), B21/Sheet3!P2,
    AND(TRIM(Sheet1!C11)="Low Risk", TRIM(Sheet1!F11)="Exp"), B21/Sheet3!Q2,
    AND(TRIM(Sheet1!C11)="Low Risk", TRIM(Sheet1!F11)="Swap"), B21/Sheet3!R2,
    AND(TRIM(Sheet1!C11)="Medium Risk", TRIM(Sheet1!F11)="New"), B21/Sheet3!P3,
    AND(TRIM(Sheet1!C11)="Medium Risk", TRIM(Sheet1!F11)="Exp"), B21/Sheet3!Q3,
    AND(TRIM(Sheet1!C11)="Medium Risk", TRIM(Sheet1!F11)="Swap"), B21/Sheet3!R3,
    AND(TRIM(Sheet1!C11)="High Risk", TRIM(Sheet1!F11)="New"), B21/Sheet3!P4,
    AND(TRIM(Sheet1!C11)="High Risk", TRIM(Sheet1!F11)="Exp"), B21/Sheet3!Q4,
    AND(TRIM(Sheet1!C11)="High Risk", TRIM(Sheet1!F11)="Swap"), B21/Sheet3!R4,
    AND(TRIM(Sheet1!C11)="Very High", TRIM(Sheet1!F11)="New"), B21/Sheet3!P5,
    AND(TRIM(Sheet1!C11)="Very High", TRIM(Sheet1!F11)="Exp"), B21/Sheet3!Q5,
    AND(TRIM(Sheet1!C11)="Very High", TRIM(Sheet1!F11)="Swap"), B21/Sheet3!R5)</f>
        <v>13.470703125</v>
      </c>
      <c r="F21" s="48"/>
      <c r="G21" s="48"/>
      <c r="H21" s="17">
        <f t="shared" si="12"/>
        <v>3.36767578125</v>
      </c>
      <c r="I21" s="17">
        <f t="shared" si="13"/>
        <v>1</v>
      </c>
      <c r="J21" s="17">
        <f t="shared" si="14"/>
        <v>1.07765625</v>
      </c>
      <c r="K21" s="51" t="s">
        <v>25</v>
      </c>
    </row>
    <row r="22" spans="1:11" x14ac:dyDescent="0.35">
      <c r="A22" s="17">
        <f>B26+B27</f>
        <v>215.53125</v>
      </c>
      <c r="B22" s="41">
        <f>(Sheet1!G11-B18-B19-B20-Sheet1!H11)/(Sheet1!H11-4)</f>
        <v>107.765625</v>
      </c>
      <c r="C22" s="48">
        <f t="array" ref="C22">_xlfn.IFS(
Sheet1!C11="Low Risk",A22/Sheet3!L2,
Sheet1!C11="Medium Risk",A22/Sheet3!L3,
Sheet1!C11="High Risk",A22/Sheet3!L4,
Sheet1!C11="Very High",A22/Sheet3!L5
)</f>
        <v>4.490234375</v>
      </c>
      <c r="D22" s="48"/>
      <c r="E22" s="48">
        <f t="array" ref="E22">_xlfn.IFS(
    AND(TRIM(Sheet1!C11)="Low Risk", TRIM(Sheet1!F11)="New"), B22/Sheet3!P2,
    AND(TRIM(Sheet1!C11)="Low Risk", TRIM(Sheet1!F11)="Exp"), B22/Sheet3!Q2,
    AND(TRIM(Sheet1!C11)="Low Risk", TRIM(Sheet1!F11)="Swap"), B22/Sheet3!R2,
    AND(TRIM(Sheet1!C11)="Medium Risk", TRIM(Sheet1!F11)="New"), B22/Sheet3!P3,
    AND(TRIM(Sheet1!C11)="Medium Risk", TRIM(Sheet1!F11)="Exp"), B22/Sheet3!Q3,
    AND(TRIM(Sheet1!C11)="Medium Risk", TRIM(Sheet1!F11)="Swap"), B22/Sheet3!R3,
    AND(TRIM(Sheet1!C11)="High Risk", TRIM(Sheet1!F11)="New"), B22/Sheet3!P4,
    AND(TRIM(Sheet1!C11)="High Risk", TRIM(Sheet1!F11)="Exp"), B22/Sheet3!Q4,
    AND(TRIM(Sheet1!C11)="High Risk", TRIM(Sheet1!F11)="Swap"), B22/Sheet3!R4,
    AND(TRIM(Sheet1!C11)="Very High", TRIM(Sheet1!F11)="New"), B22/Sheet3!P5,
    AND(TRIM(Sheet1!C11)="Very High", TRIM(Sheet1!F11)="Exp"), B22/Sheet3!Q5,
    AND(TRIM(Sheet1!C11)="Very High", TRIM(Sheet1!F11)="Swap"), B22/Sheet3!R5)</f>
        <v>13.470703125</v>
      </c>
      <c r="F22" s="48"/>
      <c r="G22" s="48"/>
      <c r="H22" s="17">
        <f t="shared" si="12"/>
        <v>3.36767578125</v>
      </c>
      <c r="I22" s="17">
        <f t="shared" si="13"/>
        <v>1</v>
      </c>
      <c r="J22" s="17">
        <f t="shared" si="14"/>
        <v>1.07765625</v>
      </c>
      <c r="K22" s="51" t="s">
        <v>26</v>
      </c>
    </row>
    <row r="23" spans="1:11" x14ac:dyDescent="0.35">
      <c r="A23" s="17">
        <f>B28+B29</f>
        <v>170.203125</v>
      </c>
      <c r="B23" s="41">
        <f>(Sheet1!G11-B18-B19-B20-Sheet1!H11)/(Sheet1!H11-4)</f>
        <v>107.765625</v>
      </c>
      <c r="C23" s="48">
        <f t="array" ref="C23">_xlfn.IFS(
Sheet1!C11="Low Risk",A23/Sheet3!L2,
Sheet1!C11="Medium Risk",A23/Sheet3!L3,
Sheet1!C11="High Risk",A23/Sheet3!L4,
Sheet1!C11="Very High",A23/Sheet3!L5
)</f>
        <v>3.5458984375</v>
      </c>
      <c r="D23" s="48"/>
      <c r="E23" s="48">
        <f t="array" ref="E23">_xlfn.IFS(
    AND(TRIM(Sheet1!C11)="Low Risk", TRIM(Sheet1!F11)="New"), B23/Sheet3!P2,
    AND(TRIM(Sheet1!C11)="Low Risk", TRIM(Sheet1!F11)="Exp"), B23/Sheet3!Q2,
    AND(TRIM(Sheet1!C11)="Low Risk", TRIM(Sheet1!F11)="Swap"), B23/Sheet3!R2,
    AND(TRIM(Sheet1!C11)="Medium Risk", TRIM(Sheet1!F11)="New"), B23/Sheet3!P3,
    AND(TRIM(Sheet1!C11)="Medium Risk", TRIM(Sheet1!F11)="Exp"), B23/Sheet3!Q3,
    AND(TRIM(Sheet1!C11)="Medium Risk", TRIM(Sheet1!F11)="Swap"), B23/Sheet3!R3,
    AND(TRIM(Sheet1!C11)="High Risk", TRIM(Sheet1!F11)="New"), B23/Sheet3!P4,
    AND(TRIM(Sheet1!C11)="High Risk", TRIM(Sheet1!F11)="Exp"), B23/Sheet3!Q4,
    AND(TRIM(Sheet1!C11)="High Risk", TRIM(Sheet1!F11)="Swap"), B23/Sheet3!R4,
    AND(TRIM(Sheet1!C11)="Very High", TRIM(Sheet1!F11)="New"), B23/Sheet3!P5,
    AND(TRIM(Sheet1!C11)="Very High", TRIM(Sheet1!F11)="Exp"), B23/Sheet3!Q5,
    AND(TRIM(Sheet1!C11)="Very High", TRIM(Sheet1!F11)="Swap"), B23/Sheet3!R5)</f>
        <v>13.470703125</v>
      </c>
      <c r="F23" s="48"/>
      <c r="G23" s="48"/>
      <c r="H23" s="17">
        <f t="shared" si="12"/>
        <v>3.36767578125</v>
      </c>
      <c r="I23" s="17">
        <f t="shared" si="13"/>
        <v>1</v>
      </c>
      <c r="J23" s="17">
        <f t="shared" si="14"/>
        <v>1.07765625</v>
      </c>
      <c r="K23" s="51" t="s">
        <v>27</v>
      </c>
    </row>
    <row r="24" spans="1:11" x14ac:dyDescent="0.35">
      <c r="A24" s="23" t="s">
        <v>57</v>
      </c>
      <c r="B24" s="41">
        <f>(Sheet1!G11-B18-B19-B20-Sheet1!H11)/(Sheet1!H11-4)</f>
        <v>107.765625</v>
      </c>
      <c r="C24" s="23" t="s">
        <v>58</v>
      </c>
      <c r="D24" s="49"/>
      <c r="E24" s="49">
        <f t="array" ref="E24">_xlfn.IFS(
    AND(TRIM(Sheet1!C11)="Low Risk", TRIM(Sheet1!F11)="New"), B24/Sheet3!P2,
    AND(TRIM(Sheet1!C11)="Low Risk", TRIM(Sheet1!F11)="Exp"), B24/Sheet3!Q2,
    AND(TRIM(Sheet1!C11)="Low Risk", TRIM(Sheet1!F11)="Swap"), B24/Sheet3!R2,
    AND(TRIM(Sheet1!C11)="Medium Risk", TRIM(Sheet1!F11)="New"), B24/Sheet3!P3,
    AND(TRIM(Sheet1!C11)="Medium Risk", TRIM(Sheet1!F11)="Exp"), B24/Sheet3!Q3,
    AND(TRIM(Sheet1!C11)="Medium Risk", TRIM(Sheet1!F11)="Swap"), B24/Sheet3!R3,
    AND(TRIM(Sheet1!C11)="High Risk", TRIM(Sheet1!F11)="New"), B24/Sheet3!P4,
    AND(TRIM(Sheet1!C11)="High Risk", TRIM(Sheet1!F11)="Exp"), B24/Sheet3!Q4,
    AND(TRIM(Sheet1!C11)="High Risk", TRIM(Sheet1!F11)="Swap"), B24/Sheet3!R4,
    AND(TRIM(Sheet1!C11)="Very High", TRIM(Sheet1!F11)="New"), B24/Sheet3!P5,
    AND(TRIM(Sheet1!C11)="Very High", TRIM(Sheet1!F11)="Exp"), B24/Sheet3!Q5,
    AND(TRIM(Sheet1!C11)="Very High", TRIM(Sheet1!F11)="Swap"), B24/Sheet3!R5)</f>
        <v>13.470703125</v>
      </c>
      <c r="F24" s="49"/>
      <c r="G24" s="49"/>
      <c r="H24" s="17">
        <f t="shared" si="12"/>
        <v>3.36767578125</v>
      </c>
      <c r="I24" s="17">
        <f t="shared" si="13"/>
        <v>1</v>
      </c>
      <c r="J24" s="17">
        <f t="shared" si="14"/>
        <v>1.07765625</v>
      </c>
      <c r="K24" s="51" t="s">
        <v>28</v>
      </c>
    </row>
    <row r="25" spans="1:11" x14ac:dyDescent="0.35">
      <c r="A25" s="23" t="s">
        <v>59</v>
      </c>
      <c r="B25" s="41">
        <f>(Sheet1!G11-B18-B19-B20-Sheet1!H11)/(Sheet1!H11-4)</f>
        <v>107.765625</v>
      </c>
      <c r="C25" s="23" t="s">
        <v>60</v>
      </c>
      <c r="D25" s="49"/>
      <c r="E25" s="49">
        <f t="array" ref="E25">_xlfn.IFS(
    AND(TRIM(Sheet1!C11)="Low Risk", TRIM(Sheet1!F11)="New"), B25/Sheet3!P2,
    AND(TRIM(Sheet1!C11)="Low Risk", TRIM(Sheet1!F11)="Exp"), B25/Sheet3!Q2,
    AND(TRIM(Sheet1!C11)="Low Risk", TRIM(Sheet1!F11)="Swap"), B25/Sheet3!R2,
    AND(TRIM(Sheet1!C11)="Medium Risk", TRIM(Sheet1!F11)="New"), B25/Sheet3!P3,
    AND(TRIM(Sheet1!C11)="Medium Risk", TRIM(Sheet1!F11)="Exp"), B25/Sheet3!Q3,
    AND(TRIM(Sheet1!C11)="Medium Risk", TRIM(Sheet1!F11)="Swap"), B25/Sheet3!R3,
    AND(TRIM(Sheet1!C11)="High Risk", TRIM(Sheet1!F11)="New"), B25/Sheet3!P4,
    AND(TRIM(Sheet1!C11)="High Risk", TRIM(Sheet1!F11)="Exp"), B25/Sheet3!Q4,
    AND(TRIM(Sheet1!C11)="High Risk", TRIM(Sheet1!F11)="Swap"), B25/Sheet3!R4,
    AND(TRIM(Sheet1!C11)="Very High", TRIM(Sheet1!F11)="New"), B25/Sheet3!P5,
    AND(TRIM(Sheet1!C11)="Very High", TRIM(Sheet1!F11)="Exp"), B25/Sheet3!Q5,
    AND(TRIM(Sheet1!C11)="Very High", TRIM(Sheet1!F11)="Swap"), B25/Sheet3!R5)</f>
        <v>13.470703125</v>
      </c>
      <c r="F25" s="49"/>
      <c r="G25" s="49"/>
      <c r="H25" s="17">
        <f t="shared" si="12"/>
        <v>3.36767578125</v>
      </c>
      <c r="I25" s="17">
        <f t="shared" si="13"/>
        <v>1</v>
      </c>
      <c r="J25" s="17">
        <f t="shared" si="14"/>
        <v>1.07765625</v>
      </c>
      <c r="K25" s="51" t="s">
        <v>29</v>
      </c>
    </row>
    <row r="26" spans="1:11" x14ac:dyDescent="0.35">
      <c r="A26" s="23" t="s">
        <v>61</v>
      </c>
      <c r="B26" s="41">
        <f>(Sheet1!G11-B18-B19-B20-Sheet1!H11)/(Sheet1!H11-4)</f>
        <v>107.765625</v>
      </c>
      <c r="C26" s="23" t="s">
        <v>62</v>
      </c>
      <c r="D26" s="49"/>
      <c r="E26" s="49">
        <f t="array" ref="E26">_xlfn.IFS(
    AND(TRIM(Sheet1!C11)="Low Risk", TRIM(Sheet1!F11)="New"), B26/Sheet3!P2,
    AND(TRIM(Sheet1!C11)="Low Risk", TRIM(Sheet1!F11)="Exp"), B26/Sheet3!Q2,
    AND(TRIM(Sheet1!C11)="Low Risk", TRIM(Sheet1!F11)="Swap"), B26/Sheet3!R2,
    AND(TRIM(Sheet1!C11)="Medium Risk", TRIM(Sheet1!F11)="New"), B26/Sheet3!P3,
    AND(TRIM(Sheet1!C11)="Medium Risk", TRIM(Sheet1!F11)="Exp"), B26/Sheet3!Q3,
    AND(TRIM(Sheet1!C11)="Medium Risk", TRIM(Sheet1!F11)="Swap"), B26/Sheet3!R3,
    AND(TRIM(Sheet1!C11)="High Risk", TRIM(Sheet1!F11)="New"), B26/Sheet3!P4,
    AND(TRIM(Sheet1!C11)="High Risk", TRIM(Sheet1!F11)="Exp"), B26/Sheet3!Q4,
    AND(TRIM(Sheet1!C11)="High Risk", TRIM(Sheet1!F11)="Swap"), B26/Sheet3!R4,
    AND(TRIM(Sheet1!C11)="Very High", TRIM(Sheet1!F11)="New"), B26/Sheet3!P5,
    AND(TRIM(Sheet1!C11)="Very High", TRIM(Sheet1!F11)="Exp"), B26/Sheet3!Q5,
    AND(TRIM(Sheet1!C11)="Very High", TRIM(Sheet1!F11)="Swap"), B26/Sheet3!R5)</f>
        <v>13.470703125</v>
      </c>
      <c r="F26" s="49"/>
      <c r="G26" s="49"/>
      <c r="H26" s="17">
        <f t="shared" si="12"/>
        <v>3.36767578125</v>
      </c>
      <c r="I26" s="17">
        <f t="shared" si="13"/>
        <v>1</v>
      </c>
      <c r="J26" s="17">
        <f t="shared" si="14"/>
        <v>1.07765625</v>
      </c>
      <c r="K26" s="51" t="s">
        <v>30</v>
      </c>
    </row>
    <row r="27" spans="1:11" x14ac:dyDescent="0.35">
      <c r="A27" s="23" t="s">
        <v>63</v>
      </c>
      <c r="B27" s="41">
        <f>(Sheet1!G11-B18-B19-B20-Sheet1!H11)/(Sheet1!H11-4)</f>
        <v>107.765625</v>
      </c>
      <c r="C27" s="23" t="s">
        <v>64</v>
      </c>
      <c r="D27" s="49"/>
      <c r="E27" s="49">
        <f t="array" ref="E27">_xlfn.IFS(
    AND(TRIM(Sheet1!C11)="Low Risk", TRIM(Sheet1!F11)="New"), B27/Sheet3!P2,
    AND(TRIM(Sheet1!C11)="Low Risk", TRIM(Sheet1!F11)="Exp"), B27/Sheet3!Q2,
    AND(TRIM(Sheet1!C11)="Low Risk", TRIM(Sheet1!F11)="Swap"), B27/Sheet3!R2,
    AND(TRIM(Sheet1!C11)="Medium Risk", TRIM(Sheet1!F11)="New"), B27/Sheet3!P3,
    AND(TRIM(Sheet1!C11)="Medium Risk", TRIM(Sheet1!F11)="Exp"), B27/Sheet3!Q3,
    AND(TRIM(Sheet1!C11)="Medium Risk", TRIM(Sheet1!F11)="Swap"), B27/Sheet3!R3,
    AND(TRIM(Sheet1!C11)="High Risk", TRIM(Sheet1!F11)="New"), B27/Sheet3!P4,
    AND(TRIM(Sheet1!C11)="High Risk", TRIM(Sheet1!F11)="Exp"), B27/Sheet3!Q4,
    AND(TRIM(Sheet1!C11)="High Risk", TRIM(Sheet1!F11)="Swap"), B27/Sheet3!R4,
    AND(TRIM(Sheet1!C11)="Very High", TRIM(Sheet1!F11)="New"), B27/Sheet3!P5,
    AND(TRIM(Sheet1!C11)="Very High", TRIM(Sheet1!F11)="Exp"), B27/Sheet3!Q5,
    AND(TRIM(Sheet1!C11)="Very High", TRIM(Sheet1!F11)="Swap"), B27/Sheet3!R5)</f>
        <v>13.470703125</v>
      </c>
      <c r="F27" s="49"/>
      <c r="G27" s="49"/>
      <c r="H27" s="17">
        <f t="shared" si="12"/>
        <v>3.36767578125</v>
      </c>
      <c r="I27" s="17">
        <f t="shared" si="13"/>
        <v>1</v>
      </c>
      <c r="J27" s="17">
        <f t="shared" si="14"/>
        <v>1.07765625</v>
      </c>
      <c r="K27" s="51" t="s">
        <v>31</v>
      </c>
    </row>
    <row r="28" spans="1:11" x14ac:dyDescent="0.35">
      <c r="A28" s="23" t="s">
        <v>65</v>
      </c>
      <c r="B28" s="41">
        <f>(Sheet1!G11-B18-B19-B20-Sheet1!H11)/(Sheet1!H11-4)</f>
        <v>107.765625</v>
      </c>
      <c r="C28" s="23" t="s">
        <v>66</v>
      </c>
      <c r="D28" s="49"/>
      <c r="E28" s="49">
        <f t="array" ref="E28">_xlfn.IFS(
    AND(TRIM(Sheet1!C11)="Low Risk", TRIM(Sheet1!F11)="New"), B28/Sheet3!P2,
    AND(TRIM(Sheet1!C11)="Low Risk", TRIM(Sheet1!F11)="Exp"), B28/Sheet3!Q2,
    AND(TRIM(Sheet1!C11)="Low Risk", TRIM(Sheet1!F11)="Swap"), B28/Sheet3!R2,
    AND(TRIM(Sheet1!C11)="Medium Risk", TRIM(Sheet1!F11)="New"), B28/Sheet3!P3,
    AND(TRIM(Sheet1!C11)="Medium Risk", TRIM(Sheet1!F11)="Exp"), B28/Sheet3!Q3,
    AND(TRIM(Sheet1!C11)="Medium Risk", TRIM(Sheet1!F11)="Swap"), B28/Sheet3!R3,
    AND(TRIM(Sheet1!C11)="High Risk", TRIM(Sheet1!F11)="New"), B28/Sheet3!P4,
    AND(TRIM(Sheet1!C11)="High Risk", TRIM(Sheet1!F11)="Exp"), B28/Sheet3!Q4,
    AND(TRIM(Sheet1!C11)="High Risk", TRIM(Sheet1!F11)="Swap"), B28/Sheet3!R4,
    AND(TRIM(Sheet1!C11)="Very High", TRIM(Sheet1!F11)="New"), B28/Sheet3!P5,
    AND(TRIM(Sheet1!C11)="Very High", TRIM(Sheet1!F11)="Exp"), B28/Sheet3!Q5,
    AND(TRIM(Sheet1!C11)="Very High", TRIM(Sheet1!F11)="Swap"), B28/Sheet3!R5)</f>
        <v>13.470703125</v>
      </c>
      <c r="F28" s="49"/>
      <c r="G28" s="49"/>
      <c r="H28" s="17">
        <f t="shared" si="12"/>
        <v>3.36767578125</v>
      </c>
      <c r="I28" s="17">
        <f t="shared" si="13"/>
        <v>1</v>
      </c>
      <c r="J28" s="17">
        <f t="shared" si="14"/>
        <v>1.07765625</v>
      </c>
      <c r="K28" s="51" t="s">
        <v>32</v>
      </c>
    </row>
    <row r="29" spans="1:11" x14ac:dyDescent="0.35">
      <c r="A29" s="23" t="s">
        <v>67</v>
      </c>
      <c r="B29" s="41">
        <f>Sheet1!G11/Sheet1!H11*0.75</f>
        <v>62.4375</v>
      </c>
      <c r="C29" s="23" t="s">
        <v>68</v>
      </c>
      <c r="D29" s="49"/>
      <c r="E29" s="49">
        <f t="array" ref="E29">_xlfn.IFS(
    AND(TRIM(Sheet1!C11)="Low Risk", TRIM(Sheet1!F11)="New"), B29/Sheet3!P2,
    AND(TRIM(Sheet1!C11)="Low Risk", TRIM(Sheet1!F11)="Exp"), B29/Sheet3!Q2,
    AND(TRIM(Sheet1!C11)="Low Risk", TRIM(Sheet1!F11)="Swap"), B29/Sheet3!R2,
    AND(TRIM(Sheet1!C11)="Medium Risk", TRIM(Sheet1!F11)="New"), B29/Sheet3!P3,
    AND(TRIM(Sheet1!C11)="Medium Risk", TRIM(Sheet1!F11)="Exp"), B29/Sheet3!Q3,
    AND(TRIM(Sheet1!C11)="Medium Risk", TRIM(Sheet1!F11)="Swap"), B29/Sheet3!R3,
    AND(TRIM(Sheet1!C11)="High Risk", TRIM(Sheet1!F11)="New"), B29/Sheet3!P4,
    AND(TRIM(Sheet1!C11)="High Risk", TRIM(Sheet1!F11)="Exp"), B29/Sheet3!Q4,
    AND(TRIM(Sheet1!C11)="High Risk", TRIM(Sheet1!F11)="Swap"), B29/Sheet3!R4,
    AND(TRIM(Sheet1!C11)="Very High", TRIM(Sheet1!F11)="New"), B29/Sheet3!P5,
    AND(TRIM(Sheet1!C11)="Very High", TRIM(Sheet1!F11)="Exp"), B29/Sheet3!Q5,
    AND(TRIM(Sheet1!C11)="Very High", TRIM(Sheet1!F11)="Swap"), B29/Sheet3!R5)</f>
        <v>7.8046875</v>
      </c>
      <c r="F29" s="49"/>
      <c r="G29" s="49"/>
      <c r="H29" s="17">
        <f t="shared" si="12"/>
        <v>1.951171875</v>
      </c>
      <c r="I29" s="17">
        <f t="shared" si="13"/>
        <v>1</v>
      </c>
      <c r="J29" s="17">
        <f t="shared" si="14"/>
        <v>1</v>
      </c>
      <c r="K29" s="51" t="s">
        <v>33</v>
      </c>
    </row>
    <row r="31" spans="1:11" ht="27.5" customHeight="1" x14ac:dyDescent="0.35">
      <c r="A31" s="95" t="s">
        <v>12</v>
      </c>
      <c r="B31" s="91"/>
      <c r="C31" s="91"/>
      <c r="D31" s="91"/>
      <c r="E31" s="91"/>
      <c r="F31" s="91"/>
      <c r="G31" s="91"/>
      <c r="H31" s="91"/>
      <c r="I31" s="91"/>
      <c r="J31" s="92"/>
    </row>
    <row r="32" spans="1:11" ht="29" customHeight="1" x14ac:dyDescent="0.35">
      <c r="A32" s="18" t="s">
        <v>34</v>
      </c>
      <c r="B32" s="18" t="s">
        <v>35</v>
      </c>
      <c r="C32" s="18" t="s">
        <v>36</v>
      </c>
      <c r="D32" s="42" t="s">
        <v>37</v>
      </c>
      <c r="E32" s="42" t="s">
        <v>41</v>
      </c>
      <c r="F32" s="22" t="s">
        <v>42</v>
      </c>
      <c r="G32" s="42" t="s">
        <v>43</v>
      </c>
      <c r="H32" s="18" t="s">
        <v>38</v>
      </c>
      <c r="I32" s="18" t="s">
        <v>39</v>
      </c>
      <c r="J32" s="15" t="s">
        <v>40</v>
      </c>
    </row>
    <row r="33" spans="1:11" x14ac:dyDescent="0.35">
      <c r="A33" s="17">
        <f>B33+B34</f>
        <v>118.5</v>
      </c>
      <c r="B33" s="41">
        <f>Sheet1!G12/Sheet1!H12*0.25</f>
        <v>39.5</v>
      </c>
      <c r="C33" s="48">
        <f t="array" ref="C33">_xlfn.IFS(
Sheet1!C12="Low Risk",A33/Sheet3!L6,
Sheet1!C12="Medium Risk",A33/Sheet3!L7,
Sheet1!C12="High Risk",A33/Sheet3!L8,
Sheet1!C12="Very High",A33/Sheet3!L9
)</f>
        <v>3.703125</v>
      </c>
      <c r="D33" s="48"/>
      <c r="E33" s="48"/>
      <c r="F33" s="48">
        <f t="array" ref="F33">_xlfn.IFS(
    AND(TRIM(Sheet1!C12)="Low Risk", TRIM(Sheet1!F12)="New"), B33/Sheet3!S6,
    AND(TRIM(Sheet1!C12)="Low Risk", TRIM(Sheet1!F12)="Exp"), B33/Sheet3!T6,
    AND(TRIM(Sheet1!C12)="Low Risk", TRIM(Sheet1!F12)="Swap"), B33/Sheet3!U6,
    AND(TRIM(Sheet1!C12)="Medium Risk", TRIM(Sheet1!F12)="New"), B33/Sheet3!S7,
    AND(TRIM(Sheet1!C12)="Medium Risk", TRIM(Sheet1!F12)="Exp"), B33/Sheet3!T7,
    AND(TRIM(Sheet1!C12)="Medium Risk", TRIM(Sheet1!F12)="Swap"), B33/Sheet3!U7,
    AND(TRIM(Sheet1!C12)="High Risk", TRIM(Sheet1!F12)="New"), B33/Sheet3!S8,
    AND(TRIM(Sheet1!C12)="High Risk", TRIM(Sheet1!F12)="Exp"), B33/Sheet3!T8,
    AND(TRIM(Sheet1!C12)="High Risk", TRIM(Sheet1!F12)="Swap"), B33/Sheet3!U8,
    AND(TRIM(Sheet1!C12)="Very High", TRIM(Sheet1!F12)="New"), B33/Sheet3!S9,
    AND(TRIM(Sheet1!C12)="Very High", TRIM(Sheet1!F12)="Exp"), B33/Sheet3!T9,
    AND(TRIM(Sheet1!C12)="Very High", TRIM(Sheet1!F12)="Swap"), B33/Sheet3!U9)</f>
        <v>9.875</v>
      </c>
      <c r="G33" s="48"/>
      <c r="H33" s="17">
        <f t="shared" ref="H33:H44" si="15">IF(F33/4&lt;1,1,F33/4)</f>
        <v>2.46875</v>
      </c>
      <c r="I33" s="17">
        <f t="shared" ref="I33:I44" si="16">IF(H33/4&lt;1,1,H33/4)</f>
        <v>1</v>
      </c>
      <c r="J33" s="17">
        <f t="shared" ref="J33:J44" si="17">IF(B33/100&lt;1,1,B33/100)</f>
        <v>1</v>
      </c>
      <c r="K33" s="51" t="s">
        <v>22</v>
      </c>
    </row>
    <row r="34" spans="1:11" x14ac:dyDescent="0.35">
      <c r="A34" s="17">
        <f>B35+B36</f>
        <v>666.5</v>
      </c>
      <c r="B34" s="41">
        <f>Sheet1!G12/Sheet1!H12*0.5</f>
        <v>79</v>
      </c>
      <c r="C34" s="48">
        <f t="array" ref="C34">_xlfn.IFS(
Sheet1!C12="Low Risk",A34/Sheet3!L6,
Sheet1!C12="Medium Risk",A34/Sheet3!L7,
Sheet1!C12="High Risk",A34/Sheet3!L8,
Sheet1!C12="Very High",A34/Sheet3!L9
)</f>
        <v>20.828125</v>
      </c>
      <c r="D34" s="48"/>
      <c r="E34" s="48"/>
      <c r="F34" s="48">
        <f t="array" ref="F34">_xlfn.IFS(
    AND(TRIM(Sheet1!C12)="Low Risk", TRIM(Sheet1!F12)="New"), B34/Sheet3!S6,
    AND(TRIM(Sheet1!C12)="Low Risk", TRIM(Sheet1!F12)="Exp"), B34/Sheet3!T6,
    AND(TRIM(Sheet1!C12)="Low Risk", TRIM(Sheet1!F12)="Swap"), B34/Sheet3!U6,
    AND(TRIM(Sheet1!C12)="Medium Risk", TRIM(Sheet1!F12)="New"), B34/Sheet3!S7,
    AND(TRIM(Sheet1!C12)="Medium Risk", TRIM(Sheet1!F12)="Exp"), B34/Sheet3!T7,
    AND(TRIM(Sheet1!C12)="Medium Risk", TRIM(Sheet1!F12)="Swap"), B34/Sheet3!U7,
    AND(TRIM(Sheet1!C12)="High Risk", TRIM(Sheet1!F12)="New"), B34/Sheet3!S8,
    AND(TRIM(Sheet1!C12)="High Risk", TRIM(Sheet1!F12)="Exp"), B34/Sheet3!T8,
    AND(TRIM(Sheet1!C12)="High Risk", TRIM(Sheet1!F12)="Swap"), B34/Sheet3!U8,
    AND(TRIM(Sheet1!C12)="Very High", TRIM(Sheet1!F12)="New"), B34/Sheet3!S9,
    AND(TRIM(Sheet1!C12)="Very High", TRIM(Sheet1!F12)="Exp"), B34/Sheet3!T9,
    AND(TRIM(Sheet1!C12)="Very High", TRIM(Sheet1!F12)="Swap"), B34/Sheet3!U9)</f>
        <v>19.75</v>
      </c>
      <c r="G34" s="48"/>
      <c r="H34" s="17">
        <f t="shared" si="15"/>
        <v>4.9375</v>
      </c>
      <c r="I34" s="17">
        <f t="shared" si="16"/>
        <v>1.234375</v>
      </c>
      <c r="J34" s="17">
        <f t="shared" si="17"/>
        <v>1</v>
      </c>
      <c r="K34" s="51" t="s">
        <v>23</v>
      </c>
    </row>
    <row r="35" spans="1:11" x14ac:dyDescent="0.35">
      <c r="A35" s="17">
        <f>B37+B38</f>
        <v>1096</v>
      </c>
      <c r="B35" s="41">
        <f>Sheet1!G12/Sheet1!H12*0.75</f>
        <v>118.5</v>
      </c>
      <c r="C35" s="48">
        <f t="array" ref="C35">_xlfn.IFS(
Sheet1!C12="Low Risk",A35/Sheet3!L2,
Sheet1!C12="Medium Risk",A35/Sheet3!L3,
Sheet1!C12="High Risk",A35/Sheet3!L4,
Sheet1!C12="Very High",A35/Sheet3!L5
)</f>
        <v>22.833333333333332</v>
      </c>
      <c r="D35" s="48"/>
      <c r="E35" s="48"/>
      <c r="F35" s="48">
        <f t="array" ref="F35">_xlfn.IFS(
    AND(TRIM(Sheet1!C12)="Low Risk", TRIM(Sheet1!F12)="New"), B35/Sheet3!S6,
    AND(TRIM(Sheet1!C12)="Low Risk", TRIM(Sheet1!F12)="Exp"), B35/Sheet3!T6,
    AND(TRIM(Sheet1!C12)="Low Risk", TRIM(Sheet1!F12)="Swap"), B35/Sheet3!U6,
    AND(TRIM(Sheet1!C12)="Medium Risk", TRIM(Sheet1!F12)="New"), B35/Sheet3!S7,
    AND(TRIM(Sheet1!C12)="Medium Risk", TRIM(Sheet1!F12)="Exp"), B35/Sheet3!T7,
    AND(TRIM(Sheet1!C12)="Medium Risk", TRIM(Sheet1!F12)="Swap"), B35/Sheet3!U7,
    AND(TRIM(Sheet1!C12)="High Risk", TRIM(Sheet1!F12)="New"), B35/Sheet3!S8,
    AND(TRIM(Sheet1!C12)="High Risk", TRIM(Sheet1!F12)="Exp"), B35/Sheet3!T8,
    AND(TRIM(Sheet1!C12)="High Risk", TRIM(Sheet1!F12)="Swap"), B35/Sheet3!U8,
    AND(TRIM(Sheet1!C12)="Very High", TRIM(Sheet1!F12)="New"), B35/Sheet3!S9,
    AND(TRIM(Sheet1!C12)="Very High", TRIM(Sheet1!F12)="Exp"), B35/Sheet3!T9,
    AND(TRIM(Sheet1!C12)="Very High", TRIM(Sheet1!F12)="Swap"), B35/Sheet3!U9)</f>
        <v>29.625</v>
      </c>
      <c r="G35" s="48"/>
      <c r="H35" s="17">
        <f t="shared" si="15"/>
        <v>7.40625</v>
      </c>
      <c r="I35" s="17">
        <f t="shared" si="16"/>
        <v>1.8515625</v>
      </c>
      <c r="J35" s="17">
        <f t="shared" si="17"/>
        <v>1.1850000000000001</v>
      </c>
      <c r="K35" s="51" t="s">
        <v>24</v>
      </c>
    </row>
    <row r="36" spans="1:11" x14ac:dyDescent="0.35">
      <c r="A36" s="17">
        <f>B39+B40</f>
        <v>1096</v>
      </c>
      <c r="B36" s="41">
        <f>(Sheet1!G12-B33-B34-B35-Sheet1!H12)/(Sheet1!H12-4)</f>
        <v>548</v>
      </c>
      <c r="C36" s="48">
        <f t="array" ref="C36">_xlfn.IFS(
Sheet1!C12="Low Risk",A36/Sheet3!L2,
Sheet1!C12="Medium Risk",A36/Sheet3!L3,
Sheet1!C12="High Risk",A36/Sheet3!L4,
Sheet1!C12="Very High",A36/Sheet3!L5
)</f>
        <v>22.833333333333332</v>
      </c>
      <c r="D36" s="48"/>
      <c r="E36" s="48"/>
      <c r="F36" s="48">
        <f t="array" ref="F36">_xlfn.IFS(
    AND(TRIM(Sheet1!C12)="Low Risk", TRIM(Sheet1!F12)="New"), B36/Sheet3!S2,
    AND(TRIM(Sheet1!C12)="Low Risk", TRIM(Sheet1!F12)="Exp"), B36/Sheet3!T5,
    AND(TRIM(Sheet1!C12)="Low Risk", TRIM(Sheet1!F12)="Swap"), B36/Sheet3!U2,
    AND(TRIM(Sheet1!C12)="Medium Risk", TRIM(Sheet1!F12)="New"), B36/Sheet3!S3,
    AND(TRIM(Sheet1!C12)="Medium Risk", TRIM(Sheet1!F12)="Exp"), B36/Sheet3!T3,
    AND(TRIM(Sheet1!C12)="Medium Risk", TRIM(Sheet1!F12)="Swap"), B36/Sheet3!U3,
    AND(TRIM(Sheet1!C12)="High Risk", TRIM(Sheet1!F12)="New"), B36/Sheet3!S,
    AND(TRIM(Sheet1!C12)="High Risk", TRIM(Sheet1!F12)="Exp"), B36/Sheet3!T,
    AND(TRIM(Sheet1!C12)="High Risk", TRIM(Sheet1!F12)="Swap"), B36/Sheet3!U,
    AND(TRIM(Sheet1!C12)="Very High", TRIM(Sheet1!F12)="New"), B36/Sheet3!S5,
    AND(TRIM(Sheet1!C12)="Very High", TRIM(Sheet1!F12)="Exp"), B36/Sheet3!T5,
    AND(TRIM(Sheet1!C12)="Very High", TRIM(Sheet1!F12)="Swap"), B36/Sheet3!U5)</f>
        <v>91.333333333333329</v>
      </c>
      <c r="G36" s="48"/>
      <c r="H36" s="17">
        <f t="shared" si="15"/>
        <v>22.833333333333332</v>
      </c>
      <c r="I36" s="17">
        <f t="shared" si="16"/>
        <v>5.708333333333333</v>
      </c>
      <c r="J36" s="17">
        <f t="shared" si="17"/>
        <v>5.48</v>
      </c>
      <c r="K36" s="51" t="s">
        <v>25</v>
      </c>
    </row>
    <row r="37" spans="1:11" x14ac:dyDescent="0.35">
      <c r="A37" s="17">
        <f>B41+B42</f>
        <v>1096</v>
      </c>
      <c r="B37" s="41">
        <f>(Sheet1!G12-B33-B34-B35-Sheet1!H12)/(Sheet1!H12-4)</f>
        <v>548</v>
      </c>
      <c r="C37" s="48">
        <f t="array" ref="C37">_xlfn.IFS(
Sheet1!C12="Low Risk",A37/Sheet3!L2,
Sheet1!C12="Medium Risk",A37/Sheet3!L3,
Sheet1!C12="High Risk",A37/Sheet3!L4,
Sheet1!C12="Very High",A37/Sheet3!L5
)</f>
        <v>22.833333333333332</v>
      </c>
      <c r="D37" s="48"/>
      <c r="E37" s="48"/>
      <c r="F37" s="48">
        <f t="array" ref="F37">_xlfn.IFS(
    AND(TRIM(Sheet1!C12)="Low Risk", TRIM(Sheet1!F12)="New"), B37/Sheet3!S2,
    AND(TRIM(Sheet1!C12)="Low Risk", TRIM(Sheet1!F12)="Exp"), B37/Sheet3!T5,
    AND(TRIM(Sheet1!C12)="Low Risk", TRIM(Sheet1!F12)="Swap"), B37/Sheet3!U2,
    AND(TRIM(Sheet1!C12)="Medium Risk", TRIM(Sheet1!F12)="New"), B37/Sheet3!S3,
    AND(TRIM(Sheet1!C12)="Medium Risk", TRIM(Sheet1!F12)="Exp"), B37/Sheet3!T3,
    AND(TRIM(Sheet1!C12)="Medium Risk", TRIM(Sheet1!F12)="Swap"), B37/Sheet3!U3,
    AND(TRIM(Sheet1!C12)="High Risk", TRIM(Sheet1!F12)="New"), B37/Sheet3!S,
    AND(TRIM(Sheet1!C12)="High Risk", TRIM(Sheet1!F12)="Exp"), B37/Sheet3!T,
    AND(TRIM(Sheet1!C12)="High Risk", TRIM(Sheet1!F12)="Swap"), B37/Sheet3!U,
    AND(TRIM(Sheet1!C12)="Very High", TRIM(Sheet1!F12)="New"), B37/Sheet3!S5,
    AND(TRIM(Sheet1!C12)="Very High", TRIM(Sheet1!F12)="Exp"), B37/Sheet3!T5,
    AND(TRIM(Sheet1!C12)="Very High", TRIM(Sheet1!F12)="Swap"), B37/Sheet3!U5)</f>
        <v>91.333333333333329</v>
      </c>
      <c r="G37" s="48"/>
      <c r="H37" s="17">
        <f t="shared" si="15"/>
        <v>22.833333333333332</v>
      </c>
      <c r="I37" s="17">
        <f t="shared" si="16"/>
        <v>5.708333333333333</v>
      </c>
      <c r="J37" s="17">
        <f t="shared" si="17"/>
        <v>5.48</v>
      </c>
      <c r="K37" s="51" t="s">
        <v>26</v>
      </c>
    </row>
    <row r="38" spans="1:11" x14ac:dyDescent="0.35">
      <c r="A38" s="17">
        <f>B43+B44</f>
        <v>666.5</v>
      </c>
      <c r="B38" s="41">
        <f>(Sheet1!G12-B33-B34-B35-Sheet1!H12)/(Sheet1!H12-4)</f>
        <v>548</v>
      </c>
      <c r="C38" s="48">
        <f t="array" ref="C38">_xlfn.IFS(
Sheet1!C12="Low Risk",A38/Sheet3!L2,
Sheet1!C12="Medium Risk",A38/Sheet3!L3,
Sheet1!C12="High Risk",A38/Sheet3!L4,
Sheet1!C12="Very High",A38/Sheet3!L5
)</f>
        <v>13.885416666666666</v>
      </c>
      <c r="D38" s="48"/>
      <c r="E38" s="48"/>
      <c r="F38" s="48">
        <f t="array" ref="F38">_xlfn.IFS(
    AND(TRIM(Sheet1!C12)="Low Risk", TRIM(Sheet1!F12)="New"), B38/Sheet3!S2,
    AND(TRIM(Sheet1!C12)="Low Risk", TRIM(Sheet1!F12)="Exp"), B38/Sheet3!T5,
    AND(TRIM(Sheet1!C12)="Low Risk", TRIM(Sheet1!F12)="Swap"), B38/Sheet3!U2,
    AND(TRIM(Sheet1!C12)="Medium Risk", TRIM(Sheet1!F12)="New"), B38/Sheet3!S3,
    AND(TRIM(Sheet1!C12)="Medium Risk", TRIM(Sheet1!F12)="Exp"), B38/Sheet3!T3,
    AND(TRIM(Sheet1!C12)="Medium Risk", TRIM(Sheet1!F12)="Swap"), B38/Sheet3!U3,
    AND(TRIM(Sheet1!C12)="High Risk", TRIM(Sheet1!F12)="New"), B38/Sheet3!S,
    AND(TRIM(Sheet1!C12)="High Risk", TRIM(Sheet1!F12)="Exp"), B38/Sheet3!T,
    AND(TRIM(Sheet1!C12)="High Risk", TRIM(Sheet1!F12)="Swap"), B38/Sheet3!U,
    AND(TRIM(Sheet1!C12)="Very High", TRIM(Sheet1!F12)="New"), B38/Sheet3!S5,
    AND(TRIM(Sheet1!C12)="Very High", TRIM(Sheet1!F12)="Exp"), B38/Sheet3!T5,
    AND(TRIM(Sheet1!C12)="Very High", TRIM(Sheet1!F12)="Swap"), B38/Sheet3!U5)</f>
        <v>91.333333333333329</v>
      </c>
      <c r="G38" s="48"/>
      <c r="H38" s="17">
        <f t="shared" si="15"/>
        <v>22.833333333333332</v>
      </c>
      <c r="I38" s="17">
        <f t="shared" si="16"/>
        <v>5.708333333333333</v>
      </c>
      <c r="J38" s="17">
        <f t="shared" si="17"/>
        <v>5.48</v>
      </c>
      <c r="K38" s="51" t="s">
        <v>27</v>
      </c>
    </row>
    <row r="39" spans="1:11" x14ac:dyDescent="0.35">
      <c r="A39" s="23" t="s">
        <v>57</v>
      </c>
      <c r="B39" s="41">
        <f>(Sheet1!G12-B33-B34-B35-Sheet1!H12)/(Sheet1!H12-4)</f>
        <v>548</v>
      </c>
      <c r="C39" s="23" t="s">
        <v>58</v>
      </c>
      <c r="D39" s="49"/>
      <c r="E39" s="49"/>
      <c r="F39" s="49">
        <f t="array" ref="F39">_xlfn.IFS(
    AND(TRIM(Sheet1!C12)="Low Risk", TRIM(Sheet1!F12)="New"), B39/Sheet3!S2,
    AND(TRIM(Sheet1!C12)="Low Risk", TRIM(Sheet1!F12)="Exp"), B39/Sheet3!T5,
    AND(TRIM(Sheet1!C12)="Low Risk", TRIM(Sheet1!F12)="Swap"), B39/Sheet3!U2,
    AND(TRIM(Sheet1!C12)="Medium Risk", TRIM(Sheet1!F12)="New"), B39/Sheet3!S3,
    AND(TRIM(Sheet1!C12)="Medium Risk", TRIM(Sheet1!F12)="Exp"), B39/Sheet3!T3,
    AND(TRIM(Sheet1!C12)="Medium Risk", TRIM(Sheet1!F12)="Swap"), B39/Sheet3!U3,
    AND(TRIM(Sheet1!C12)="High Risk", TRIM(Sheet1!F12)="New"), B39/Sheet3!S,
    AND(TRIM(Sheet1!C12)="High Risk", TRIM(Sheet1!F12)="Exp"), B39/Sheet3!T,
    AND(TRIM(Sheet1!C12)="High Risk", TRIM(Sheet1!F12)="Swap"), B39/Sheet3!U,
    AND(TRIM(Sheet1!C12)="Very High", TRIM(Sheet1!F12)="New"), B39/Sheet3!S5,
    AND(TRIM(Sheet1!C12)="Very High", TRIM(Sheet1!F12)="Exp"), B39/Sheet3!T5,
    AND(TRIM(Sheet1!C12)="Very High", TRIM(Sheet1!F12)="Swap"), B39/Sheet3!U5)</f>
        <v>91.333333333333329</v>
      </c>
      <c r="G39" s="49"/>
      <c r="H39" s="17">
        <f t="shared" si="15"/>
        <v>22.833333333333332</v>
      </c>
      <c r="I39" s="17">
        <f t="shared" si="16"/>
        <v>5.708333333333333</v>
      </c>
      <c r="J39" s="17">
        <f t="shared" si="17"/>
        <v>5.48</v>
      </c>
      <c r="K39" s="51" t="s">
        <v>28</v>
      </c>
    </row>
    <row r="40" spans="1:11" x14ac:dyDescent="0.35">
      <c r="A40" s="23" t="s">
        <v>59</v>
      </c>
      <c r="B40" s="41">
        <f>(Sheet1!G12-B33-B34-B35-Sheet1!H12)/(Sheet1!H12-4)</f>
        <v>548</v>
      </c>
      <c r="C40" s="23" t="s">
        <v>60</v>
      </c>
      <c r="D40" s="49"/>
      <c r="E40" s="49"/>
      <c r="F40" s="49">
        <f t="array" ref="F40">_xlfn.IFS(
    AND(TRIM(Sheet1!C12)="Low Risk", TRIM(Sheet1!F12)="New"), B40/Sheet3!S2,
    AND(TRIM(Sheet1!C12)="Low Risk", TRIM(Sheet1!F12)="Exp"), B40/Sheet3!T5,
    AND(TRIM(Sheet1!C12)="Low Risk", TRIM(Sheet1!F12)="Swap"), B40/Sheet3!U2,
    AND(TRIM(Sheet1!C12)="Medium Risk", TRIM(Sheet1!F12)="New"), B40/Sheet3!S3,
    AND(TRIM(Sheet1!C12)="Medium Risk", TRIM(Sheet1!F12)="Exp"), B40/Sheet3!T3,
    AND(TRIM(Sheet1!C12)="Medium Risk", TRIM(Sheet1!F12)="Swap"), B40/Sheet3!U3,
    AND(TRIM(Sheet1!C12)="High Risk", TRIM(Sheet1!F12)="New"), B40/Sheet3!S,
    AND(TRIM(Sheet1!C12)="High Risk", TRIM(Sheet1!F12)="Exp"), B40/Sheet3!T,
    AND(TRIM(Sheet1!C12)="High Risk", TRIM(Sheet1!F12)="Swap"), B40/Sheet3!U,
    AND(TRIM(Sheet1!C12)="Very High", TRIM(Sheet1!F12)="New"), B40/Sheet3!S5,
    AND(TRIM(Sheet1!C12)="Very High", TRIM(Sheet1!F12)="Exp"), B40/Sheet3!T5,
    AND(TRIM(Sheet1!C12)="Very High", TRIM(Sheet1!F12)="Swap"), B40/Sheet3!U5)</f>
        <v>91.333333333333329</v>
      </c>
      <c r="G40" s="49"/>
      <c r="H40" s="17">
        <f t="shared" si="15"/>
        <v>22.833333333333332</v>
      </c>
      <c r="I40" s="17">
        <f t="shared" si="16"/>
        <v>5.708333333333333</v>
      </c>
      <c r="J40" s="17">
        <f t="shared" si="17"/>
        <v>5.48</v>
      </c>
      <c r="K40" s="51" t="s">
        <v>29</v>
      </c>
    </row>
    <row r="41" spans="1:11" x14ac:dyDescent="0.35">
      <c r="A41" s="23" t="s">
        <v>61</v>
      </c>
      <c r="B41" s="41">
        <f>(Sheet1!G12-B33-B34-B35-Sheet1!H12)/(Sheet1!H12-4)</f>
        <v>548</v>
      </c>
      <c r="C41" s="23" t="s">
        <v>62</v>
      </c>
      <c r="D41" s="49"/>
      <c r="E41" s="49"/>
      <c r="F41" s="49">
        <f t="array" ref="F41">_xlfn.IFS(
    AND(TRIM(Sheet1!C12)="Low Risk", TRIM(Sheet1!F12)="New"), B41/Sheet3!S2,
    AND(TRIM(Sheet1!C12)="Low Risk", TRIM(Sheet1!F12)="Exp"), B41/Sheet3!T5,
    AND(TRIM(Sheet1!C12)="Low Risk", TRIM(Sheet1!F12)="Swap"), B41/Sheet3!U2,
    AND(TRIM(Sheet1!C12)="Medium Risk", TRIM(Sheet1!F12)="New"), B41/Sheet3!S3,
    AND(TRIM(Sheet1!C12)="Medium Risk", TRIM(Sheet1!F12)="Exp"), B41/Sheet3!T3,
    AND(TRIM(Sheet1!C12)="Medium Risk", TRIM(Sheet1!F12)="Swap"), B41/Sheet3!U3,
    AND(TRIM(Sheet1!C12)="High Risk", TRIM(Sheet1!F12)="New"), B41/Sheet3!S,
    AND(TRIM(Sheet1!C12)="High Risk", TRIM(Sheet1!F12)="Exp"), B41/Sheet3!T,
    AND(TRIM(Sheet1!C12)="High Risk", TRIM(Sheet1!F12)="Swap"), B41/Sheet3!U,
    AND(TRIM(Sheet1!C12)="Very High", TRIM(Sheet1!F12)="New"), B41/Sheet3!S5,
    AND(TRIM(Sheet1!C12)="Very High", TRIM(Sheet1!F12)="Exp"), B41/Sheet3!T5,
    AND(TRIM(Sheet1!C12)="Very High", TRIM(Sheet1!F12)="Swap"), B41/Sheet3!U5)</f>
        <v>91.333333333333329</v>
      </c>
      <c r="G41" s="49"/>
      <c r="H41" s="17">
        <f t="shared" si="15"/>
        <v>22.833333333333332</v>
      </c>
      <c r="I41" s="17">
        <f t="shared" si="16"/>
        <v>5.708333333333333</v>
      </c>
      <c r="J41" s="17">
        <f t="shared" si="17"/>
        <v>5.48</v>
      </c>
      <c r="K41" s="51" t="s">
        <v>30</v>
      </c>
    </row>
    <row r="42" spans="1:11" x14ac:dyDescent="0.35">
      <c r="A42" s="23" t="s">
        <v>63</v>
      </c>
      <c r="B42" s="41">
        <f>(Sheet1!G12-B33-B34-B35-Sheet1!H12)/(Sheet1!H12-4)</f>
        <v>548</v>
      </c>
      <c r="C42" s="23" t="s">
        <v>64</v>
      </c>
      <c r="D42" s="49"/>
      <c r="E42" s="49"/>
      <c r="F42" s="49">
        <f t="array" ref="F42">_xlfn.IFS(
    AND(TRIM(Sheet1!C12)="Low Risk", TRIM(Sheet1!F12)="New"), B42/Sheet3!S2,
    AND(TRIM(Sheet1!C12)="Low Risk", TRIM(Sheet1!F12)="Exp"), B42/Sheet3!T5,
    AND(TRIM(Sheet1!C12)="Low Risk", TRIM(Sheet1!F12)="Swap"), B42/Sheet3!U2,
    AND(TRIM(Sheet1!C12)="Medium Risk", TRIM(Sheet1!F12)="New"), B42/Sheet3!S3,
    AND(TRIM(Sheet1!C12)="Medium Risk", TRIM(Sheet1!F12)="Exp"), B42/Sheet3!T3,
    AND(TRIM(Sheet1!C12)="Medium Risk", TRIM(Sheet1!F12)="Swap"), B42/Sheet3!U3,
    AND(TRIM(Sheet1!C12)="High Risk", TRIM(Sheet1!F12)="New"), B42/Sheet3!S,
    AND(TRIM(Sheet1!C12)="High Risk", TRIM(Sheet1!F12)="Exp"), B42/Sheet3!T,
    AND(TRIM(Sheet1!C12)="High Risk", TRIM(Sheet1!F12)="Swap"), B42/Sheet3!U,
    AND(TRIM(Sheet1!C12)="Very High", TRIM(Sheet1!F12)="New"), B42/Sheet3!S5,
    AND(TRIM(Sheet1!C12)="Very High", TRIM(Sheet1!F12)="Exp"), B42/Sheet3!T5,
    AND(TRIM(Sheet1!C12)="Very High", TRIM(Sheet1!F12)="Swap"), B42/Sheet3!U5)</f>
        <v>91.333333333333329</v>
      </c>
      <c r="G42" s="49"/>
      <c r="H42" s="17">
        <f t="shared" si="15"/>
        <v>22.833333333333332</v>
      </c>
      <c r="I42" s="17">
        <f t="shared" si="16"/>
        <v>5.708333333333333</v>
      </c>
      <c r="J42" s="17">
        <f t="shared" si="17"/>
        <v>5.48</v>
      </c>
      <c r="K42" s="51" t="s">
        <v>31</v>
      </c>
    </row>
    <row r="43" spans="1:11" x14ac:dyDescent="0.35">
      <c r="A43" s="23" t="s">
        <v>65</v>
      </c>
      <c r="B43" s="41">
        <f>(Sheet1!G12-B33-B34-B35-Sheet1!H12)/(Sheet1!H12-4)</f>
        <v>548</v>
      </c>
      <c r="C43" s="23" t="s">
        <v>66</v>
      </c>
      <c r="D43" s="49"/>
      <c r="E43" s="49"/>
      <c r="F43" s="49">
        <f t="array" ref="F43">_xlfn.IFS(
    AND(TRIM(Sheet1!C12)="Low Risk", TRIM(Sheet1!F12)="New"), B43/Sheet3!S2,
    AND(TRIM(Sheet1!C12)="Low Risk", TRIM(Sheet1!F12)="Exp"), B43/Sheet3!T5,
    AND(TRIM(Sheet1!C12)="Low Risk", TRIM(Sheet1!F12)="Swap"), B43/Sheet3!U2,
    AND(TRIM(Sheet1!C12)="Medium Risk", TRIM(Sheet1!F12)="New"), B43/Sheet3!S3,
    AND(TRIM(Sheet1!C12)="Medium Risk", TRIM(Sheet1!F12)="Exp"), B43/Sheet3!T3,
    AND(TRIM(Sheet1!C12)="Medium Risk", TRIM(Sheet1!F12)="Swap"), B43/Sheet3!U3,
    AND(TRIM(Sheet1!C12)="High Risk", TRIM(Sheet1!F12)="New"), B43/Sheet3!S,
    AND(TRIM(Sheet1!C12)="High Risk", TRIM(Sheet1!F12)="Exp"), B43/Sheet3!T,
    AND(TRIM(Sheet1!C12)="High Risk", TRIM(Sheet1!F12)="Swap"), B43/Sheet3!U,
    AND(TRIM(Sheet1!C12)="Very High", TRIM(Sheet1!F12)="New"), B43/Sheet3!S5,
    AND(TRIM(Sheet1!C12)="Very High", TRIM(Sheet1!F12)="Exp"), B43/Sheet3!T5,
    AND(TRIM(Sheet1!C12)="Very High", TRIM(Sheet1!F12)="Swap"), B43/Sheet3!U5)</f>
        <v>91.333333333333329</v>
      </c>
      <c r="G43" s="49"/>
      <c r="H43" s="17">
        <f t="shared" si="15"/>
        <v>22.833333333333332</v>
      </c>
      <c r="I43" s="17">
        <f t="shared" si="16"/>
        <v>5.708333333333333</v>
      </c>
      <c r="J43" s="17">
        <f t="shared" si="17"/>
        <v>5.48</v>
      </c>
      <c r="K43" s="51" t="s">
        <v>32</v>
      </c>
    </row>
    <row r="44" spans="1:11" x14ac:dyDescent="0.35">
      <c r="A44" s="23" t="s">
        <v>67</v>
      </c>
      <c r="B44" s="41">
        <f>Sheet1!G12/Sheet1!H12*0.75</f>
        <v>118.5</v>
      </c>
      <c r="C44" s="23" t="s">
        <v>68</v>
      </c>
      <c r="D44" s="49"/>
      <c r="E44" s="49"/>
      <c r="F44" s="49">
        <f t="array" ref="F44">_xlfn.IFS(
    AND(TRIM(Sheet1!C12)="Low Risk", TRIM(Sheet1!F12)="New"), B44/Sheet3!S2,
    AND(TRIM(Sheet1!C12)="Low Risk", TRIM(Sheet1!F12)="Exp"), B44/Sheet3!T5,
    AND(TRIM(Sheet1!C12)="Low Risk", TRIM(Sheet1!F12)="Swap"), B44/Sheet3!U2,
    AND(TRIM(Sheet1!C12)="Medium Risk", TRIM(Sheet1!F12)="New"), B44/Sheet3!S3,
    AND(TRIM(Sheet1!C12)="Medium Risk", TRIM(Sheet1!F12)="Exp"), B44/Sheet3!T3,
    AND(TRIM(Sheet1!C12)="Medium Risk", TRIM(Sheet1!F12)="Swap"), B44/Sheet3!U3,
    AND(TRIM(Sheet1!C12)="High Risk", TRIM(Sheet1!F12)="New"), B44/Sheet3!S,
    AND(TRIM(Sheet1!C12)="High Risk", TRIM(Sheet1!F12)="Exp"), B44/Sheet3!T,
    AND(TRIM(Sheet1!C12)="High Risk", TRIM(Sheet1!F12)="Swap"), B44/Sheet3!U,
    AND(TRIM(Sheet1!C12)="Very High", TRIM(Sheet1!F12)="New"), B44/Sheet3!S5,
    AND(TRIM(Sheet1!C12)="Very High", TRIM(Sheet1!F12)="Exp"), B44/Sheet3!T5,
    AND(TRIM(Sheet1!C12)="Very High", TRIM(Sheet1!F12)="Swap"), B44/Sheet3!U5)</f>
        <v>19.75</v>
      </c>
      <c r="G44" s="49"/>
      <c r="H44" s="17">
        <f t="shared" si="15"/>
        <v>4.9375</v>
      </c>
      <c r="I44" s="17">
        <f t="shared" si="16"/>
        <v>1.234375</v>
      </c>
      <c r="J44" s="17">
        <f t="shared" si="17"/>
        <v>1.1850000000000001</v>
      </c>
      <c r="K44" s="51" t="s">
        <v>33</v>
      </c>
    </row>
    <row r="46" spans="1:11" x14ac:dyDescent="0.35">
      <c r="A46" s="95" t="s">
        <v>15</v>
      </c>
      <c r="B46" s="91"/>
      <c r="C46" s="91"/>
      <c r="D46" s="91"/>
      <c r="E46" s="91"/>
      <c r="F46" s="91"/>
      <c r="G46" s="91"/>
      <c r="H46" s="91"/>
      <c r="I46" s="91"/>
      <c r="J46" s="92"/>
    </row>
    <row r="47" spans="1:11" ht="29" customHeight="1" x14ac:dyDescent="0.35">
      <c r="A47" s="18" t="s">
        <v>34</v>
      </c>
      <c r="B47" s="18" t="s">
        <v>35</v>
      </c>
      <c r="C47" s="18" t="s">
        <v>36</v>
      </c>
      <c r="D47" s="42" t="s">
        <v>37</v>
      </c>
      <c r="E47" s="42" t="s">
        <v>41</v>
      </c>
      <c r="F47" s="42" t="s">
        <v>42</v>
      </c>
      <c r="G47" s="22" t="s">
        <v>43</v>
      </c>
      <c r="H47" s="18" t="s">
        <v>38</v>
      </c>
      <c r="I47" s="18" t="s">
        <v>39</v>
      </c>
      <c r="J47" s="15" t="s">
        <v>40</v>
      </c>
    </row>
    <row r="48" spans="1:11" x14ac:dyDescent="0.35">
      <c r="A48" s="17">
        <f>B48+B49</f>
        <v>41.625</v>
      </c>
      <c r="B48" s="41">
        <f>Sheet1!G13/Sheet1!H13*0.25</f>
        <v>13.875</v>
      </c>
      <c r="C48" s="48">
        <f t="array" ref="C48">_xlfn.IFS(
Sheet1!C13="Low Risk",A48/Sheet3!L6,
Sheet1!C13="Medium Risk",A48/Sheet3!L7,
Sheet1!C13="High Risk",A48/Sheet3!L8,
Sheet1!C13="Very High",A48/Sheet3!L9
)</f>
        <v>1.30078125</v>
      </c>
      <c r="D48" s="48"/>
      <c r="E48" s="48"/>
      <c r="F48" s="48"/>
      <c r="G48" s="48">
        <f t="array" ref="G48">_xlfn.IFS(
    AND(TRIM(Sheet1!C13)="Low Risk", TRIM(Sheet1!F13)="New"), B48/Sheet3!V6,
    AND(TRIM(Sheet1!C13)="Low Risk", TRIM(Sheet1!F13)="Exp"), B48/Sheet3!W6,
    AND(TRIM(Sheet1!C13)="Medium Risk", TRIM(Sheet1!F13)="New"), B48/Sheet3!V7,
    AND(TRIM(Sheet1!C13)="Medium Risk", TRIM(Sheet1!F13)="Exp"), B48/Sheet3!W7,
    AND(TRIM(Sheet1!C13)="High Risk", TRIM(Sheet1!F13)="New"), B48/Sheet3!V8,
    AND(TRIM(Sheet1!C13)="High Risk", TRIM(Sheet1!F13)="Exp"), B48/Sheet3!W8,
    AND(TRIM(Sheet1!C13)="Very High", TRIM(Sheet1!F13)="New"), B48/Sheet3!V9,
    AND(TRIM(Sheet1!C13)="Very High", TRIM(Sheet1!F13)="Exp"), B48/Sheet3!W9)</f>
        <v>2.6015625</v>
      </c>
      <c r="H48" s="17">
        <f t="shared" ref="H48:I59" si="18">IF(G48/4&lt;1,1,G48/4)</f>
        <v>1</v>
      </c>
      <c r="I48" s="17">
        <f t="shared" si="18"/>
        <v>1</v>
      </c>
      <c r="J48" s="17">
        <f t="shared" ref="J48:J59" si="19">IF(B48/100&lt;1,0,B48/100)</f>
        <v>0</v>
      </c>
      <c r="K48" s="51" t="s">
        <v>22</v>
      </c>
    </row>
    <row r="49" spans="1:11" x14ac:dyDescent="0.35">
      <c r="A49" s="17">
        <f>B50+B51</f>
        <v>118.58333333333333</v>
      </c>
      <c r="B49" s="41">
        <f>Sheet1!G13/Sheet1!H13*0.5</f>
        <v>27.75</v>
      </c>
      <c r="C49" s="48">
        <f t="array" ref="C49">_xlfn.IFS(
Sheet1!C13="Low Risk",A49/Sheet3!L6,
Sheet1!C13="Medium Risk",A49/Sheet3!L7,
Sheet1!C13="High Risk",A49/Sheet3!L8,
Sheet1!C13="Very High",A49/Sheet3!L9
)</f>
        <v>3.7057291666666665</v>
      </c>
      <c r="D49" s="48"/>
      <c r="E49" s="48"/>
      <c r="F49" s="48"/>
      <c r="G49" s="48">
        <f t="array" ref="G49">_xlfn.IFS(
    AND(TRIM(Sheet1!C13)="Low Risk", TRIM(Sheet1!F13)="New"), B49/Sheet3!V6,
    AND(TRIM(Sheet1!C13)="Low Risk", TRIM(Sheet1!F13)="Exp"), B49/Sheet3!W6,
    AND(TRIM(Sheet1!C13)="Medium Risk", TRIM(Sheet1!F13)="New"), B49/Sheet3!V7,
    AND(TRIM(Sheet1!C13)="Medium Risk", TRIM(Sheet1!F13)="Exp"), B49/Sheet3!W7,
    AND(TRIM(Sheet1!C13)="High Risk", TRIM(Sheet1!F13)="New"), B49/Sheet3!V8,
    AND(TRIM(Sheet1!C13)="High Risk", TRIM(Sheet1!F13)="Exp"), B49/Sheet3!W8,
    AND(TRIM(Sheet1!C13)="Very High", TRIM(Sheet1!F13)="New"), B49/Sheet3!V9,
    AND(TRIM(Sheet1!C13)="Very High", TRIM(Sheet1!F13)="Exp"), B49/Sheet3!W9)</f>
        <v>5.203125</v>
      </c>
      <c r="H49" s="17">
        <f t="shared" si="18"/>
        <v>1.30078125</v>
      </c>
      <c r="I49" s="17">
        <f t="shared" si="18"/>
        <v>1</v>
      </c>
      <c r="J49" s="17">
        <f t="shared" si="19"/>
        <v>0</v>
      </c>
      <c r="K49" s="51" t="s">
        <v>23</v>
      </c>
    </row>
    <row r="50" spans="1:11" x14ac:dyDescent="0.35">
      <c r="A50" s="17">
        <f>B52+B53</f>
        <v>153.91666666666666</v>
      </c>
      <c r="B50" s="41">
        <f>Sheet1!G13/Sheet1!H13*0.75</f>
        <v>41.625</v>
      </c>
      <c r="C50" s="48">
        <f t="array" ref="C50">_xlfn.IFS(
Sheet1!C13="Low Risk",A50/Sheet3!L2,
Sheet1!C13="Medium Risk",A50/Sheet3!L3,
Sheet1!C13="High Risk",A50/Sheet3!L4,
Sheet1!C13="Very High",A50/Sheet3!L5
)</f>
        <v>3.2065972222222219</v>
      </c>
      <c r="D50" s="48"/>
      <c r="E50" s="48"/>
      <c r="F50" s="48"/>
      <c r="G50" s="48">
        <f t="array" ref="G50">_xlfn.IFS(
    AND(TRIM(Sheet1!C13)="Low Risk", TRIM(Sheet1!F13)="New"), B50/Sheet3!V6,
    AND(TRIM(Sheet1!C13)="Low Risk", TRIM(Sheet1!F13)="Exp"), B50/Sheet3!W6,
    AND(TRIM(Sheet1!C13)="Medium Risk", TRIM(Sheet1!F13)="New"), B50/Sheet3!V7,
    AND(TRIM(Sheet1!C13)="Medium Risk", TRIM(Sheet1!F13)="Exp"), B50/Sheet3!W7,
    AND(TRIM(Sheet1!C13)="High Risk", TRIM(Sheet1!F13)="New"), B50/Sheet3!V8,
    AND(TRIM(Sheet1!C13)="High Risk", TRIM(Sheet1!F13)="Exp"), B50/Sheet3!W8,
    AND(TRIM(Sheet1!C13)="Very High", TRIM(Sheet1!F13)="New"), B50/Sheet3!V9,
    AND(TRIM(Sheet1!C13)="Very High", TRIM(Sheet1!F13)="Exp"), B50/Sheet3!W9)</f>
        <v>7.8046875</v>
      </c>
      <c r="H50" s="17">
        <f t="shared" si="18"/>
        <v>1.951171875</v>
      </c>
      <c r="I50" s="17">
        <f t="shared" si="18"/>
        <v>1</v>
      </c>
      <c r="J50" s="17">
        <f t="shared" si="19"/>
        <v>0</v>
      </c>
      <c r="K50" s="51" t="s">
        <v>24</v>
      </c>
    </row>
    <row r="51" spans="1:11" x14ac:dyDescent="0.35">
      <c r="A51" s="17">
        <f>B54+B55</f>
        <v>153.91666666666666</v>
      </c>
      <c r="B51" s="41">
        <f>(Sheet1!G13-B48-B49-B50-Sheet1!H13)/(Sheet1!H13-4)</f>
        <v>76.958333333333329</v>
      </c>
      <c r="C51" s="48">
        <f t="array" ref="C51">_xlfn.IFS(
Sheet1!C13="Low Risk",A51/Sheet3!L2,
Sheet1!C13="Medium Risk",A51/Sheet3!L3,
Sheet1!C13="High Risk",A51/Sheet3!L4,
Sheet1!C13="Very High",A51/Sheet3!L5
)</f>
        <v>3.2065972222222219</v>
      </c>
      <c r="D51" s="48"/>
      <c r="E51" s="48"/>
      <c r="F51" s="48"/>
      <c r="G51" s="48">
        <f t="array" ref="G51">_xlfn.IFS(
    AND(TRIM(Sheet1!C13)="Low Risk", TRIM(Sheet1!F13)="New"), B51/Sheet3!V2,
    AND(TRIM(Sheet1!C13)="Low Risk", TRIM(Sheet1!F13)="Exp"), B51/Sheet3!W2,
    AND(TRIM(Sheet1!C13)="Medium Risk", TRIM(Sheet1!F13)="New"), B51/Sheet3!V3,
    AND(TRIM(Sheet1!C13)="Medium Risk", TRIM(Sheet1!F13)="Exp"), B51/Sheet3!W3,
    AND(TRIM(Sheet1!C13)="High Risk", TRIM(Sheet1!F13)="New"), B51/Sheet3!V4,
    AND(TRIM(Sheet1!C13)="High Risk", TRIM(Sheet1!F13)="Exp"), B51/Sheet3!W4,
    AND(TRIM(Sheet1!C13)="Very High", TRIM(Sheet1!F13)="New"), B51/Sheet3!V5,
    AND(TRIM(Sheet1!C13)="Very High", TRIM(Sheet1!F13)="Exp"), B51/Sheet3!W5)</f>
        <v>9.6197916666666661</v>
      </c>
      <c r="H51" s="17">
        <f t="shared" si="18"/>
        <v>2.4049479166666665</v>
      </c>
      <c r="I51" s="17">
        <f t="shared" si="18"/>
        <v>1</v>
      </c>
      <c r="J51" s="17">
        <f t="shared" si="19"/>
        <v>0</v>
      </c>
      <c r="K51" s="51" t="s">
        <v>25</v>
      </c>
    </row>
    <row r="52" spans="1:11" x14ac:dyDescent="0.35">
      <c r="A52" s="17">
        <f>B56+B57</f>
        <v>153.91666666666666</v>
      </c>
      <c r="B52" s="41">
        <f>(Sheet1!G13-B48-B49-B50-Sheet1!H13)/(Sheet1!H13-4)</f>
        <v>76.958333333333329</v>
      </c>
      <c r="C52" s="48">
        <f t="array" ref="C52">_xlfn.IFS(
Sheet1!C13="Low Risk",A52/Sheet3!L2,
Sheet1!C13="Medium Risk",A52/Sheet3!L3,
Sheet1!C13="High Risk",A52/Sheet3!L4,
Sheet1!C13="Very High",A52/Sheet3!L5
)</f>
        <v>3.2065972222222219</v>
      </c>
      <c r="D52" s="48"/>
      <c r="E52" s="48"/>
      <c r="F52" s="48"/>
      <c r="G52" s="48">
        <f t="array" ref="G52">_xlfn.IFS(
    AND(TRIM(Sheet1!C13)="Low Risk", TRIM(Sheet1!F13)="New"), B52/Sheet3!V2,
    AND(TRIM(Sheet1!C13)="Low Risk", TRIM(Sheet1!F13)="Exp"), B52/Sheet3!W2,
    AND(TRIM(Sheet1!C13)="Medium Risk", TRIM(Sheet1!F13)="New"), B52/Sheet3!V3,
    AND(TRIM(Sheet1!C13)="Medium Risk", TRIM(Sheet1!F13)="Exp"), B52/Sheet3!W3,
    AND(TRIM(Sheet1!C13)="High Risk", TRIM(Sheet1!F13)="New"), B52/Sheet3!V4,
    AND(TRIM(Sheet1!C13)="High Risk", TRIM(Sheet1!F13)="Exp"), B52/Sheet3!W4,
    AND(TRIM(Sheet1!C13)="Very High", TRIM(Sheet1!F13)="New"), B52/Sheet3!V5,
    AND(TRIM(Sheet1!C13)="Very High", TRIM(Sheet1!F13)="Exp"), B52/Sheet3!W5)</f>
        <v>9.6197916666666661</v>
      </c>
      <c r="H52" s="17">
        <f t="shared" si="18"/>
        <v>2.4049479166666665</v>
      </c>
      <c r="I52" s="17">
        <f t="shared" si="18"/>
        <v>1</v>
      </c>
      <c r="J52" s="17">
        <f t="shared" si="19"/>
        <v>0</v>
      </c>
      <c r="K52" s="51" t="s">
        <v>26</v>
      </c>
    </row>
    <row r="53" spans="1:11" x14ac:dyDescent="0.35">
      <c r="A53" s="17">
        <f>B58+B59</f>
        <v>118.58333333333333</v>
      </c>
      <c r="B53" s="41">
        <f>(Sheet1!G13-B48-B49-B50-Sheet1!H13)/(Sheet1!H13-4)</f>
        <v>76.958333333333329</v>
      </c>
      <c r="C53" s="48">
        <f t="array" ref="C53">_xlfn.IFS(
Sheet1!C13="Low Risk",A53/Sheet3!L2,
Sheet1!C13="Medium Risk",A53/Sheet3!L3,
Sheet1!C13="High Risk",A53/Sheet3!L4,
Sheet1!C13="Very High",A53/Sheet3!L5
)</f>
        <v>2.4704861111111112</v>
      </c>
      <c r="D53" s="48"/>
      <c r="E53" s="48"/>
      <c r="F53" s="48"/>
      <c r="G53" s="48">
        <f t="array" ref="G53">_xlfn.IFS(
    AND(TRIM(Sheet1!C13)="Low Risk", TRIM(Sheet1!F13)="New"), B53/Sheet3!V2,
    AND(TRIM(Sheet1!C13)="Low Risk", TRIM(Sheet1!F13)="Exp"), B53/Sheet3!W2,
    AND(TRIM(Sheet1!C13)="Medium Risk", TRIM(Sheet1!F13)="New"), B53/Sheet3!V3,
    AND(TRIM(Sheet1!C13)="Medium Risk", TRIM(Sheet1!F13)="Exp"), B53/Sheet3!W3,
    AND(TRIM(Sheet1!C13)="High Risk", TRIM(Sheet1!F13)="New"), B53/Sheet3!V4,
    AND(TRIM(Sheet1!C13)="High Risk", TRIM(Sheet1!F13)="Exp"), B53/Sheet3!W4,
    AND(TRIM(Sheet1!C13)="Very High", TRIM(Sheet1!F13)="New"), B53/Sheet3!V5,
    AND(TRIM(Sheet1!C13)="Very High", TRIM(Sheet1!F13)="Exp"), B53/Sheet3!W5)</f>
        <v>9.6197916666666661</v>
      </c>
      <c r="H53" s="17">
        <f t="shared" si="18"/>
        <v>2.4049479166666665</v>
      </c>
      <c r="I53" s="17">
        <f t="shared" si="18"/>
        <v>1</v>
      </c>
      <c r="J53" s="17">
        <f t="shared" si="19"/>
        <v>0</v>
      </c>
      <c r="K53" s="51" t="s">
        <v>27</v>
      </c>
    </row>
    <row r="54" spans="1:11" x14ac:dyDescent="0.35">
      <c r="A54" s="23" t="s">
        <v>57</v>
      </c>
      <c r="B54" s="41">
        <f>(Sheet1!G13-B48-B49-B50-Sheet1!H13)/(Sheet1!H13-4)</f>
        <v>76.958333333333329</v>
      </c>
      <c r="C54" s="23" t="s">
        <v>58</v>
      </c>
      <c r="D54" s="49"/>
      <c r="E54" s="49"/>
      <c r="F54" s="49"/>
      <c r="G54" s="49">
        <f t="array" ref="G54">_xlfn.IFS(
    AND(TRIM(Sheet1!C13)="Low Risk", TRIM(Sheet1!F13)="New"), B54/Sheet3!V2,
    AND(TRIM(Sheet1!C13)="Low Risk", TRIM(Sheet1!F13)="Exp"), B54/Sheet3!W2,
    AND(TRIM(Sheet1!C13)="Medium Risk", TRIM(Sheet1!F13)="New"), B54/Sheet3!V3,
    AND(TRIM(Sheet1!C13)="Medium Risk", TRIM(Sheet1!F13)="Exp"), B54/Sheet3!W3,
    AND(TRIM(Sheet1!C13)="High Risk", TRIM(Sheet1!F13)="New"), B54/Sheet3!V4,
    AND(TRIM(Sheet1!C13)="High Risk", TRIM(Sheet1!F13)="Exp"), B54/Sheet3!W4,
    AND(TRIM(Sheet1!C13)="Very High", TRIM(Sheet1!F13)="New"), B54/Sheet3!V5,
    AND(TRIM(Sheet1!C13)="Very High", TRIM(Sheet1!F13)="Exp"), B54/Sheet3!W5)</f>
        <v>9.6197916666666661</v>
      </c>
      <c r="H54" s="17">
        <f t="shared" si="18"/>
        <v>2.4049479166666665</v>
      </c>
      <c r="I54" s="17">
        <f t="shared" si="18"/>
        <v>1</v>
      </c>
      <c r="J54" s="17">
        <f t="shared" si="19"/>
        <v>0</v>
      </c>
      <c r="K54" s="51" t="s">
        <v>28</v>
      </c>
    </row>
    <row r="55" spans="1:11" x14ac:dyDescent="0.35">
      <c r="A55" s="23" t="s">
        <v>59</v>
      </c>
      <c r="B55" s="41">
        <f>(Sheet1!G13-B48-B49-B50-Sheet1!H13)/(Sheet1!H13-4)</f>
        <v>76.958333333333329</v>
      </c>
      <c r="C55" s="23" t="s">
        <v>60</v>
      </c>
      <c r="D55" s="49"/>
      <c r="E55" s="49"/>
      <c r="F55" s="49"/>
      <c r="G55" s="49">
        <f t="array" ref="G55">_xlfn.IFS(
    AND(TRIM(Sheet1!C13)="Low Risk", TRIM(Sheet1!F13)="New"), B55/Sheet3!V2,
    AND(TRIM(Sheet1!C13)="Low Risk", TRIM(Sheet1!F13)="Exp"), B55/Sheet3!W2,
    AND(TRIM(Sheet1!C13)="Medium Risk", TRIM(Sheet1!F13)="New"), B55/Sheet3!V3,
    AND(TRIM(Sheet1!C13)="Medium Risk", TRIM(Sheet1!F13)="Exp"), B55/Sheet3!W3,
    AND(TRIM(Sheet1!C13)="High Risk", TRIM(Sheet1!F13)="New"), B55/Sheet3!V4,
    AND(TRIM(Sheet1!C13)="High Risk", TRIM(Sheet1!F13)="Exp"), B55/Sheet3!W4,
    AND(TRIM(Sheet1!C13)="Very High", TRIM(Sheet1!F13)="New"), B55/Sheet3!V5,
    AND(TRIM(Sheet1!C13)="Very High", TRIM(Sheet1!F13)="Exp"), B55/Sheet3!W5)</f>
        <v>9.6197916666666661</v>
      </c>
      <c r="H55" s="17">
        <f t="shared" si="18"/>
        <v>2.4049479166666665</v>
      </c>
      <c r="I55" s="17">
        <f t="shared" si="18"/>
        <v>1</v>
      </c>
      <c r="J55" s="17">
        <f t="shared" si="19"/>
        <v>0</v>
      </c>
      <c r="K55" s="51" t="s">
        <v>29</v>
      </c>
    </row>
    <row r="56" spans="1:11" x14ac:dyDescent="0.35">
      <c r="A56" s="23" t="s">
        <v>61</v>
      </c>
      <c r="B56" s="41">
        <f>(Sheet1!G13-B48-B49-B50-Sheet1!H13)/(Sheet1!H13-4)</f>
        <v>76.958333333333329</v>
      </c>
      <c r="C56" s="23" t="s">
        <v>62</v>
      </c>
      <c r="D56" s="49"/>
      <c r="E56" s="49"/>
      <c r="F56" s="49"/>
      <c r="G56" s="49">
        <f t="array" ref="G56">_xlfn.IFS(
    AND(TRIM(Sheet1!C13)="Low Risk", TRIM(Sheet1!F13)="New"), B56/Sheet3!V2,
    AND(TRIM(Sheet1!C13)="Low Risk", TRIM(Sheet1!F13)="Exp"), B56/Sheet3!W2,
    AND(TRIM(Sheet1!C13)="Medium Risk", TRIM(Sheet1!F13)="New"), B56/Sheet3!V3,
    AND(TRIM(Sheet1!C13)="Medium Risk", TRIM(Sheet1!F13)="Exp"), B56/Sheet3!W3,
    AND(TRIM(Sheet1!C13)="High Risk", TRIM(Sheet1!F13)="New"), B56/Sheet3!V4,
    AND(TRIM(Sheet1!C13)="High Risk", TRIM(Sheet1!F13)="Exp"), B56/Sheet3!W4,
    AND(TRIM(Sheet1!C13)="Very High", TRIM(Sheet1!F13)="New"), B56/Sheet3!V5,
    AND(TRIM(Sheet1!C13)="Very High", TRIM(Sheet1!F13)="Exp"), B56/Sheet3!W5)</f>
        <v>9.6197916666666661</v>
      </c>
      <c r="H56" s="17">
        <f t="shared" si="18"/>
        <v>2.4049479166666665</v>
      </c>
      <c r="I56" s="17">
        <f t="shared" si="18"/>
        <v>1</v>
      </c>
      <c r="J56" s="17">
        <f t="shared" si="19"/>
        <v>0</v>
      </c>
      <c r="K56" s="51" t="s">
        <v>30</v>
      </c>
    </row>
    <row r="57" spans="1:11" x14ac:dyDescent="0.35">
      <c r="A57" s="23" t="s">
        <v>63</v>
      </c>
      <c r="B57" s="41">
        <f>(Sheet1!G13-B48-B49-B50-Sheet1!H13)/(Sheet1!H13-4)</f>
        <v>76.958333333333329</v>
      </c>
      <c r="C57" s="23" t="s">
        <v>64</v>
      </c>
      <c r="D57" s="49"/>
      <c r="E57" s="49"/>
      <c r="F57" s="49"/>
      <c r="G57" s="49">
        <f t="array" ref="G57">_xlfn.IFS(
    AND(TRIM(Sheet1!C13)="Low Risk", TRIM(Sheet1!F13)="New"), B57/Sheet3!V2,
    AND(TRIM(Sheet1!C13)="Low Risk", TRIM(Sheet1!F13)="Exp"), B57/Sheet3!W2,
    AND(TRIM(Sheet1!C13)="Medium Risk", TRIM(Sheet1!F13)="New"), B57/Sheet3!V3,
    AND(TRIM(Sheet1!C13)="Medium Risk", TRIM(Sheet1!F13)="Exp"), B57/Sheet3!W3,
    AND(TRIM(Sheet1!C13)="High Risk", TRIM(Sheet1!F13)="New"), B57/Sheet3!V4,
    AND(TRIM(Sheet1!C13)="High Risk", TRIM(Sheet1!F13)="Exp"), B57/Sheet3!W4,
    AND(TRIM(Sheet1!C13)="Very High", TRIM(Sheet1!F13)="New"), B57/Sheet3!V5,
    AND(TRIM(Sheet1!C13)="Very High", TRIM(Sheet1!F13)="Exp"), B57/Sheet3!W5)</f>
        <v>9.6197916666666661</v>
      </c>
      <c r="H57" s="17">
        <f t="shared" si="18"/>
        <v>2.4049479166666665</v>
      </c>
      <c r="I57" s="17">
        <f t="shared" si="18"/>
        <v>1</v>
      </c>
      <c r="J57" s="17">
        <f t="shared" si="19"/>
        <v>0</v>
      </c>
      <c r="K57" s="51" t="s">
        <v>31</v>
      </c>
    </row>
    <row r="58" spans="1:11" x14ac:dyDescent="0.35">
      <c r="A58" s="23" t="s">
        <v>65</v>
      </c>
      <c r="B58" s="41">
        <f>(Sheet1!G13-B48-B49-B50-Sheet1!H13)/(Sheet1!H13-4)</f>
        <v>76.958333333333329</v>
      </c>
      <c r="C58" s="23" t="s">
        <v>66</v>
      </c>
      <c r="D58" s="49"/>
      <c r="E58" s="49"/>
      <c r="F58" s="49"/>
      <c r="G58" s="49">
        <f t="array" ref="G58">_xlfn.IFS(
    AND(TRIM(Sheet1!C13)="Low Risk", TRIM(Sheet1!F13)="New"), B58/Sheet3!V2,
    AND(TRIM(Sheet1!C13)="Low Risk", TRIM(Sheet1!F13)="Exp"), B58/Sheet3!W2,
    AND(TRIM(Sheet1!C13)="Medium Risk", TRIM(Sheet1!F13)="New"), B58/Sheet3!V3,
    AND(TRIM(Sheet1!C13)="Medium Risk", TRIM(Sheet1!F13)="Exp"), B58/Sheet3!W3,
    AND(TRIM(Sheet1!C13)="High Risk", TRIM(Sheet1!F13)="New"), B58/Sheet3!V4,
    AND(TRIM(Sheet1!C13)="High Risk", TRIM(Sheet1!F13)="Exp"), B58/Sheet3!W4,
    AND(TRIM(Sheet1!C13)="Very High", TRIM(Sheet1!F13)="New"), B58/Sheet3!V5,
    AND(TRIM(Sheet1!C13)="Very High", TRIM(Sheet1!F13)="Exp"), B58/Sheet3!W5)</f>
        <v>9.6197916666666661</v>
      </c>
      <c r="H58" s="17">
        <f t="shared" si="18"/>
        <v>2.4049479166666665</v>
      </c>
      <c r="I58" s="17">
        <f t="shared" si="18"/>
        <v>1</v>
      </c>
      <c r="J58" s="17">
        <f t="shared" si="19"/>
        <v>0</v>
      </c>
      <c r="K58" s="51" t="s">
        <v>32</v>
      </c>
    </row>
    <row r="59" spans="1:11" x14ac:dyDescent="0.35">
      <c r="A59" s="23" t="s">
        <v>67</v>
      </c>
      <c r="B59" s="41">
        <f>Sheet1!G13/Sheet1!H13*0.75</f>
        <v>41.625</v>
      </c>
      <c r="C59" s="23" t="s">
        <v>68</v>
      </c>
      <c r="D59" s="49"/>
      <c r="E59" s="49"/>
      <c r="F59" s="49"/>
      <c r="G59" s="49">
        <f t="array" ref="G59">_xlfn.IFS(
    AND(TRIM(Sheet1!C13)="Low Risk", TRIM(Sheet1!F13)="New"), B59/Sheet3!V2,
    AND(TRIM(Sheet1!C13)="Low Risk", TRIM(Sheet1!F13)="Exp"), B59/Sheet3!W2,
    AND(TRIM(Sheet1!C13)="Medium Risk", TRIM(Sheet1!F13)="New"), B59/Sheet3!V3,
    AND(TRIM(Sheet1!C13)="Medium Risk", TRIM(Sheet1!F13)="Exp"), B59/Sheet3!W3,
    AND(TRIM(Sheet1!C13)="High Risk", TRIM(Sheet1!F13)="New"), B59/Sheet3!V4,
    AND(TRIM(Sheet1!C13)="High Risk", TRIM(Sheet1!F13)="Exp"), B59/Sheet3!W4,
    AND(TRIM(Sheet1!C13)="Very High", TRIM(Sheet1!F13)="New"), B59/Sheet3!V5,
    AND(TRIM(Sheet1!C13)="Very High", TRIM(Sheet1!F13)="Exp"), B59/Sheet3!W5)</f>
        <v>5.203125</v>
      </c>
      <c r="H59" s="17">
        <f t="shared" si="18"/>
        <v>1.30078125</v>
      </c>
      <c r="I59" s="17">
        <f t="shared" si="18"/>
        <v>1</v>
      </c>
      <c r="J59" s="17">
        <f t="shared" si="19"/>
        <v>0</v>
      </c>
      <c r="K59" s="51" t="s">
        <v>33</v>
      </c>
    </row>
  </sheetData>
  <mergeCells count="5">
    <mergeCell ref="A1:J1"/>
    <mergeCell ref="A46:J46"/>
    <mergeCell ref="A31:J31"/>
    <mergeCell ref="K1:S1"/>
    <mergeCell ref="A16:J1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W12"/>
  <sheetViews>
    <sheetView topLeftCell="H1" workbookViewId="0">
      <selection activeCell="G3" sqref="A3:G3"/>
    </sheetView>
  </sheetViews>
  <sheetFormatPr defaultRowHeight="14.5" x14ac:dyDescent="0.35"/>
  <cols>
    <col min="1" max="1" width="2.453125" hidden="1" customWidth="1"/>
    <col min="2" max="2" width="5.453125" hidden="1" customWidth="1"/>
    <col min="3" max="3" width="9.453125" hidden="1" customWidth="1"/>
    <col min="4" max="4" width="8.1796875" hidden="1" customWidth="1"/>
    <col min="5" max="7" width="17.1796875" hidden="1" customWidth="1"/>
    <col min="8" max="12" width="17.1796875" bestFit="1" customWidth="1"/>
  </cols>
  <sheetData>
    <row r="1" spans="8:23" ht="15" customHeight="1" thickBot="1" x14ac:dyDescent="0.4">
      <c r="H1" s="27">
        <v>1</v>
      </c>
      <c r="I1" s="5"/>
      <c r="J1" s="29"/>
      <c r="K1" s="29" t="s">
        <v>69</v>
      </c>
      <c r="L1" s="2">
        <v>0.5</v>
      </c>
      <c r="M1" s="4">
        <v>4</v>
      </c>
      <c r="N1" s="4">
        <v>3</v>
      </c>
      <c r="O1" s="4">
        <v>5</v>
      </c>
      <c r="P1" s="4">
        <v>3</v>
      </c>
      <c r="Q1" s="4">
        <v>3</v>
      </c>
      <c r="R1" s="4">
        <v>4</v>
      </c>
      <c r="S1" s="4">
        <v>3</v>
      </c>
      <c r="T1" s="4">
        <v>3</v>
      </c>
      <c r="U1" s="4">
        <v>4</v>
      </c>
      <c r="V1" s="4">
        <v>10</v>
      </c>
      <c r="W1" s="36">
        <v>3</v>
      </c>
    </row>
    <row r="2" spans="8:23" ht="15" customHeight="1" thickBot="1" x14ac:dyDescent="0.4">
      <c r="H2" s="27">
        <v>2</v>
      </c>
      <c r="I2" s="105" t="s">
        <v>70</v>
      </c>
      <c r="J2" s="29" t="s">
        <v>71</v>
      </c>
      <c r="K2" s="29" t="s">
        <v>72</v>
      </c>
      <c r="L2" s="4">
        <f t="shared" ref="L2:W2" si="0">24/L1</f>
        <v>48</v>
      </c>
      <c r="M2" s="4">
        <f t="shared" si="0"/>
        <v>6</v>
      </c>
      <c r="N2" s="4">
        <f t="shared" si="0"/>
        <v>8</v>
      </c>
      <c r="O2" s="4">
        <f t="shared" si="0"/>
        <v>4.8</v>
      </c>
      <c r="P2" s="4">
        <f t="shared" si="0"/>
        <v>8</v>
      </c>
      <c r="Q2" s="4">
        <f t="shared" si="0"/>
        <v>8</v>
      </c>
      <c r="R2" s="4">
        <f t="shared" si="0"/>
        <v>6</v>
      </c>
      <c r="S2" s="4">
        <f t="shared" si="0"/>
        <v>8</v>
      </c>
      <c r="T2" s="4">
        <f t="shared" si="0"/>
        <v>8</v>
      </c>
      <c r="U2" s="4">
        <f t="shared" si="0"/>
        <v>6</v>
      </c>
      <c r="V2" s="4">
        <f t="shared" si="0"/>
        <v>2.4</v>
      </c>
      <c r="W2" s="36">
        <f t="shared" si="0"/>
        <v>8</v>
      </c>
    </row>
    <row r="3" spans="8:23" ht="15" customHeight="1" thickBot="1" x14ac:dyDescent="0.4">
      <c r="H3" s="27">
        <v>3</v>
      </c>
      <c r="I3" s="106"/>
      <c r="J3" s="29" t="s">
        <v>73</v>
      </c>
      <c r="K3" s="29" t="s">
        <v>72</v>
      </c>
      <c r="L3" s="4">
        <f t="shared" ref="L3:W3" si="1">L2/1.25</f>
        <v>38.4</v>
      </c>
      <c r="M3" s="4">
        <f t="shared" si="1"/>
        <v>4.8</v>
      </c>
      <c r="N3" s="4">
        <f t="shared" si="1"/>
        <v>6.4</v>
      </c>
      <c r="O3" s="4">
        <f t="shared" si="1"/>
        <v>3.84</v>
      </c>
      <c r="P3" s="4">
        <f t="shared" si="1"/>
        <v>6.4</v>
      </c>
      <c r="Q3" s="4">
        <f t="shared" si="1"/>
        <v>6.4</v>
      </c>
      <c r="R3" s="4">
        <f t="shared" si="1"/>
        <v>4.8</v>
      </c>
      <c r="S3" s="4">
        <f t="shared" si="1"/>
        <v>6.4</v>
      </c>
      <c r="T3" s="4">
        <f t="shared" si="1"/>
        <v>6.4</v>
      </c>
      <c r="U3" s="4">
        <f t="shared" si="1"/>
        <v>4.8</v>
      </c>
      <c r="V3" s="4">
        <f t="shared" si="1"/>
        <v>1.92</v>
      </c>
      <c r="W3" s="36">
        <f t="shared" si="1"/>
        <v>6.4</v>
      </c>
    </row>
    <row r="4" spans="8:23" ht="15" customHeight="1" thickBot="1" x14ac:dyDescent="0.4">
      <c r="H4" s="27">
        <v>4</v>
      </c>
      <c r="I4" s="106"/>
      <c r="J4" s="29" t="s">
        <v>74</v>
      </c>
      <c r="K4" s="29" t="s">
        <v>72</v>
      </c>
      <c r="L4" s="4">
        <f t="shared" ref="L4:W4" si="2">L2/1.5</f>
        <v>32</v>
      </c>
      <c r="M4" s="4">
        <f t="shared" si="2"/>
        <v>4</v>
      </c>
      <c r="N4" s="4">
        <f t="shared" si="2"/>
        <v>5.333333333333333</v>
      </c>
      <c r="O4" s="4">
        <f t="shared" si="2"/>
        <v>3.1999999999999997</v>
      </c>
      <c r="P4" s="4">
        <f t="shared" si="2"/>
        <v>5.333333333333333</v>
      </c>
      <c r="Q4" s="4">
        <f t="shared" si="2"/>
        <v>5.333333333333333</v>
      </c>
      <c r="R4" s="4">
        <f t="shared" si="2"/>
        <v>4</v>
      </c>
      <c r="S4" s="4">
        <f t="shared" si="2"/>
        <v>5.333333333333333</v>
      </c>
      <c r="T4" s="4">
        <f t="shared" si="2"/>
        <v>5.333333333333333</v>
      </c>
      <c r="U4" s="4">
        <f t="shared" si="2"/>
        <v>4</v>
      </c>
      <c r="V4" s="4">
        <f t="shared" si="2"/>
        <v>1.5999999999999999</v>
      </c>
      <c r="W4" s="36">
        <f t="shared" si="2"/>
        <v>5.333333333333333</v>
      </c>
    </row>
    <row r="5" spans="8:23" ht="15" customHeight="1" thickBot="1" x14ac:dyDescent="0.4">
      <c r="H5" s="27">
        <v>5</v>
      </c>
      <c r="I5" s="107"/>
      <c r="J5" s="29" t="s">
        <v>75</v>
      </c>
      <c r="K5" s="29" t="s">
        <v>72</v>
      </c>
      <c r="L5" s="4">
        <f t="shared" ref="L5:W5" si="3">L2/2</f>
        <v>24</v>
      </c>
      <c r="M5" s="4">
        <f t="shared" si="3"/>
        <v>3</v>
      </c>
      <c r="N5" s="4">
        <f t="shared" si="3"/>
        <v>4</v>
      </c>
      <c r="O5" s="4">
        <f t="shared" si="3"/>
        <v>2.4</v>
      </c>
      <c r="P5" s="4">
        <f t="shared" si="3"/>
        <v>4</v>
      </c>
      <c r="Q5" s="4">
        <f t="shared" si="3"/>
        <v>4</v>
      </c>
      <c r="R5" s="4">
        <f t="shared" si="3"/>
        <v>3</v>
      </c>
      <c r="S5" s="4">
        <f t="shared" si="3"/>
        <v>4</v>
      </c>
      <c r="T5" s="4">
        <f t="shared" si="3"/>
        <v>4</v>
      </c>
      <c r="U5" s="4">
        <f t="shared" si="3"/>
        <v>3</v>
      </c>
      <c r="V5" s="4">
        <f t="shared" si="3"/>
        <v>1.2</v>
      </c>
      <c r="W5" s="36">
        <f t="shared" si="3"/>
        <v>4</v>
      </c>
    </row>
    <row r="6" spans="8:23" ht="15" customHeight="1" thickBot="1" x14ac:dyDescent="0.4">
      <c r="H6" s="27">
        <v>6</v>
      </c>
      <c r="I6" s="105" t="s">
        <v>76</v>
      </c>
      <c r="J6" s="29" t="s">
        <v>71</v>
      </c>
      <c r="K6" s="29" t="s">
        <v>72</v>
      </c>
      <c r="L6" s="4">
        <f t="shared" ref="L6:W6" si="4">L2/1.5</f>
        <v>32</v>
      </c>
      <c r="M6" s="4">
        <f t="shared" si="4"/>
        <v>4</v>
      </c>
      <c r="N6" s="4">
        <f t="shared" si="4"/>
        <v>5.333333333333333</v>
      </c>
      <c r="O6" s="4">
        <f t="shared" si="4"/>
        <v>3.1999999999999997</v>
      </c>
      <c r="P6" s="4">
        <f t="shared" si="4"/>
        <v>5.333333333333333</v>
      </c>
      <c r="Q6" s="4">
        <f t="shared" si="4"/>
        <v>5.333333333333333</v>
      </c>
      <c r="R6" s="4">
        <f t="shared" si="4"/>
        <v>4</v>
      </c>
      <c r="S6" s="4">
        <f t="shared" si="4"/>
        <v>5.333333333333333</v>
      </c>
      <c r="T6" s="4">
        <f t="shared" si="4"/>
        <v>5.333333333333333</v>
      </c>
      <c r="U6" s="4">
        <f t="shared" si="4"/>
        <v>4</v>
      </c>
      <c r="V6" s="4">
        <f t="shared" si="4"/>
        <v>1.5999999999999999</v>
      </c>
      <c r="W6" s="36">
        <f t="shared" si="4"/>
        <v>5.333333333333333</v>
      </c>
    </row>
    <row r="7" spans="8:23" ht="15" customHeight="1" thickBot="1" x14ac:dyDescent="0.4">
      <c r="H7" s="27">
        <v>7</v>
      </c>
      <c r="I7" s="106"/>
      <c r="J7" s="29" t="s">
        <v>73</v>
      </c>
      <c r="K7" s="29" t="s">
        <v>72</v>
      </c>
      <c r="L7" s="4">
        <f t="shared" ref="L7:W7" si="5">L6/1.25</f>
        <v>25.6</v>
      </c>
      <c r="M7" s="4">
        <f t="shared" si="5"/>
        <v>3.2</v>
      </c>
      <c r="N7" s="4">
        <f t="shared" si="5"/>
        <v>4.2666666666666666</v>
      </c>
      <c r="O7" s="4">
        <f t="shared" si="5"/>
        <v>2.5599999999999996</v>
      </c>
      <c r="P7" s="4">
        <f t="shared" si="5"/>
        <v>4.2666666666666666</v>
      </c>
      <c r="Q7" s="4">
        <f t="shared" si="5"/>
        <v>4.2666666666666666</v>
      </c>
      <c r="R7" s="4">
        <f t="shared" si="5"/>
        <v>3.2</v>
      </c>
      <c r="S7" s="4">
        <f t="shared" si="5"/>
        <v>4.2666666666666666</v>
      </c>
      <c r="T7" s="4">
        <f t="shared" si="5"/>
        <v>4.2666666666666666</v>
      </c>
      <c r="U7" s="4">
        <f t="shared" si="5"/>
        <v>3.2</v>
      </c>
      <c r="V7" s="4">
        <f t="shared" si="5"/>
        <v>1.2799999999999998</v>
      </c>
      <c r="W7" s="36">
        <f t="shared" si="5"/>
        <v>4.2666666666666666</v>
      </c>
    </row>
    <row r="8" spans="8:23" ht="15" customHeight="1" thickBot="1" x14ac:dyDescent="0.4">
      <c r="H8" s="27">
        <v>8</v>
      </c>
      <c r="I8" s="106"/>
      <c r="J8" s="29" t="s">
        <v>74</v>
      </c>
      <c r="K8" s="29" t="s">
        <v>72</v>
      </c>
      <c r="L8" s="4">
        <f t="shared" ref="L8:W8" si="6">L6/1.5</f>
        <v>21.333333333333332</v>
      </c>
      <c r="M8" s="4">
        <f t="shared" si="6"/>
        <v>2.6666666666666665</v>
      </c>
      <c r="N8" s="4">
        <f t="shared" si="6"/>
        <v>3.5555555555555554</v>
      </c>
      <c r="O8" s="4">
        <f t="shared" si="6"/>
        <v>2.1333333333333333</v>
      </c>
      <c r="P8" s="4">
        <f t="shared" si="6"/>
        <v>3.5555555555555554</v>
      </c>
      <c r="Q8" s="4">
        <f t="shared" si="6"/>
        <v>3.5555555555555554</v>
      </c>
      <c r="R8" s="4">
        <f t="shared" si="6"/>
        <v>2.6666666666666665</v>
      </c>
      <c r="S8" s="4">
        <f t="shared" si="6"/>
        <v>3.5555555555555554</v>
      </c>
      <c r="T8" s="4">
        <f t="shared" si="6"/>
        <v>3.5555555555555554</v>
      </c>
      <c r="U8" s="4">
        <f t="shared" si="6"/>
        <v>2.6666666666666665</v>
      </c>
      <c r="V8" s="4">
        <f t="shared" si="6"/>
        <v>1.0666666666666667</v>
      </c>
      <c r="W8" s="36">
        <f t="shared" si="6"/>
        <v>3.5555555555555554</v>
      </c>
    </row>
    <row r="9" spans="8:23" ht="15" customHeight="1" thickBot="1" x14ac:dyDescent="0.4">
      <c r="H9" s="28">
        <v>9</v>
      </c>
      <c r="I9" s="107"/>
      <c r="J9" s="30" t="s">
        <v>75</v>
      </c>
      <c r="K9" s="30" t="s">
        <v>72</v>
      </c>
      <c r="L9" s="35">
        <f t="shared" ref="L9:W9" si="7">L6/2</f>
        <v>16</v>
      </c>
      <c r="M9" s="35">
        <f t="shared" si="7"/>
        <v>2</v>
      </c>
      <c r="N9" s="35">
        <f t="shared" si="7"/>
        <v>2.6666666666666665</v>
      </c>
      <c r="O9" s="35">
        <f t="shared" si="7"/>
        <v>1.5999999999999999</v>
      </c>
      <c r="P9" s="35">
        <f t="shared" si="7"/>
        <v>2.6666666666666665</v>
      </c>
      <c r="Q9" s="35">
        <f t="shared" si="7"/>
        <v>2.6666666666666665</v>
      </c>
      <c r="R9" s="35">
        <f t="shared" si="7"/>
        <v>2</v>
      </c>
      <c r="S9" s="35">
        <f t="shared" si="7"/>
        <v>2.6666666666666665</v>
      </c>
      <c r="T9" s="35">
        <f t="shared" si="7"/>
        <v>2.6666666666666665</v>
      </c>
      <c r="U9" s="35">
        <f t="shared" si="7"/>
        <v>2</v>
      </c>
      <c r="V9" s="35">
        <f t="shared" si="7"/>
        <v>0.79999999999999993</v>
      </c>
      <c r="W9" s="37">
        <f t="shared" si="7"/>
        <v>2.6666666666666665</v>
      </c>
    </row>
    <row r="10" spans="8:23" ht="15" customHeight="1" thickBot="1" x14ac:dyDescent="0.4">
      <c r="H10" s="97"/>
      <c r="I10" s="98"/>
      <c r="J10" s="98"/>
      <c r="K10" s="99"/>
      <c r="L10" s="31" t="s">
        <v>77</v>
      </c>
      <c r="M10" s="31" t="s">
        <v>78</v>
      </c>
      <c r="N10" s="31" t="s">
        <v>79</v>
      </c>
      <c r="O10" s="31" t="s">
        <v>80</v>
      </c>
      <c r="P10" s="31" t="s">
        <v>81</v>
      </c>
      <c r="Q10" s="31" t="s">
        <v>82</v>
      </c>
      <c r="R10" s="31" t="s">
        <v>83</v>
      </c>
      <c r="S10" s="31" t="s">
        <v>84</v>
      </c>
      <c r="T10" s="31" t="s">
        <v>85</v>
      </c>
      <c r="U10" s="31" t="s">
        <v>86</v>
      </c>
      <c r="V10" s="31" t="s">
        <v>87</v>
      </c>
      <c r="W10" s="32" t="s">
        <v>88</v>
      </c>
    </row>
    <row r="11" spans="8:23" ht="15" customHeight="1" thickBot="1" x14ac:dyDescent="0.4">
      <c r="H11" s="100"/>
      <c r="I11" s="94"/>
      <c r="J11" s="94"/>
      <c r="K11" s="101"/>
      <c r="L11" s="33" t="s">
        <v>89</v>
      </c>
      <c r="M11" s="33" t="s">
        <v>9</v>
      </c>
      <c r="N11" s="33" t="s">
        <v>9</v>
      </c>
      <c r="O11" s="33" t="s">
        <v>9</v>
      </c>
      <c r="P11" s="33" t="s">
        <v>14</v>
      </c>
      <c r="Q11" s="33" t="s">
        <v>14</v>
      </c>
      <c r="R11" s="33" t="s">
        <v>14</v>
      </c>
      <c r="S11" s="33" t="s">
        <v>12</v>
      </c>
      <c r="T11" s="33" t="s">
        <v>12</v>
      </c>
      <c r="U11" s="33" t="s">
        <v>12</v>
      </c>
      <c r="V11" s="33" t="s">
        <v>15</v>
      </c>
      <c r="W11" s="34" t="s">
        <v>15</v>
      </c>
    </row>
    <row r="12" spans="8:23" ht="15" customHeight="1" thickBot="1" x14ac:dyDescent="0.4">
      <c r="H12" s="102"/>
      <c r="I12" s="103"/>
      <c r="J12" s="103"/>
      <c r="K12" s="104"/>
      <c r="L12" s="33" t="s">
        <v>90</v>
      </c>
      <c r="M12" s="33" t="s">
        <v>91</v>
      </c>
      <c r="N12" s="33" t="s">
        <v>92</v>
      </c>
      <c r="O12" s="33" t="s">
        <v>13</v>
      </c>
      <c r="P12" s="33" t="s">
        <v>91</v>
      </c>
      <c r="Q12" s="33" t="s">
        <v>92</v>
      </c>
      <c r="R12" s="33" t="s">
        <v>13</v>
      </c>
      <c r="S12" s="33" t="s">
        <v>91</v>
      </c>
      <c r="T12" s="33" t="s">
        <v>92</v>
      </c>
      <c r="U12" s="33" t="s">
        <v>13</v>
      </c>
      <c r="V12" s="33" t="s">
        <v>10</v>
      </c>
      <c r="W12" s="34" t="s">
        <v>92</v>
      </c>
    </row>
  </sheetData>
  <mergeCells count="3">
    <mergeCell ref="H10:K12"/>
    <mergeCell ref="I2:I5"/>
    <mergeCell ref="I6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I69"/>
  <sheetViews>
    <sheetView workbookViewId="0">
      <selection activeCell="I2" sqref="I2:I5"/>
    </sheetView>
  </sheetViews>
  <sheetFormatPr defaultRowHeight="14.5" x14ac:dyDescent="0.35"/>
  <cols>
    <col min="1" max="2" width="12.26953125" customWidth="1"/>
    <col min="3" max="3" width="9.1796875" customWidth="1"/>
    <col min="4" max="4" width="10.453125" bestFit="1" customWidth="1"/>
    <col min="5" max="8" width="17" customWidth="1"/>
    <col min="9" max="10" width="12.81640625" customWidth="1"/>
  </cols>
  <sheetData>
    <row r="1" spans="1:9" x14ac:dyDescent="0.35">
      <c r="A1" s="53" t="s">
        <v>1</v>
      </c>
      <c r="B1" s="14" t="s">
        <v>19</v>
      </c>
      <c r="C1" s="14" t="s">
        <v>93</v>
      </c>
      <c r="D1" s="14" t="s">
        <v>18</v>
      </c>
      <c r="F1" s="14" t="s">
        <v>2</v>
      </c>
      <c r="H1" s="14" t="s">
        <v>3</v>
      </c>
      <c r="I1" s="14" t="s">
        <v>4</v>
      </c>
    </row>
    <row r="2" spans="1:9" x14ac:dyDescent="0.35">
      <c r="A2" s="54" t="s">
        <v>11</v>
      </c>
      <c r="B2" s="3" t="s">
        <v>71</v>
      </c>
      <c r="C2" s="3" t="s">
        <v>94</v>
      </c>
      <c r="D2" s="3" t="s">
        <v>95</v>
      </c>
      <c r="F2" t="s">
        <v>8</v>
      </c>
      <c r="H2" s="3" t="s">
        <v>9</v>
      </c>
      <c r="I2" s="3" t="s">
        <v>10</v>
      </c>
    </row>
    <row r="3" spans="1:9" x14ac:dyDescent="0.35">
      <c r="A3" s="54" t="s">
        <v>7</v>
      </c>
      <c r="B3" s="3" t="s">
        <v>71</v>
      </c>
      <c r="C3" s="3" t="s">
        <v>94</v>
      </c>
      <c r="D3" s="3" t="s">
        <v>96</v>
      </c>
      <c r="F3" t="s">
        <v>97</v>
      </c>
      <c r="H3" s="3" t="s">
        <v>14</v>
      </c>
      <c r="I3" s="3" t="s">
        <v>13</v>
      </c>
    </row>
    <row r="4" spans="1:9" x14ac:dyDescent="0.35">
      <c r="A4" s="54" t="s">
        <v>98</v>
      </c>
      <c r="B4" s="3" t="s">
        <v>71</v>
      </c>
      <c r="C4" s="3" t="s">
        <v>94</v>
      </c>
      <c r="D4" s="3" t="s">
        <v>99</v>
      </c>
      <c r="F4" t="s">
        <v>100</v>
      </c>
      <c r="H4" s="3" t="s">
        <v>12</v>
      </c>
      <c r="I4" s="3" t="s">
        <v>16</v>
      </c>
    </row>
    <row r="5" spans="1:9" x14ac:dyDescent="0.35">
      <c r="A5" s="54" t="s">
        <v>101</v>
      </c>
      <c r="B5" s="3" t="s">
        <v>71</v>
      </c>
      <c r="C5" s="3" t="s">
        <v>94</v>
      </c>
      <c r="D5" s="3" t="s">
        <v>102</v>
      </c>
      <c r="F5" t="s">
        <v>103</v>
      </c>
      <c r="H5" s="3" t="s">
        <v>15</v>
      </c>
      <c r="I5" s="3"/>
    </row>
    <row r="6" spans="1:9" x14ac:dyDescent="0.35">
      <c r="A6" s="54" t="s">
        <v>104</v>
      </c>
      <c r="B6" s="3" t="s">
        <v>71</v>
      </c>
      <c r="C6" s="3" t="s">
        <v>94</v>
      </c>
      <c r="D6" s="3" t="s">
        <v>105</v>
      </c>
    </row>
    <row r="7" spans="1:9" x14ac:dyDescent="0.35">
      <c r="A7" s="54" t="s">
        <v>106</v>
      </c>
      <c r="B7" s="3" t="s">
        <v>71</v>
      </c>
      <c r="C7" s="3"/>
      <c r="D7" s="3"/>
    </row>
    <row r="8" spans="1:9" x14ac:dyDescent="0.35">
      <c r="A8" s="54" t="s">
        <v>107</v>
      </c>
      <c r="B8" s="3" t="s">
        <v>71</v>
      </c>
      <c r="C8" s="3"/>
      <c r="D8" s="3"/>
    </row>
    <row r="9" spans="1:9" x14ac:dyDescent="0.35">
      <c r="A9" s="54" t="s">
        <v>108</v>
      </c>
      <c r="B9" s="3" t="s">
        <v>71</v>
      </c>
      <c r="C9" s="3"/>
      <c r="D9" s="3"/>
    </row>
    <row r="10" spans="1:9" x14ac:dyDescent="0.35">
      <c r="A10" s="54" t="s">
        <v>109</v>
      </c>
      <c r="B10" s="3" t="s">
        <v>71</v>
      </c>
      <c r="C10" s="3"/>
      <c r="D10" s="3"/>
    </row>
    <row r="11" spans="1:9" x14ac:dyDescent="0.35">
      <c r="A11" s="54" t="s">
        <v>110</v>
      </c>
      <c r="B11" s="3" t="s">
        <v>71</v>
      </c>
      <c r="C11" s="3"/>
      <c r="D11" s="3"/>
    </row>
    <row r="12" spans="1:9" x14ac:dyDescent="0.35">
      <c r="A12" s="54" t="s">
        <v>111</v>
      </c>
      <c r="B12" s="3" t="s">
        <v>71</v>
      </c>
      <c r="C12" s="3"/>
      <c r="D12" s="3"/>
    </row>
    <row r="13" spans="1:9" x14ac:dyDescent="0.35">
      <c r="A13" s="54" t="s">
        <v>112</v>
      </c>
      <c r="B13" s="3" t="s">
        <v>71</v>
      </c>
      <c r="C13" s="3"/>
      <c r="D13" s="3"/>
    </row>
    <row r="14" spans="1:9" x14ac:dyDescent="0.35">
      <c r="A14" s="54" t="s">
        <v>113</v>
      </c>
      <c r="B14" s="3" t="s">
        <v>71</v>
      </c>
      <c r="C14" s="3"/>
      <c r="D14" s="3"/>
    </row>
    <row r="15" spans="1:9" x14ac:dyDescent="0.35">
      <c r="A15" s="54" t="s">
        <v>114</v>
      </c>
      <c r="B15" s="3" t="s">
        <v>71</v>
      </c>
      <c r="C15" s="3"/>
      <c r="D15" s="3"/>
    </row>
    <row r="16" spans="1:9" x14ac:dyDescent="0.35">
      <c r="A16" s="54" t="s">
        <v>115</v>
      </c>
      <c r="B16" s="3" t="s">
        <v>71</v>
      </c>
      <c r="C16" s="3"/>
      <c r="D16" s="3"/>
    </row>
    <row r="17" spans="1:4" x14ac:dyDescent="0.35">
      <c r="A17" s="54" t="s">
        <v>116</v>
      </c>
      <c r="B17" s="3" t="s">
        <v>71</v>
      </c>
      <c r="C17" s="3"/>
      <c r="D17" s="3"/>
    </row>
    <row r="18" spans="1:4" x14ac:dyDescent="0.35">
      <c r="A18" s="54" t="s">
        <v>117</v>
      </c>
      <c r="B18" s="3" t="s">
        <v>71</v>
      </c>
      <c r="C18" s="3"/>
      <c r="D18" s="3"/>
    </row>
    <row r="19" spans="1:4" x14ac:dyDescent="0.35">
      <c r="A19" s="54" t="s">
        <v>118</v>
      </c>
      <c r="B19" s="3" t="s">
        <v>71</v>
      </c>
      <c r="C19" s="3"/>
      <c r="D19" s="3"/>
    </row>
    <row r="20" spans="1:4" x14ac:dyDescent="0.35">
      <c r="A20" s="54" t="s">
        <v>119</v>
      </c>
      <c r="B20" s="3" t="s">
        <v>71</v>
      </c>
      <c r="C20" s="3"/>
      <c r="D20" s="3"/>
    </row>
    <row r="21" spans="1:4" x14ac:dyDescent="0.35">
      <c r="A21" s="54" t="s">
        <v>120</v>
      </c>
      <c r="B21" s="3" t="s">
        <v>73</v>
      </c>
      <c r="C21" s="3"/>
      <c r="D21" s="3"/>
    </row>
    <row r="22" spans="1:4" x14ac:dyDescent="0.35">
      <c r="A22" s="54" t="s">
        <v>121</v>
      </c>
      <c r="B22" s="3" t="s">
        <v>73</v>
      </c>
      <c r="C22" s="3"/>
      <c r="D22" s="3"/>
    </row>
    <row r="23" spans="1:4" x14ac:dyDescent="0.35">
      <c r="A23" s="54" t="s">
        <v>122</v>
      </c>
      <c r="B23" s="3" t="s">
        <v>73</v>
      </c>
      <c r="C23" s="3"/>
      <c r="D23" s="3"/>
    </row>
    <row r="24" spans="1:4" x14ac:dyDescent="0.35">
      <c r="A24" s="54" t="s">
        <v>123</v>
      </c>
      <c r="B24" s="3" t="s">
        <v>73</v>
      </c>
      <c r="C24" s="3"/>
      <c r="D24" s="3"/>
    </row>
    <row r="25" spans="1:4" x14ac:dyDescent="0.35">
      <c r="A25" s="54" t="s">
        <v>124</v>
      </c>
      <c r="B25" s="3" t="s">
        <v>73</v>
      </c>
      <c r="C25" s="3"/>
      <c r="D25" s="3"/>
    </row>
    <row r="26" spans="1:4" x14ac:dyDescent="0.35">
      <c r="A26" s="54" t="s">
        <v>125</v>
      </c>
      <c r="B26" s="3" t="s">
        <v>73</v>
      </c>
      <c r="C26" s="3"/>
      <c r="D26" s="3"/>
    </row>
    <row r="27" spans="1:4" x14ac:dyDescent="0.35">
      <c r="A27" s="54" t="s">
        <v>126</v>
      </c>
      <c r="B27" s="3" t="s">
        <v>73</v>
      </c>
      <c r="C27" s="3"/>
      <c r="D27" s="3"/>
    </row>
    <row r="28" spans="1:4" x14ac:dyDescent="0.35">
      <c r="A28" s="54" t="s">
        <v>127</v>
      </c>
      <c r="B28" s="3" t="s">
        <v>73</v>
      </c>
      <c r="C28" s="3"/>
      <c r="D28" s="3"/>
    </row>
    <row r="29" spans="1:4" x14ac:dyDescent="0.35">
      <c r="A29" s="54" t="s">
        <v>128</v>
      </c>
      <c r="B29" s="3" t="s">
        <v>73</v>
      </c>
      <c r="C29" s="3"/>
      <c r="D29" s="3"/>
    </row>
    <row r="30" spans="1:4" x14ac:dyDescent="0.35">
      <c r="A30" s="54" t="s">
        <v>129</v>
      </c>
      <c r="B30" s="3" t="s">
        <v>73</v>
      </c>
      <c r="C30" s="3"/>
      <c r="D30" s="3"/>
    </row>
    <row r="31" spans="1:4" x14ac:dyDescent="0.35">
      <c r="A31" s="54" t="s">
        <v>130</v>
      </c>
      <c r="B31" s="3" t="s">
        <v>73</v>
      </c>
      <c r="C31" s="3"/>
      <c r="D31" s="3"/>
    </row>
    <row r="32" spans="1:4" x14ac:dyDescent="0.35">
      <c r="A32" s="54" t="s">
        <v>131</v>
      </c>
      <c r="B32" s="3" t="s">
        <v>73</v>
      </c>
      <c r="C32" s="3"/>
      <c r="D32" s="3"/>
    </row>
    <row r="33" spans="1:4" x14ac:dyDescent="0.35">
      <c r="A33" s="54" t="s">
        <v>132</v>
      </c>
      <c r="B33" s="3" t="s">
        <v>73</v>
      </c>
      <c r="C33" s="3"/>
      <c r="D33" s="3"/>
    </row>
    <row r="34" spans="1:4" x14ac:dyDescent="0.35">
      <c r="A34" s="54" t="s">
        <v>133</v>
      </c>
      <c r="B34" s="3" t="s">
        <v>73</v>
      </c>
      <c r="C34" s="3"/>
      <c r="D34" s="3"/>
    </row>
    <row r="35" spans="1:4" x14ac:dyDescent="0.35">
      <c r="A35" s="54" t="s">
        <v>134</v>
      </c>
      <c r="B35" s="3" t="s">
        <v>73</v>
      </c>
      <c r="C35" s="3"/>
      <c r="D35" s="3"/>
    </row>
    <row r="36" spans="1:4" x14ac:dyDescent="0.35">
      <c r="A36" s="54" t="s">
        <v>135</v>
      </c>
      <c r="B36" s="3" t="s">
        <v>73</v>
      </c>
      <c r="C36" s="3"/>
      <c r="D36" s="3"/>
    </row>
    <row r="37" spans="1:4" x14ac:dyDescent="0.35">
      <c r="A37" s="54" t="s">
        <v>136</v>
      </c>
      <c r="B37" s="3" t="s">
        <v>73</v>
      </c>
      <c r="C37" s="3"/>
      <c r="D37" s="3"/>
    </row>
    <row r="38" spans="1:4" x14ac:dyDescent="0.35">
      <c r="A38" s="54" t="s">
        <v>137</v>
      </c>
      <c r="B38" s="3" t="s">
        <v>73</v>
      </c>
      <c r="C38" s="3"/>
      <c r="D38" s="3"/>
    </row>
    <row r="39" spans="1:4" x14ac:dyDescent="0.35">
      <c r="A39" s="54" t="s">
        <v>138</v>
      </c>
      <c r="B39" s="3" t="s">
        <v>73</v>
      </c>
      <c r="C39" s="3"/>
      <c r="D39" s="3"/>
    </row>
    <row r="40" spans="1:4" x14ac:dyDescent="0.35">
      <c r="A40" s="54" t="s">
        <v>139</v>
      </c>
      <c r="B40" s="3" t="s">
        <v>73</v>
      </c>
      <c r="C40" s="3"/>
      <c r="D40" s="3"/>
    </row>
    <row r="41" spans="1:4" x14ac:dyDescent="0.35">
      <c r="A41" s="54" t="s">
        <v>140</v>
      </c>
      <c r="B41" s="3" t="s">
        <v>73</v>
      </c>
      <c r="C41" s="3"/>
      <c r="D41" s="3"/>
    </row>
    <row r="42" spans="1:4" x14ac:dyDescent="0.35">
      <c r="A42" s="54" t="s">
        <v>141</v>
      </c>
      <c r="B42" s="3" t="s">
        <v>73</v>
      </c>
      <c r="C42" s="3"/>
      <c r="D42" s="3"/>
    </row>
    <row r="43" spans="1:4" x14ac:dyDescent="0.35">
      <c r="A43" s="54" t="s">
        <v>142</v>
      </c>
      <c r="B43" s="3" t="s">
        <v>73</v>
      </c>
      <c r="C43" s="3"/>
      <c r="D43" s="3"/>
    </row>
    <row r="44" spans="1:4" x14ac:dyDescent="0.35">
      <c r="A44" s="54" t="s">
        <v>143</v>
      </c>
      <c r="B44" s="3" t="s">
        <v>73</v>
      </c>
      <c r="C44" s="3"/>
      <c r="D44" s="3"/>
    </row>
    <row r="45" spans="1:4" x14ac:dyDescent="0.35">
      <c r="A45" s="54" t="s">
        <v>144</v>
      </c>
      <c r="B45" s="3" t="s">
        <v>73</v>
      </c>
      <c r="C45" s="3"/>
      <c r="D45" s="3"/>
    </row>
    <row r="46" spans="1:4" x14ac:dyDescent="0.35">
      <c r="A46" s="54" t="s">
        <v>145</v>
      </c>
      <c r="B46" s="3" t="s">
        <v>73</v>
      </c>
      <c r="C46" s="3"/>
      <c r="D46" s="3"/>
    </row>
    <row r="47" spans="1:4" x14ac:dyDescent="0.35">
      <c r="A47" s="54" t="s">
        <v>146</v>
      </c>
      <c r="B47" s="3" t="s">
        <v>73</v>
      </c>
      <c r="C47" s="3"/>
      <c r="D47" s="3"/>
    </row>
    <row r="48" spans="1:4" x14ac:dyDescent="0.35">
      <c r="A48" s="54" t="s">
        <v>147</v>
      </c>
      <c r="B48" s="3" t="s">
        <v>73</v>
      </c>
      <c r="C48" s="3"/>
      <c r="D48" s="3"/>
    </row>
    <row r="49" spans="1:4" x14ac:dyDescent="0.35">
      <c r="A49" s="54" t="s">
        <v>148</v>
      </c>
      <c r="B49" s="3" t="s">
        <v>73</v>
      </c>
      <c r="C49" s="3"/>
      <c r="D49" s="3"/>
    </row>
    <row r="50" spans="1:4" x14ac:dyDescent="0.35">
      <c r="A50" s="54" t="s">
        <v>149</v>
      </c>
      <c r="B50" s="3" t="s">
        <v>73</v>
      </c>
      <c r="C50" s="3"/>
      <c r="D50" s="3"/>
    </row>
    <row r="51" spans="1:4" x14ac:dyDescent="0.35">
      <c r="A51" s="54" t="s">
        <v>150</v>
      </c>
      <c r="B51" s="3" t="s">
        <v>73</v>
      </c>
      <c r="C51" s="3"/>
      <c r="D51" s="3"/>
    </row>
    <row r="52" spans="1:4" x14ac:dyDescent="0.35">
      <c r="A52" s="54" t="s">
        <v>151</v>
      </c>
      <c r="B52" s="3" t="s">
        <v>73</v>
      </c>
      <c r="C52" s="3"/>
      <c r="D52" s="3"/>
    </row>
    <row r="53" spans="1:4" x14ac:dyDescent="0.35">
      <c r="A53" s="54" t="s">
        <v>152</v>
      </c>
      <c r="B53" s="3" t="s">
        <v>73</v>
      </c>
      <c r="C53" s="3"/>
      <c r="D53" s="3"/>
    </row>
    <row r="54" spans="1:4" x14ac:dyDescent="0.35">
      <c r="A54" s="54" t="s">
        <v>153</v>
      </c>
      <c r="B54" s="3" t="s">
        <v>74</v>
      </c>
      <c r="C54" s="3"/>
      <c r="D54" s="3"/>
    </row>
    <row r="55" spans="1:4" x14ac:dyDescent="0.35">
      <c r="A55" s="54" t="s">
        <v>154</v>
      </c>
      <c r="B55" s="3" t="s">
        <v>74</v>
      </c>
      <c r="C55" s="3"/>
      <c r="D55" s="3"/>
    </row>
    <row r="56" spans="1:4" x14ac:dyDescent="0.35">
      <c r="A56" s="54" t="s">
        <v>155</v>
      </c>
      <c r="B56" s="3" t="s">
        <v>74</v>
      </c>
      <c r="C56" s="3"/>
      <c r="D56" s="3"/>
    </row>
    <row r="57" spans="1:4" x14ac:dyDescent="0.35">
      <c r="A57" s="54" t="s">
        <v>156</v>
      </c>
      <c r="B57" s="3" t="s">
        <v>74</v>
      </c>
      <c r="C57" s="3"/>
      <c r="D57" s="3"/>
    </row>
    <row r="58" spans="1:4" x14ac:dyDescent="0.35">
      <c r="A58" s="54" t="s">
        <v>157</v>
      </c>
      <c r="B58" s="3" t="s">
        <v>74</v>
      </c>
      <c r="C58" s="3"/>
      <c r="D58" s="3"/>
    </row>
    <row r="59" spans="1:4" x14ac:dyDescent="0.35">
      <c r="A59" s="54" t="s">
        <v>158</v>
      </c>
      <c r="B59" s="3" t="s">
        <v>74</v>
      </c>
      <c r="C59" s="3"/>
      <c r="D59" s="3"/>
    </row>
    <row r="60" spans="1:4" x14ac:dyDescent="0.35">
      <c r="A60" s="54" t="s">
        <v>159</v>
      </c>
      <c r="B60" s="3" t="s">
        <v>74</v>
      </c>
      <c r="C60" s="3"/>
      <c r="D60" s="3"/>
    </row>
    <row r="61" spans="1:4" x14ac:dyDescent="0.35">
      <c r="A61" s="54" t="s">
        <v>160</v>
      </c>
      <c r="B61" s="3" t="s">
        <v>74</v>
      </c>
      <c r="C61" s="3"/>
      <c r="D61" s="3"/>
    </row>
    <row r="62" spans="1:4" x14ac:dyDescent="0.35">
      <c r="A62" s="54" t="s">
        <v>161</v>
      </c>
      <c r="B62" s="3" t="s">
        <v>74</v>
      </c>
      <c r="C62" s="3"/>
      <c r="D62" s="3"/>
    </row>
    <row r="63" spans="1:4" x14ac:dyDescent="0.35">
      <c r="A63" s="54" t="s">
        <v>162</v>
      </c>
      <c r="B63" s="3" t="s">
        <v>74</v>
      </c>
      <c r="C63" s="3"/>
      <c r="D63" s="3"/>
    </row>
    <row r="64" spans="1:4" x14ac:dyDescent="0.35">
      <c r="A64" s="54" t="s">
        <v>163</v>
      </c>
      <c r="B64" s="3" t="s">
        <v>164</v>
      </c>
      <c r="C64" s="3"/>
      <c r="D64" s="3"/>
    </row>
    <row r="65" spans="1:4" x14ac:dyDescent="0.35">
      <c r="A65" s="54" t="s">
        <v>165</v>
      </c>
      <c r="B65" s="3" t="s">
        <v>164</v>
      </c>
      <c r="C65" s="3"/>
      <c r="D65" s="3"/>
    </row>
    <row r="66" spans="1:4" x14ac:dyDescent="0.35">
      <c r="A66" s="54" t="s">
        <v>166</v>
      </c>
      <c r="B66" s="3" t="s">
        <v>164</v>
      </c>
      <c r="C66" s="3"/>
      <c r="D66" s="3"/>
    </row>
    <row r="67" spans="1:4" x14ac:dyDescent="0.35">
      <c r="A67" s="54" t="s">
        <v>167</v>
      </c>
      <c r="B67" s="3" t="s">
        <v>164</v>
      </c>
      <c r="C67" s="3"/>
      <c r="D67" s="3"/>
    </row>
    <row r="68" spans="1:4" x14ac:dyDescent="0.35">
      <c r="A68" s="54" t="s">
        <v>168</v>
      </c>
      <c r="B68" s="3" t="s">
        <v>164</v>
      </c>
      <c r="C68" s="3"/>
      <c r="D68" s="3"/>
    </row>
    <row r="69" spans="1:4" x14ac:dyDescent="0.35">
      <c r="A69" s="3" t="s">
        <v>169</v>
      </c>
      <c r="B69" s="3" t="s">
        <v>164</v>
      </c>
      <c r="C69" s="3"/>
      <c r="D6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R64"/>
  <sheetViews>
    <sheetView topLeftCell="E49" zoomScale="90" zoomScaleNormal="90" workbookViewId="0">
      <selection activeCell="G62" sqref="E62:G62"/>
    </sheetView>
  </sheetViews>
  <sheetFormatPr defaultRowHeight="14.5" x14ac:dyDescent="0.35"/>
  <cols>
    <col min="1" max="1" width="20.08984375" customWidth="1"/>
    <col min="2" max="2" width="11.1796875" customWidth="1"/>
    <col min="3" max="3" width="16.36328125" customWidth="1"/>
    <col min="4" max="4" width="14.81640625" customWidth="1"/>
    <col min="5" max="5" width="3.54296875" bestFit="1" customWidth="1"/>
    <col min="6" max="6" width="21.7265625" customWidth="1"/>
    <col min="7" max="7" width="20.7265625" bestFit="1" customWidth="1"/>
    <col min="8" max="8" width="19.7265625" bestFit="1" customWidth="1"/>
    <col min="9" max="9" width="20.7265625" bestFit="1" customWidth="1"/>
    <col min="10" max="17" width="29.90625" bestFit="1" customWidth="1"/>
    <col min="18" max="18" width="20.7265625" bestFit="1" customWidth="1"/>
    <col min="19" max="19" width="28.7265625" customWidth="1"/>
    <col min="20" max="20" width="10.26953125" customWidth="1"/>
    <col min="21" max="21" width="28.7265625" customWidth="1"/>
    <col min="22" max="22" width="9.1796875" customWidth="1"/>
    <col min="23" max="23" width="13.26953125" customWidth="1"/>
    <col min="24" max="24" width="23.81640625" bestFit="1" customWidth="1"/>
    <col min="25" max="31" width="18.54296875" bestFit="1" customWidth="1"/>
  </cols>
  <sheetData>
    <row r="1" spans="1:18" s="40" customFormat="1" x14ac:dyDescent="0.35">
      <c r="A1" s="38" t="s">
        <v>170</v>
      </c>
      <c r="B1" s="38" t="s">
        <v>171</v>
      </c>
      <c r="C1" s="38" t="s">
        <v>4</v>
      </c>
      <c r="D1" s="38" t="s">
        <v>172</v>
      </c>
      <c r="E1" s="38" t="s">
        <v>173</v>
      </c>
      <c r="F1" s="38" t="s">
        <v>21</v>
      </c>
      <c r="G1" s="39" t="s">
        <v>22</v>
      </c>
      <c r="H1" s="39" t="s">
        <v>23</v>
      </c>
      <c r="I1" s="39" t="s">
        <v>24</v>
      </c>
      <c r="J1" s="39" t="s">
        <v>25</v>
      </c>
      <c r="K1" s="39" t="s">
        <v>26</v>
      </c>
      <c r="L1" s="39" t="s">
        <v>27</v>
      </c>
      <c r="M1" s="39" t="s">
        <v>28</v>
      </c>
      <c r="N1" s="39" t="s">
        <v>29</v>
      </c>
      <c r="O1" s="39" t="s">
        <v>30</v>
      </c>
      <c r="P1" s="39" t="s">
        <v>31</v>
      </c>
      <c r="Q1" s="39" t="s">
        <v>32</v>
      </c>
      <c r="R1" s="39" t="s">
        <v>33</v>
      </c>
    </row>
    <row r="2" spans="1:18" x14ac:dyDescent="0.35">
      <c r="A2" s="18" t="s">
        <v>174</v>
      </c>
      <c r="B2" s="18"/>
      <c r="C2" s="18"/>
      <c r="D2" s="18"/>
      <c r="E2" s="17" t="s">
        <v>175</v>
      </c>
      <c r="F2" s="18" t="s">
        <v>34</v>
      </c>
      <c r="G2" s="18" t="s">
        <v>176</v>
      </c>
      <c r="H2" s="18" t="s">
        <v>177</v>
      </c>
      <c r="I2" s="18" t="s">
        <v>178</v>
      </c>
      <c r="J2" s="18" t="s">
        <v>179</v>
      </c>
      <c r="K2" s="18" t="s">
        <v>180</v>
      </c>
      <c r="L2" s="18" t="s">
        <v>181</v>
      </c>
      <c r="M2" s="23" t="s">
        <v>57</v>
      </c>
      <c r="N2" s="23" t="s">
        <v>59</v>
      </c>
      <c r="O2" s="23" t="s">
        <v>61</v>
      </c>
      <c r="P2" s="23" t="s">
        <v>63</v>
      </c>
      <c r="Q2" s="23" t="s">
        <v>65</v>
      </c>
      <c r="R2" s="23" t="s">
        <v>67</v>
      </c>
    </row>
    <row r="3" spans="1:18" x14ac:dyDescent="0.35">
      <c r="A3" s="18" t="s">
        <v>182</v>
      </c>
      <c r="B3" s="18"/>
      <c r="C3" s="18"/>
      <c r="D3" s="18"/>
      <c r="E3" s="17" t="s">
        <v>183</v>
      </c>
      <c r="F3" s="18" t="s">
        <v>35</v>
      </c>
      <c r="G3" s="11" t="s">
        <v>184</v>
      </c>
      <c r="H3" s="11" t="s">
        <v>185</v>
      </c>
      <c r="I3" s="11" t="s">
        <v>186</v>
      </c>
      <c r="J3" s="11" t="s">
        <v>187</v>
      </c>
      <c r="K3" s="11" t="s">
        <v>187</v>
      </c>
      <c r="L3" s="11" t="s">
        <v>187</v>
      </c>
      <c r="M3" s="11" t="s">
        <v>187</v>
      </c>
      <c r="N3" s="11" t="s">
        <v>187</v>
      </c>
      <c r="O3" s="11" t="s">
        <v>187</v>
      </c>
      <c r="P3" s="11" t="s">
        <v>187</v>
      </c>
      <c r="Q3" s="11" t="s">
        <v>187</v>
      </c>
      <c r="R3" s="11" t="s">
        <v>186</v>
      </c>
    </row>
    <row r="4" spans="1:18" x14ac:dyDescent="0.35">
      <c r="A4" s="18" t="s">
        <v>188</v>
      </c>
      <c r="B4" s="18"/>
      <c r="C4" s="18"/>
      <c r="D4" s="18" t="s">
        <v>73</v>
      </c>
      <c r="E4" s="19" t="s">
        <v>189</v>
      </c>
      <c r="F4" s="20" t="s">
        <v>36</v>
      </c>
      <c r="G4" s="18" t="s">
        <v>190</v>
      </c>
      <c r="H4" s="18" t="s">
        <v>191</v>
      </c>
      <c r="I4" s="18" t="s">
        <v>192</v>
      </c>
      <c r="J4" s="18" t="s">
        <v>193</v>
      </c>
      <c r="K4" s="18" t="s">
        <v>194</v>
      </c>
      <c r="L4" s="18" t="s">
        <v>195</v>
      </c>
      <c r="M4" s="23" t="s">
        <v>58</v>
      </c>
      <c r="N4" s="23" t="s">
        <v>60</v>
      </c>
      <c r="O4" s="23" t="s">
        <v>62</v>
      </c>
      <c r="P4" s="23" t="s">
        <v>64</v>
      </c>
      <c r="Q4" s="23" t="s">
        <v>66</v>
      </c>
      <c r="R4" s="23" t="s">
        <v>68</v>
      </c>
    </row>
    <row r="5" spans="1:18" x14ac:dyDescent="0.35">
      <c r="A5" s="18" t="s">
        <v>196</v>
      </c>
      <c r="B5" s="18"/>
      <c r="C5" s="18"/>
      <c r="D5" s="18" t="s">
        <v>71</v>
      </c>
      <c r="E5" s="19" t="s">
        <v>189</v>
      </c>
      <c r="F5" s="20" t="s">
        <v>36</v>
      </c>
      <c r="G5" s="18" t="s">
        <v>197</v>
      </c>
      <c r="H5" s="18" t="s">
        <v>198</v>
      </c>
      <c r="I5" s="18" t="s">
        <v>199</v>
      </c>
      <c r="J5" s="18" t="s">
        <v>200</v>
      </c>
      <c r="K5" s="18" t="s">
        <v>201</v>
      </c>
      <c r="L5" s="18" t="s">
        <v>202</v>
      </c>
      <c r="M5" s="23" t="s">
        <v>58</v>
      </c>
      <c r="N5" s="23" t="s">
        <v>60</v>
      </c>
      <c r="O5" s="23" t="s">
        <v>62</v>
      </c>
      <c r="P5" s="23" t="s">
        <v>64</v>
      </c>
      <c r="Q5" s="23" t="s">
        <v>66</v>
      </c>
      <c r="R5" s="23" t="s">
        <v>68</v>
      </c>
    </row>
    <row r="6" spans="1:18" x14ac:dyDescent="0.35">
      <c r="A6" s="18" t="s">
        <v>203</v>
      </c>
      <c r="B6" s="18"/>
      <c r="C6" s="18"/>
      <c r="D6" s="18" t="s">
        <v>74</v>
      </c>
      <c r="E6" s="19" t="s">
        <v>189</v>
      </c>
      <c r="F6" s="20" t="s">
        <v>36</v>
      </c>
      <c r="G6" s="18" t="s">
        <v>204</v>
      </c>
      <c r="H6" s="18" t="s">
        <v>205</v>
      </c>
      <c r="I6" s="18" t="s">
        <v>206</v>
      </c>
      <c r="J6" s="18" t="s">
        <v>207</v>
      </c>
      <c r="K6" s="18" t="s">
        <v>208</v>
      </c>
      <c r="L6" s="18" t="s">
        <v>209</v>
      </c>
      <c r="M6" s="23" t="s">
        <v>58</v>
      </c>
      <c r="N6" s="23" t="s">
        <v>60</v>
      </c>
      <c r="O6" s="23" t="s">
        <v>62</v>
      </c>
      <c r="P6" s="23" t="s">
        <v>64</v>
      </c>
      <c r="Q6" s="23" t="s">
        <v>66</v>
      </c>
      <c r="R6" s="23" t="s">
        <v>68</v>
      </c>
    </row>
    <row r="7" spans="1:18" x14ac:dyDescent="0.35">
      <c r="A7" s="18" t="s">
        <v>210</v>
      </c>
      <c r="B7" s="18"/>
      <c r="C7" s="18"/>
      <c r="D7" s="18" t="s">
        <v>211</v>
      </c>
      <c r="E7" s="19" t="s">
        <v>189</v>
      </c>
      <c r="F7" s="20" t="s">
        <v>36</v>
      </c>
      <c r="G7" s="18" t="s">
        <v>212</v>
      </c>
      <c r="H7" s="18" t="s">
        <v>213</v>
      </c>
      <c r="I7" s="18" t="s">
        <v>214</v>
      </c>
      <c r="J7" s="18" t="s">
        <v>215</v>
      </c>
      <c r="K7" s="18" t="s">
        <v>216</v>
      </c>
      <c r="L7" s="18" t="s">
        <v>217</v>
      </c>
      <c r="M7" s="23" t="s">
        <v>58</v>
      </c>
      <c r="N7" s="23" t="s">
        <v>60</v>
      </c>
      <c r="O7" s="23" t="s">
        <v>62</v>
      </c>
      <c r="P7" s="23" t="s">
        <v>64</v>
      </c>
      <c r="Q7" s="23" t="s">
        <v>66</v>
      </c>
      <c r="R7" s="23" t="s">
        <v>68</v>
      </c>
    </row>
    <row r="8" spans="1:18" x14ac:dyDescent="0.35">
      <c r="A8" s="18" t="s">
        <v>218</v>
      </c>
      <c r="B8" s="18"/>
      <c r="C8" s="18" t="s">
        <v>10</v>
      </c>
      <c r="D8" s="3" t="s">
        <v>219</v>
      </c>
      <c r="E8" s="21" t="s">
        <v>220</v>
      </c>
      <c r="F8" s="22" t="s">
        <v>37</v>
      </c>
      <c r="G8" s="18" t="s">
        <v>221</v>
      </c>
      <c r="H8" s="18" t="s">
        <v>222</v>
      </c>
      <c r="I8" s="18" t="s">
        <v>223</v>
      </c>
      <c r="J8" s="18" t="s">
        <v>224</v>
      </c>
      <c r="K8" s="18" t="s">
        <v>225</v>
      </c>
      <c r="L8" s="18" t="s">
        <v>226</v>
      </c>
      <c r="M8" s="18" t="s">
        <v>227</v>
      </c>
      <c r="N8" s="18" t="s">
        <v>228</v>
      </c>
      <c r="O8" s="18" t="s">
        <v>229</v>
      </c>
      <c r="P8" s="18" t="s">
        <v>230</v>
      </c>
      <c r="Q8" s="18" t="s">
        <v>231</v>
      </c>
      <c r="R8" s="18" t="s">
        <v>232</v>
      </c>
    </row>
    <row r="9" spans="1:18" x14ac:dyDescent="0.35">
      <c r="A9" s="18" t="s">
        <v>233</v>
      </c>
      <c r="B9" s="18"/>
      <c r="C9" s="18" t="s">
        <v>16</v>
      </c>
      <c r="D9" s="3" t="s">
        <v>219</v>
      </c>
      <c r="E9" s="21" t="s">
        <v>220</v>
      </c>
      <c r="F9" s="22" t="s">
        <v>37</v>
      </c>
      <c r="G9" s="18" t="s">
        <v>234</v>
      </c>
      <c r="H9" s="18" t="s">
        <v>235</v>
      </c>
      <c r="I9" s="18" t="s">
        <v>236</v>
      </c>
      <c r="J9" s="18" t="s">
        <v>237</v>
      </c>
      <c r="K9" s="18" t="s">
        <v>238</v>
      </c>
      <c r="L9" s="18" t="s">
        <v>239</v>
      </c>
      <c r="M9" s="18" t="s">
        <v>240</v>
      </c>
      <c r="N9" s="18" t="s">
        <v>241</v>
      </c>
      <c r="O9" s="18" t="s">
        <v>242</v>
      </c>
      <c r="P9" s="18" t="s">
        <v>243</v>
      </c>
      <c r="Q9" s="18" t="s">
        <v>244</v>
      </c>
      <c r="R9" s="18" t="s">
        <v>245</v>
      </c>
    </row>
    <row r="10" spans="1:18" x14ac:dyDescent="0.35">
      <c r="A10" s="18" t="s">
        <v>246</v>
      </c>
      <c r="B10" s="18"/>
      <c r="C10" s="18" t="s">
        <v>13</v>
      </c>
      <c r="D10" s="3" t="s">
        <v>219</v>
      </c>
      <c r="E10" s="21" t="s">
        <v>220</v>
      </c>
      <c r="F10" s="22" t="s">
        <v>37</v>
      </c>
      <c r="G10" s="18" t="s">
        <v>247</v>
      </c>
      <c r="H10" s="18" t="s">
        <v>248</v>
      </c>
      <c r="I10" s="18" t="s">
        <v>249</v>
      </c>
      <c r="J10" s="18" t="s">
        <v>250</v>
      </c>
      <c r="K10" s="18" t="s">
        <v>251</v>
      </c>
      <c r="L10" s="18" t="s">
        <v>252</v>
      </c>
      <c r="M10" s="18" t="s">
        <v>253</v>
      </c>
      <c r="N10" s="18" t="s">
        <v>254</v>
      </c>
      <c r="O10" s="18" t="s">
        <v>255</v>
      </c>
      <c r="P10" s="18" t="s">
        <v>256</v>
      </c>
      <c r="Q10" s="18" t="s">
        <v>257</v>
      </c>
      <c r="R10" s="18" t="s">
        <v>258</v>
      </c>
    </row>
    <row r="11" spans="1:18" x14ac:dyDescent="0.35">
      <c r="A11" s="18" t="s">
        <v>259</v>
      </c>
      <c r="B11" s="18"/>
      <c r="C11" s="18" t="s">
        <v>10</v>
      </c>
      <c r="D11" s="3" t="s">
        <v>260</v>
      </c>
      <c r="E11" s="21" t="s">
        <v>220</v>
      </c>
      <c r="F11" s="22" t="s">
        <v>37</v>
      </c>
      <c r="G11" s="18" t="s">
        <v>261</v>
      </c>
      <c r="H11" s="18" t="s">
        <v>262</v>
      </c>
      <c r="I11" s="18" t="s">
        <v>263</v>
      </c>
      <c r="J11" s="18" t="s">
        <v>264</v>
      </c>
      <c r="K11" s="18" t="s">
        <v>265</v>
      </c>
      <c r="L11" s="18" t="s">
        <v>266</v>
      </c>
      <c r="M11" s="18" t="s">
        <v>267</v>
      </c>
      <c r="N11" s="18" t="s">
        <v>268</v>
      </c>
      <c r="O11" s="18" t="s">
        <v>269</v>
      </c>
      <c r="P11" s="18" t="s">
        <v>270</v>
      </c>
      <c r="Q11" s="18" t="s">
        <v>271</v>
      </c>
      <c r="R11" s="18" t="s">
        <v>272</v>
      </c>
    </row>
    <row r="12" spans="1:18" x14ac:dyDescent="0.35">
      <c r="A12" s="18" t="s">
        <v>273</v>
      </c>
      <c r="B12" s="18"/>
      <c r="C12" s="18" t="s">
        <v>16</v>
      </c>
      <c r="D12" s="3" t="s">
        <v>260</v>
      </c>
      <c r="E12" s="21" t="s">
        <v>220</v>
      </c>
      <c r="F12" s="22" t="s">
        <v>37</v>
      </c>
      <c r="G12" s="18" t="s">
        <v>274</v>
      </c>
      <c r="H12" s="18" t="s">
        <v>275</v>
      </c>
      <c r="I12" s="18" t="s">
        <v>276</v>
      </c>
      <c r="J12" s="18" t="s">
        <v>277</v>
      </c>
      <c r="K12" s="18" t="s">
        <v>278</v>
      </c>
      <c r="L12" s="18" t="s">
        <v>279</v>
      </c>
      <c r="M12" s="18" t="s">
        <v>280</v>
      </c>
      <c r="N12" s="18" t="s">
        <v>281</v>
      </c>
      <c r="O12" s="18" t="s">
        <v>282</v>
      </c>
      <c r="P12" s="18" t="s">
        <v>283</v>
      </c>
      <c r="Q12" s="18" t="s">
        <v>284</v>
      </c>
      <c r="R12" s="18" t="s">
        <v>285</v>
      </c>
    </row>
    <row r="13" spans="1:18" x14ac:dyDescent="0.35">
      <c r="A13" s="18" t="s">
        <v>286</v>
      </c>
      <c r="B13" s="18"/>
      <c r="C13" s="18" t="s">
        <v>13</v>
      </c>
      <c r="D13" s="3" t="s">
        <v>260</v>
      </c>
      <c r="E13" s="21" t="s">
        <v>220</v>
      </c>
      <c r="F13" s="22" t="s">
        <v>37</v>
      </c>
      <c r="G13" s="18" t="s">
        <v>287</v>
      </c>
      <c r="H13" s="18" t="s">
        <v>288</v>
      </c>
      <c r="I13" s="18" t="s">
        <v>289</v>
      </c>
      <c r="J13" s="18" t="s">
        <v>290</v>
      </c>
      <c r="K13" s="18" t="s">
        <v>291</v>
      </c>
      <c r="L13" s="18" t="s">
        <v>292</v>
      </c>
      <c r="M13" s="18" t="s">
        <v>293</v>
      </c>
      <c r="N13" s="18" t="s">
        <v>294</v>
      </c>
      <c r="O13" s="18" t="s">
        <v>295</v>
      </c>
      <c r="P13" s="18" t="s">
        <v>296</v>
      </c>
      <c r="Q13" s="18" t="s">
        <v>297</v>
      </c>
      <c r="R13" s="18" t="s">
        <v>298</v>
      </c>
    </row>
    <row r="14" spans="1:18" x14ac:dyDescent="0.35">
      <c r="A14" s="18" t="s">
        <v>299</v>
      </c>
      <c r="B14" s="18"/>
      <c r="C14" s="18" t="s">
        <v>10</v>
      </c>
      <c r="D14" s="3" t="s">
        <v>300</v>
      </c>
      <c r="E14" s="21" t="s">
        <v>220</v>
      </c>
      <c r="F14" s="22" t="s">
        <v>37</v>
      </c>
      <c r="G14" s="18" t="s">
        <v>301</v>
      </c>
      <c r="H14" s="18" t="s">
        <v>302</v>
      </c>
      <c r="I14" s="18" t="s">
        <v>303</v>
      </c>
      <c r="J14" s="18" t="s">
        <v>304</v>
      </c>
      <c r="K14" s="18" t="s">
        <v>305</v>
      </c>
      <c r="L14" s="18" t="s">
        <v>306</v>
      </c>
      <c r="M14" s="18" t="s">
        <v>307</v>
      </c>
      <c r="N14" s="18" t="s">
        <v>308</v>
      </c>
      <c r="O14" s="18" t="s">
        <v>309</v>
      </c>
      <c r="P14" s="18" t="s">
        <v>310</v>
      </c>
      <c r="Q14" s="18" t="s">
        <v>311</v>
      </c>
      <c r="R14" s="18" t="s">
        <v>312</v>
      </c>
    </row>
    <row r="15" spans="1:18" x14ac:dyDescent="0.35">
      <c r="A15" s="18" t="s">
        <v>313</v>
      </c>
      <c r="B15" s="18"/>
      <c r="C15" s="18" t="s">
        <v>16</v>
      </c>
      <c r="D15" s="3" t="s">
        <v>300</v>
      </c>
      <c r="E15" s="21" t="s">
        <v>220</v>
      </c>
      <c r="F15" s="22" t="s">
        <v>37</v>
      </c>
      <c r="G15" s="18" t="s">
        <v>314</v>
      </c>
      <c r="H15" s="18" t="s">
        <v>315</v>
      </c>
      <c r="I15" s="18" t="s">
        <v>316</v>
      </c>
      <c r="J15" s="18" t="s">
        <v>317</v>
      </c>
      <c r="K15" s="18" t="s">
        <v>318</v>
      </c>
      <c r="L15" s="18" t="s">
        <v>319</v>
      </c>
      <c r="M15" s="18" t="s">
        <v>320</v>
      </c>
      <c r="N15" s="18" t="s">
        <v>321</v>
      </c>
      <c r="O15" s="18" t="s">
        <v>322</v>
      </c>
      <c r="P15" s="18" t="s">
        <v>323</v>
      </c>
      <c r="Q15" s="18" t="s">
        <v>324</v>
      </c>
      <c r="R15" s="18" t="s">
        <v>325</v>
      </c>
    </row>
    <row r="16" spans="1:18" x14ac:dyDescent="0.35">
      <c r="A16" s="18" t="s">
        <v>326</v>
      </c>
      <c r="B16" s="18"/>
      <c r="C16" s="18" t="s">
        <v>13</v>
      </c>
      <c r="D16" s="3" t="s">
        <v>300</v>
      </c>
      <c r="E16" s="21" t="s">
        <v>220</v>
      </c>
      <c r="F16" s="22" t="s">
        <v>37</v>
      </c>
      <c r="G16" s="18" t="s">
        <v>327</v>
      </c>
      <c r="H16" s="18" t="s">
        <v>328</v>
      </c>
      <c r="I16" s="18" t="s">
        <v>329</v>
      </c>
      <c r="J16" s="18" t="s">
        <v>330</v>
      </c>
      <c r="K16" s="18" t="s">
        <v>331</v>
      </c>
      <c r="L16" s="18" t="s">
        <v>332</v>
      </c>
      <c r="M16" s="18" t="s">
        <v>333</v>
      </c>
      <c r="N16" s="18" t="s">
        <v>334</v>
      </c>
      <c r="O16" s="18" t="s">
        <v>335</v>
      </c>
      <c r="P16" s="18" t="s">
        <v>336</v>
      </c>
      <c r="Q16" s="18" t="s">
        <v>337</v>
      </c>
      <c r="R16" s="18" t="s">
        <v>338</v>
      </c>
    </row>
    <row r="17" spans="1:18" x14ac:dyDescent="0.35">
      <c r="A17" s="18" t="s">
        <v>339</v>
      </c>
      <c r="B17" s="18"/>
      <c r="C17" s="18" t="s">
        <v>10</v>
      </c>
      <c r="D17" s="3" t="s">
        <v>75</v>
      </c>
      <c r="E17" s="21" t="s">
        <v>220</v>
      </c>
      <c r="F17" s="22" t="s">
        <v>37</v>
      </c>
      <c r="G17" s="18" t="s">
        <v>340</v>
      </c>
      <c r="H17" s="18" t="s">
        <v>341</v>
      </c>
      <c r="I17" s="18" t="s">
        <v>342</v>
      </c>
      <c r="J17" s="18" t="s">
        <v>343</v>
      </c>
      <c r="K17" s="18" t="s">
        <v>344</v>
      </c>
      <c r="L17" s="18" t="s">
        <v>345</v>
      </c>
      <c r="M17" s="18" t="s">
        <v>346</v>
      </c>
      <c r="N17" s="18" t="s">
        <v>347</v>
      </c>
      <c r="O17" s="18" t="s">
        <v>348</v>
      </c>
      <c r="P17" s="18" t="s">
        <v>349</v>
      </c>
      <c r="Q17" s="18" t="s">
        <v>350</v>
      </c>
      <c r="R17" s="18" t="s">
        <v>351</v>
      </c>
    </row>
    <row r="18" spans="1:18" x14ac:dyDescent="0.35">
      <c r="A18" s="18" t="s">
        <v>352</v>
      </c>
      <c r="B18" s="18"/>
      <c r="C18" s="18" t="s">
        <v>16</v>
      </c>
      <c r="D18" s="3" t="s">
        <v>75</v>
      </c>
      <c r="E18" s="21" t="s">
        <v>220</v>
      </c>
      <c r="F18" s="22" t="s">
        <v>37</v>
      </c>
      <c r="G18" s="18" t="s">
        <v>353</v>
      </c>
      <c r="H18" s="18" t="s">
        <v>354</v>
      </c>
      <c r="I18" s="18" t="s">
        <v>355</v>
      </c>
      <c r="J18" s="18" t="s">
        <v>356</v>
      </c>
      <c r="K18" s="18" t="s">
        <v>357</v>
      </c>
      <c r="L18" s="18" t="s">
        <v>358</v>
      </c>
      <c r="M18" s="18" t="s">
        <v>359</v>
      </c>
      <c r="N18" s="18" t="s">
        <v>360</v>
      </c>
      <c r="O18" s="18" t="s">
        <v>361</v>
      </c>
      <c r="P18" s="18" t="s">
        <v>362</v>
      </c>
      <c r="Q18" s="18" t="s">
        <v>363</v>
      </c>
      <c r="R18" s="18" t="s">
        <v>364</v>
      </c>
    </row>
    <row r="19" spans="1:18" x14ac:dyDescent="0.35">
      <c r="A19" s="18" t="s">
        <v>365</v>
      </c>
      <c r="B19" s="18"/>
      <c r="C19" s="18" t="s">
        <v>13</v>
      </c>
      <c r="D19" s="3" t="s">
        <v>75</v>
      </c>
      <c r="E19" s="21" t="s">
        <v>220</v>
      </c>
      <c r="F19" s="22" t="s">
        <v>37</v>
      </c>
      <c r="G19" s="18" t="s">
        <v>366</v>
      </c>
      <c r="H19" s="18" t="s">
        <v>367</v>
      </c>
      <c r="I19" s="18" t="s">
        <v>368</v>
      </c>
      <c r="J19" s="18" t="s">
        <v>369</v>
      </c>
      <c r="K19" s="18" t="s">
        <v>370</v>
      </c>
      <c r="L19" s="18" t="s">
        <v>371</v>
      </c>
      <c r="M19" s="18" t="s">
        <v>372</v>
      </c>
      <c r="N19" s="18" t="s">
        <v>373</v>
      </c>
      <c r="O19" s="18" t="s">
        <v>374</v>
      </c>
      <c r="P19" s="18" t="s">
        <v>375</v>
      </c>
      <c r="Q19" s="18" t="s">
        <v>376</v>
      </c>
      <c r="R19" s="18" t="s">
        <v>377</v>
      </c>
    </row>
    <row r="20" spans="1:18" x14ac:dyDescent="0.35">
      <c r="A20" s="18" t="s">
        <v>378</v>
      </c>
      <c r="B20" s="18"/>
      <c r="C20" s="18" t="s">
        <v>10</v>
      </c>
      <c r="D20" s="3" t="s">
        <v>219</v>
      </c>
      <c r="E20" s="22" t="s">
        <v>379</v>
      </c>
      <c r="F20" s="22" t="s">
        <v>41</v>
      </c>
      <c r="G20" s="18" t="s">
        <v>380</v>
      </c>
      <c r="H20" s="18" t="s">
        <v>381</v>
      </c>
      <c r="I20" s="18" t="s">
        <v>382</v>
      </c>
      <c r="J20" s="18" t="s">
        <v>383</v>
      </c>
      <c r="K20" s="18" t="s">
        <v>384</v>
      </c>
      <c r="L20" s="18" t="s">
        <v>385</v>
      </c>
      <c r="M20" s="18" t="s">
        <v>386</v>
      </c>
      <c r="N20" s="18" t="s">
        <v>387</v>
      </c>
      <c r="O20" s="18" t="s">
        <v>388</v>
      </c>
      <c r="P20" s="18" t="s">
        <v>389</v>
      </c>
      <c r="Q20" s="18" t="s">
        <v>390</v>
      </c>
      <c r="R20" s="18" t="s">
        <v>391</v>
      </c>
    </row>
    <row r="21" spans="1:18" x14ac:dyDescent="0.35">
      <c r="A21" s="18" t="s">
        <v>392</v>
      </c>
      <c r="B21" s="18"/>
      <c r="C21" s="18" t="s">
        <v>393</v>
      </c>
      <c r="D21" s="3" t="s">
        <v>219</v>
      </c>
      <c r="E21" s="22" t="s">
        <v>379</v>
      </c>
      <c r="F21" s="22" t="s">
        <v>41</v>
      </c>
      <c r="G21" s="18" t="s">
        <v>394</v>
      </c>
      <c r="H21" s="18" t="s">
        <v>395</v>
      </c>
      <c r="I21" s="18" t="s">
        <v>396</v>
      </c>
      <c r="J21" s="18" t="s">
        <v>397</v>
      </c>
      <c r="K21" s="18" t="s">
        <v>398</v>
      </c>
      <c r="L21" s="18" t="s">
        <v>399</v>
      </c>
      <c r="M21" s="18" t="s">
        <v>400</v>
      </c>
      <c r="N21" s="18" t="s">
        <v>401</v>
      </c>
      <c r="O21" s="18" t="s">
        <v>402</v>
      </c>
      <c r="P21" s="18" t="s">
        <v>403</v>
      </c>
      <c r="Q21" s="18" t="s">
        <v>404</v>
      </c>
      <c r="R21" s="18" t="s">
        <v>405</v>
      </c>
    </row>
    <row r="22" spans="1:18" x14ac:dyDescent="0.35">
      <c r="A22" s="18" t="s">
        <v>406</v>
      </c>
      <c r="B22" s="18"/>
      <c r="C22" s="18" t="s">
        <v>13</v>
      </c>
      <c r="D22" s="3" t="s">
        <v>219</v>
      </c>
      <c r="E22" s="22" t="s">
        <v>379</v>
      </c>
      <c r="F22" s="22" t="s">
        <v>41</v>
      </c>
      <c r="G22" s="18" t="s">
        <v>407</v>
      </c>
      <c r="H22" s="18" t="s">
        <v>408</v>
      </c>
      <c r="I22" s="18" t="s">
        <v>409</v>
      </c>
      <c r="J22" s="18" t="s">
        <v>410</v>
      </c>
      <c r="K22" s="18" t="s">
        <v>411</v>
      </c>
      <c r="L22" s="18" t="s">
        <v>412</v>
      </c>
      <c r="M22" s="18" t="s">
        <v>413</v>
      </c>
      <c r="N22" s="18" t="s">
        <v>414</v>
      </c>
      <c r="O22" s="18" t="s">
        <v>415</v>
      </c>
      <c r="P22" s="18" t="s">
        <v>416</v>
      </c>
      <c r="Q22" s="18" t="s">
        <v>417</v>
      </c>
      <c r="R22" s="18" t="s">
        <v>418</v>
      </c>
    </row>
    <row r="23" spans="1:18" x14ac:dyDescent="0.35">
      <c r="A23" s="18" t="s">
        <v>419</v>
      </c>
      <c r="B23" s="18"/>
      <c r="C23" s="18" t="s">
        <v>10</v>
      </c>
      <c r="D23" s="3" t="s">
        <v>260</v>
      </c>
      <c r="E23" s="22" t="s">
        <v>379</v>
      </c>
      <c r="F23" s="22" t="s">
        <v>41</v>
      </c>
      <c r="G23" s="18" t="s">
        <v>420</v>
      </c>
      <c r="H23" s="18" t="s">
        <v>421</v>
      </c>
      <c r="I23" s="18" t="s">
        <v>422</v>
      </c>
      <c r="J23" s="18" t="s">
        <v>423</v>
      </c>
      <c r="K23" s="18" t="s">
        <v>424</v>
      </c>
      <c r="L23" s="18" t="s">
        <v>425</v>
      </c>
      <c r="M23" s="18" t="s">
        <v>426</v>
      </c>
      <c r="N23" s="18" t="s">
        <v>427</v>
      </c>
      <c r="O23" s="18" t="s">
        <v>428</v>
      </c>
      <c r="P23" s="18" t="s">
        <v>429</v>
      </c>
      <c r="Q23" s="18" t="s">
        <v>430</v>
      </c>
      <c r="R23" s="18" t="s">
        <v>431</v>
      </c>
    </row>
    <row r="24" spans="1:18" x14ac:dyDescent="0.35">
      <c r="A24" s="18" t="s">
        <v>432</v>
      </c>
      <c r="B24" s="18"/>
      <c r="C24" s="18" t="s">
        <v>393</v>
      </c>
      <c r="D24" s="3" t="s">
        <v>260</v>
      </c>
      <c r="E24" s="22" t="s">
        <v>379</v>
      </c>
      <c r="F24" s="22" t="s">
        <v>41</v>
      </c>
      <c r="G24" s="18" t="s">
        <v>433</v>
      </c>
      <c r="H24" s="18" t="s">
        <v>434</v>
      </c>
      <c r="I24" s="18" t="s">
        <v>435</v>
      </c>
      <c r="J24" s="18" t="s">
        <v>436</v>
      </c>
      <c r="K24" s="18" t="s">
        <v>437</v>
      </c>
      <c r="L24" s="18" t="s">
        <v>438</v>
      </c>
      <c r="M24" s="18" t="s">
        <v>439</v>
      </c>
      <c r="N24" s="18" t="s">
        <v>440</v>
      </c>
      <c r="O24" s="18" t="s">
        <v>441</v>
      </c>
      <c r="P24" s="18" t="s">
        <v>442</v>
      </c>
      <c r="Q24" s="18" t="s">
        <v>443</v>
      </c>
      <c r="R24" s="18" t="s">
        <v>444</v>
      </c>
    </row>
    <row r="25" spans="1:18" x14ac:dyDescent="0.35">
      <c r="A25" s="18" t="s">
        <v>445</v>
      </c>
      <c r="B25" s="18"/>
      <c r="C25" s="18" t="s">
        <v>13</v>
      </c>
      <c r="D25" s="3" t="s">
        <v>260</v>
      </c>
      <c r="E25" s="22" t="s">
        <v>379</v>
      </c>
      <c r="F25" s="22" t="s">
        <v>41</v>
      </c>
      <c r="G25" s="18" t="s">
        <v>446</v>
      </c>
      <c r="H25" s="18" t="s">
        <v>447</v>
      </c>
      <c r="I25" s="18" t="s">
        <v>448</v>
      </c>
      <c r="J25" s="18" t="s">
        <v>449</v>
      </c>
      <c r="K25" s="18" t="s">
        <v>450</v>
      </c>
      <c r="L25" s="18" t="s">
        <v>451</v>
      </c>
      <c r="M25" s="18" t="s">
        <v>452</v>
      </c>
      <c r="N25" s="18" t="s">
        <v>453</v>
      </c>
      <c r="O25" s="18" t="s">
        <v>454</v>
      </c>
      <c r="P25" s="18" t="s">
        <v>455</v>
      </c>
      <c r="Q25" s="18" t="s">
        <v>456</v>
      </c>
      <c r="R25" s="18" t="s">
        <v>457</v>
      </c>
    </row>
    <row r="26" spans="1:18" x14ac:dyDescent="0.35">
      <c r="A26" s="18" t="s">
        <v>458</v>
      </c>
      <c r="B26" s="18"/>
      <c r="C26" s="18" t="s">
        <v>10</v>
      </c>
      <c r="D26" s="3" t="s">
        <v>300</v>
      </c>
      <c r="E26" s="22" t="s">
        <v>379</v>
      </c>
      <c r="F26" s="22" t="s">
        <v>41</v>
      </c>
      <c r="G26" s="18" t="s">
        <v>459</v>
      </c>
      <c r="H26" s="18" t="s">
        <v>460</v>
      </c>
      <c r="I26" s="18" t="s">
        <v>461</v>
      </c>
      <c r="J26" s="18" t="s">
        <v>462</v>
      </c>
      <c r="K26" s="18" t="s">
        <v>463</v>
      </c>
      <c r="L26" s="18" t="s">
        <v>464</v>
      </c>
      <c r="M26" s="18" t="s">
        <v>465</v>
      </c>
      <c r="N26" s="18" t="s">
        <v>466</v>
      </c>
      <c r="O26" s="18" t="s">
        <v>467</v>
      </c>
      <c r="P26" s="18" t="s">
        <v>468</v>
      </c>
      <c r="Q26" s="18" t="s">
        <v>469</v>
      </c>
      <c r="R26" s="18" t="s">
        <v>470</v>
      </c>
    </row>
    <row r="27" spans="1:18" x14ac:dyDescent="0.35">
      <c r="A27" s="18" t="s">
        <v>471</v>
      </c>
      <c r="B27" s="18"/>
      <c r="C27" s="18" t="s">
        <v>393</v>
      </c>
      <c r="D27" s="3" t="s">
        <v>300</v>
      </c>
      <c r="E27" s="22" t="s">
        <v>379</v>
      </c>
      <c r="F27" s="22" t="s">
        <v>41</v>
      </c>
      <c r="G27" s="18" t="s">
        <v>472</v>
      </c>
      <c r="H27" s="18" t="s">
        <v>473</v>
      </c>
      <c r="I27" s="18" t="s">
        <v>474</v>
      </c>
      <c r="J27" s="18" t="s">
        <v>475</v>
      </c>
      <c r="K27" s="18" t="s">
        <v>476</v>
      </c>
      <c r="L27" s="18" t="s">
        <v>477</v>
      </c>
      <c r="M27" s="18" t="s">
        <v>478</v>
      </c>
      <c r="N27" s="18" t="s">
        <v>479</v>
      </c>
      <c r="O27" s="18" t="s">
        <v>480</v>
      </c>
      <c r="P27" s="18" t="s">
        <v>481</v>
      </c>
      <c r="Q27" s="18" t="s">
        <v>482</v>
      </c>
      <c r="R27" s="18" t="s">
        <v>483</v>
      </c>
    </row>
    <row r="28" spans="1:18" x14ac:dyDescent="0.35">
      <c r="A28" s="18" t="s">
        <v>484</v>
      </c>
      <c r="B28" s="18"/>
      <c r="C28" s="18" t="s">
        <v>485</v>
      </c>
      <c r="D28" s="3" t="s">
        <v>300</v>
      </c>
      <c r="E28" s="22" t="s">
        <v>379</v>
      </c>
      <c r="F28" s="22" t="s">
        <v>41</v>
      </c>
      <c r="G28" s="18" t="s">
        <v>486</v>
      </c>
      <c r="H28" s="18" t="s">
        <v>487</v>
      </c>
      <c r="I28" s="18" t="s">
        <v>488</v>
      </c>
      <c r="J28" s="18" t="s">
        <v>489</v>
      </c>
      <c r="K28" s="18" t="s">
        <v>490</v>
      </c>
      <c r="L28" s="18" t="s">
        <v>491</v>
      </c>
      <c r="M28" s="18" t="s">
        <v>492</v>
      </c>
      <c r="N28" s="18" t="s">
        <v>493</v>
      </c>
      <c r="O28" s="18" t="s">
        <v>494</v>
      </c>
      <c r="P28" s="18" t="s">
        <v>495</v>
      </c>
      <c r="Q28" s="18" t="s">
        <v>496</v>
      </c>
      <c r="R28" s="18" t="s">
        <v>497</v>
      </c>
    </row>
    <row r="29" spans="1:18" x14ac:dyDescent="0.35">
      <c r="A29" s="18" t="s">
        <v>498</v>
      </c>
      <c r="B29" s="18"/>
      <c r="C29" s="18" t="s">
        <v>10</v>
      </c>
      <c r="D29" s="3" t="s">
        <v>75</v>
      </c>
      <c r="E29" s="22" t="s">
        <v>379</v>
      </c>
      <c r="F29" s="22" t="s">
        <v>41</v>
      </c>
      <c r="G29" s="18" t="s">
        <v>499</v>
      </c>
      <c r="H29" s="18" t="s">
        <v>500</v>
      </c>
      <c r="I29" s="18" t="s">
        <v>501</v>
      </c>
      <c r="J29" s="18" t="s">
        <v>502</v>
      </c>
      <c r="K29" s="18" t="s">
        <v>503</v>
      </c>
      <c r="L29" s="18" t="s">
        <v>504</v>
      </c>
      <c r="M29" s="18" t="s">
        <v>505</v>
      </c>
      <c r="N29" s="18" t="s">
        <v>506</v>
      </c>
      <c r="O29" s="18" t="s">
        <v>507</v>
      </c>
      <c r="P29" s="18" t="s">
        <v>508</v>
      </c>
      <c r="Q29" s="18" t="s">
        <v>509</v>
      </c>
      <c r="R29" s="18" t="s">
        <v>510</v>
      </c>
    </row>
    <row r="30" spans="1:18" x14ac:dyDescent="0.35">
      <c r="A30" s="18" t="s">
        <v>511</v>
      </c>
      <c r="B30" s="18"/>
      <c r="C30" s="18" t="s">
        <v>393</v>
      </c>
      <c r="D30" s="3" t="s">
        <v>75</v>
      </c>
      <c r="E30" s="22" t="s">
        <v>379</v>
      </c>
      <c r="F30" s="22" t="s">
        <v>41</v>
      </c>
      <c r="G30" s="18" t="s">
        <v>512</v>
      </c>
      <c r="H30" s="18" t="s">
        <v>513</v>
      </c>
      <c r="I30" s="18" t="s">
        <v>514</v>
      </c>
      <c r="J30" s="18" t="s">
        <v>515</v>
      </c>
      <c r="K30" s="18" t="s">
        <v>516</v>
      </c>
      <c r="L30" s="18" t="s">
        <v>517</v>
      </c>
      <c r="M30" s="18" t="s">
        <v>518</v>
      </c>
      <c r="N30" s="18" t="s">
        <v>519</v>
      </c>
      <c r="O30" s="18" t="s">
        <v>520</v>
      </c>
      <c r="P30" s="18" t="s">
        <v>521</v>
      </c>
      <c r="Q30" s="18" t="s">
        <v>522</v>
      </c>
      <c r="R30" s="18" t="s">
        <v>523</v>
      </c>
    </row>
    <row r="31" spans="1:18" x14ac:dyDescent="0.35">
      <c r="A31" s="18" t="s">
        <v>524</v>
      </c>
      <c r="B31" s="18"/>
      <c r="C31" s="18" t="s">
        <v>485</v>
      </c>
      <c r="D31" s="3" t="s">
        <v>75</v>
      </c>
      <c r="E31" s="22" t="s">
        <v>379</v>
      </c>
      <c r="F31" s="22" t="s">
        <v>41</v>
      </c>
      <c r="G31" s="18" t="s">
        <v>525</v>
      </c>
      <c r="H31" s="18" t="s">
        <v>526</v>
      </c>
      <c r="I31" s="18" t="s">
        <v>527</v>
      </c>
      <c r="J31" s="18" t="s">
        <v>528</v>
      </c>
      <c r="K31" s="18" t="s">
        <v>529</v>
      </c>
      <c r="L31" s="18" t="s">
        <v>530</v>
      </c>
      <c r="M31" s="18" t="s">
        <v>531</v>
      </c>
      <c r="N31" s="18" t="s">
        <v>532</v>
      </c>
      <c r="O31" s="18" t="s">
        <v>533</v>
      </c>
      <c r="P31" s="18" t="s">
        <v>534</v>
      </c>
      <c r="Q31" s="18" t="s">
        <v>535</v>
      </c>
      <c r="R31" s="18" t="s">
        <v>536</v>
      </c>
    </row>
    <row r="32" spans="1:18" x14ac:dyDescent="0.35">
      <c r="A32" s="18" t="s">
        <v>537</v>
      </c>
      <c r="B32" s="18"/>
      <c r="C32" s="18" t="s">
        <v>10</v>
      </c>
      <c r="D32" s="3" t="s">
        <v>71</v>
      </c>
      <c r="E32" s="20" t="s">
        <v>538</v>
      </c>
      <c r="F32" s="20" t="s">
        <v>42</v>
      </c>
      <c r="G32" s="18" t="s">
        <v>539</v>
      </c>
      <c r="H32" s="18" t="s">
        <v>540</v>
      </c>
      <c r="I32" s="18" t="s">
        <v>541</v>
      </c>
      <c r="J32" s="18" t="s">
        <v>542</v>
      </c>
      <c r="K32" s="18" t="s">
        <v>543</v>
      </c>
      <c r="L32" s="18" t="s">
        <v>544</v>
      </c>
      <c r="M32" s="18" t="s">
        <v>545</v>
      </c>
      <c r="N32" s="18" t="s">
        <v>546</v>
      </c>
      <c r="O32" s="18" t="s">
        <v>547</v>
      </c>
      <c r="P32" s="18" t="s">
        <v>548</v>
      </c>
      <c r="Q32" s="18" t="s">
        <v>549</v>
      </c>
      <c r="R32" s="18" t="s">
        <v>550</v>
      </c>
    </row>
    <row r="33" spans="1:18" x14ac:dyDescent="0.35">
      <c r="A33" s="18" t="s">
        <v>551</v>
      </c>
      <c r="B33" s="18"/>
      <c r="C33" s="18" t="s">
        <v>393</v>
      </c>
      <c r="D33" s="3" t="s">
        <v>71</v>
      </c>
      <c r="E33" s="20" t="s">
        <v>538</v>
      </c>
      <c r="F33" s="20" t="s">
        <v>42</v>
      </c>
      <c r="G33" s="18" t="s">
        <v>552</v>
      </c>
      <c r="H33" s="18" t="s">
        <v>553</v>
      </c>
      <c r="I33" s="18" t="s">
        <v>554</v>
      </c>
      <c r="J33" s="18" t="s">
        <v>555</v>
      </c>
      <c r="K33" s="18" t="s">
        <v>556</v>
      </c>
      <c r="L33" s="18" t="s">
        <v>557</v>
      </c>
      <c r="M33" s="18" t="s">
        <v>558</v>
      </c>
      <c r="N33" s="18" t="s">
        <v>559</v>
      </c>
      <c r="O33" s="18" t="s">
        <v>560</v>
      </c>
      <c r="P33" s="18" t="s">
        <v>561</v>
      </c>
      <c r="Q33" s="18" t="s">
        <v>562</v>
      </c>
      <c r="R33" s="18" t="s">
        <v>563</v>
      </c>
    </row>
    <row r="34" spans="1:18" x14ac:dyDescent="0.35">
      <c r="A34" s="18" t="s">
        <v>564</v>
      </c>
      <c r="B34" s="18"/>
      <c r="C34" s="18" t="s">
        <v>13</v>
      </c>
      <c r="D34" s="3" t="s">
        <v>71</v>
      </c>
      <c r="E34" s="20" t="s">
        <v>538</v>
      </c>
      <c r="F34" s="20" t="s">
        <v>42</v>
      </c>
      <c r="G34" s="18" t="s">
        <v>565</v>
      </c>
      <c r="H34" s="18" t="s">
        <v>566</v>
      </c>
      <c r="I34" s="18" t="s">
        <v>567</v>
      </c>
      <c r="J34" s="18" t="s">
        <v>568</v>
      </c>
      <c r="K34" s="18" t="s">
        <v>569</v>
      </c>
      <c r="L34" s="18" t="s">
        <v>570</v>
      </c>
      <c r="M34" s="18" t="s">
        <v>571</v>
      </c>
      <c r="N34" s="18" t="s">
        <v>572</v>
      </c>
      <c r="O34" s="18" t="s">
        <v>573</v>
      </c>
      <c r="P34" s="18" t="s">
        <v>574</v>
      </c>
      <c r="Q34" s="18" t="s">
        <v>575</v>
      </c>
      <c r="R34" s="18" t="s">
        <v>576</v>
      </c>
    </row>
    <row r="35" spans="1:18" x14ac:dyDescent="0.35">
      <c r="A35" s="18" t="s">
        <v>577</v>
      </c>
      <c r="B35" s="18"/>
      <c r="C35" s="18" t="s">
        <v>10</v>
      </c>
      <c r="D35" s="3" t="s">
        <v>73</v>
      </c>
      <c r="E35" s="20" t="s">
        <v>538</v>
      </c>
      <c r="F35" s="20" t="s">
        <v>42</v>
      </c>
      <c r="G35" s="18" t="s">
        <v>578</v>
      </c>
      <c r="H35" s="18" t="s">
        <v>579</v>
      </c>
      <c r="I35" s="18" t="s">
        <v>580</v>
      </c>
      <c r="J35" s="18" t="s">
        <v>581</v>
      </c>
      <c r="K35" s="18" t="s">
        <v>582</v>
      </c>
      <c r="L35" s="18" t="s">
        <v>583</v>
      </c>
      <c r="M35" s="18" t="s">
        <v>584</v>
      </c>
      <c r="N35" s="18" t="s">
        <v>585</v>
      </c>
      <c r="O35" s="18" t="s">
        <v>586</v>
      </c>
      <c r="P35" s="18" t="s">
        <v>587</v>
      </c>
      <c r="Q35" s="18" t="s">
        <v>588</v>
      </c>
      <c r="R35" s="18" t="s">
        <v>589</v>
      </c>
    </row>
    <row r="36" spans="1:18" x14ac:dyDescent="0.35">
      <c r="A36" s="18" t="s">
        <v>590</v>
      </c>
      <c r="B36" s="18"/>
      <c r="C36" s="18" t="s">
        <v>393</v>
      </c>
      <c r="D36" s="3" t="s">
        <v>73</v>
      </c>
      <c r="E36" s="20" t="s">
        <v>538</v>
      </c>
      <c r="F36" s="20" t="s">
        <v>42</v>
      </c>
      <c r="G36" s="18" t="s">
        <v>591</v>
      </c>
      <c r="H36" s="18" t="s">
        <v>592</v>
      </c>
      <c r="I36" s="18" t="s">
        <v>593</v>
      </c>
      <c r="J36" s="18" t="s">
        <v>594</v>
      </c>
      <c r="K36" s="18" t="s">
        <v>595</v>
      </c>
      <c r="L36" s="18" t="s">
        <v>596</v>
      </c>
      <c r="M36" s="18" t="s">
        <v>597</v>
      </c>
      <c r="N36" s="18" t="s">
        <v>598</v>
      </c>
      <c r="O36" s="18" t="s">
        <v>599</v>
      </c>
      <c r="P36" s="18" t="s">
        <v>600</v>
      </c>
      <c r="Q36" s="18" t="s">
        <v>601</v>
      </c>
      <c r="R36" s="18" t="s">
        <v>602</v>
      </c>
    </row>
    <row r="37" spans="1:18" x14ac:dyDescent="0.35">
      <c r="A37" s="18" t="s">
        <v>603</v>
      </c>
      <c r="B37" s="18"/>
      <c r="C37" s="18" t="s">
        <v>13</v>
      </c>
      <c r="D37" s="3" t="s">
        <v>73</v>
      </c>
      <c r="E37" s="20" t="s">
        <v>538</v>
      </c>
      <c r="F37" s="20" t="s">
        <v>42</v>
      </c>
      <c r="G37" s="18" t="s">
        <v>604</v>
      </c>
      <c r="H37" s="18" t="s">
        <v>605</v>
      </c>
      <c r="I37" s="18" t="s">
        <v>606</v>
      </c>
      <c r="J37" s="18" t="s">
        <v>607</v>
      </c>
      <c r="K37" s="18" t="s">
        <v>608</v>
      </c>
      <c r="L37" s="18" t="s">
        <v>609</v>
      </c>
      <c r="M37" s="18" t="s">
        <v>610</v>
      </c>
      <c r="N37" s="18" t="s">
        <v>611</v>
      </c>
      <c r="O37" s="18" t="s">
        <v>612</v>
      </c>
      <c r="P37" s="18" t="s">
        <v>613</v>
      </c>
      <c r="Q37" s="18" t="s">
        <v>614</v>
      </c>
      <c r="R37" s="18" t="s">
        <v>615</v>
      </c>
    </row>
    <row r="38" spans="1:18" x14ac:dyDescent="0.35">
      <c r="A38" s="18" t="s">
        <v>616</v>
      </c>
      <c r="B38" s="18"/>
      <c r="C38" s="18" t="s">
        <v>10</v>
      </c>
      <c r="D38" s="3" t="s">
        <v>74</v>
      </c>
      <c r="E38" s="20" t="s">
        <v>538</v>
      </c>
      <c r="F38" s="20" t="s">
        <v>42</v>
      </c>
      <c r="G38" s="18" t="s">
        <v>617</v>
      </c>
      <c r="H38" s="18" t="s">
        <v>618</v>
      </c>
      <c r="I38" s="18" t="s">
        <v>619</v>
      </c>
      <c r="J38" s="18" t="s">
        <v>620</v>
      </c>
      <c r="K38" s="18" t="s">
        <v>621</v>
      </c>
      <c r="L38" s="18" t="s">
        <v>622</v>
      </c>
      <c r="M38" s="18" t="s">
        <v>623</v>
      </c>
      <c r="N38" s="18" t="s">
        <v>624</v>
      </c>
      <c r="O38" s="18" t="s">
        <v>625</v>
      </c>
      <c r="P38" s="18" t="s">
        <v>626</v>
      </c>
      <c r="Q38" s="18" t="s">
        <v>627</v>
      </c>
      <c r="R38" s="18" t="s">
        <v>628</v>
      </c>
    </row>
    <row r="39" spans="1:18" x14ac:dyDescent="0.35">
      <c r="A39" s="18" t="s">
        <v>629</v>
      </c>
      <c r="B39" s="18"/>
      <c r="C39" s="18" t="s">
        <v>393</v>
      </c>
      <c r="D39" s="3" t="s">
        <v>74</v>
      </c>
      <c r="E39" s="20" t="s">
        <v>538</v>
      </c>
      <c r="F39" s="20" t="s">
        <v>42</v>
      </c>
      <c r="G39" s="18" t="s">
        <v>630</v>
      </c>
      <c r="H39" s="18" t="s">
        <v>631</v>
      </c>
      <c r="I39" s="18" t="s">
        <v>632</v>
      </c>
      <c r="J39" s="18" t="s">
        <v>633</v>
      </c>
      <c r="K39" s="18" t="s">
        <v>634</v>
      </c>
      <c r="L39" s="18" t="s">
        <v>635</v>
      </c>
      <c r="M39" s="18" t="s">
        <v>636</v>
      </c>
      <c r="N39" s="18" t="s">
        <v>637</v>
      </c>
      <c r="O39" s="18" t="s">
        <v>638</v>
      </c>
      <c r="P39" s="18" t="s">
        <v>639</v>
      </c>
      <c r="Q39" s="18" t="s">
        <v>640</v>
      </c>
      <c r="R39" s="18" t="s">
        <v>641</v>
      </c>
    </row>
    <row r="40" spans="1:18" x14ac:dyDescent="0.35">
      <c r="A40" s="18" t="s">
        <v>642</v>
      </c>
      <c r="B40" s="18"/>
      <c r="C40" s="18" t="s">
        <v>485</v>
      </c>
      <c r="D40" s="3" t="s">
        <v>74</v>
      </c>
      <c r="E40" s="20" t="s">
        <v>538</v>
      </c>
      <c r="F40" s="20" t="s">
        <v>42</v>
      </c>
      <c r="G40" s="18" t="s">
        <v>643</v>
      </c>
      <c r="H40" s="18" t="s">
        <v>644</v>
      </c>
      <c r="I40" s="18" t="s">
        <v>645</v>
      </c>
      <c r="J40" s="18" t="s">
        <v>646</v>
      </c>
      <c r="K40" s="18" t="s">
        <v>647</v>
      </c>
      <c r="L40" s="18" t="s">
        <v>648</v>
      </c>
      <c r="M40" s="18" t="s">
        <v>649</v>
      </c>
      <c r="N40" s="18" t="s">
        <v>650</v>
      </c>
      <c r="O40" s="18" t="s">
        <v>651</v>
      </c>
      <c r="P40" s="18" t="s">
        <v>652</v>
      </c>
      <c r="Q40" s="18" t="s">
        <v>653</v>
      </c>
      <c r="R40" s="18" t="s">
        <v>654</v>
      </c>
    </row>
    <row r="41" spans="1:18" x14ac:dyDescent="0.35">
      <c r="A41" s="18" t="s">
        <v>655</v>
      </c>
      <c r="B41" s="18"/>
      <c r="C41" s="18" t="s">
        <v>10</v>
      </c>
      <c r="D41" s="3" t="s">
        <v>211</v>
      </c>
      <c r="E41" s="20" t="s">
        <v>538</v>
      </c>
      <c r="F41" s="20" t="s">
        <v>42</v>
      </c>
      <c r="G41" s="18" t="s">
        <v>656</v>
      </c>
      <c r="H41" s="18" t="s">
        <v>657</v>
      </c>
      <c r="I41" s="18" t="s">
        <v>658</v>
      </c>
      <c r="J41" s="18" t="s">
        <v>659</v>
      </c>
      <c r="K41" s="18" t="s">
        <v>660</v>
      </c>
      <c r="L41" s="18" t="s">
        <v>661</v>
      </c>
      <c r="M41" s="18" t="s">
        <v>662</v>
      </c>
      <c r="N41" s="18" t="s">
        <v>663</v>
      </c>
      <c r="O41" s="18" t="s">
        <v>664</v>
      </c>
      <c r="P41" s="18" t="s">
        <v>665</v>
      </c>
      <c r="Q41" s="18" t="s">
        <v>666</v>
      </c>
      <c r="R41" s="18" t="s">
        <v>667</v>
      </c>
    </row>
    <row r="42" spans="1:18" x14ac:dyDescent="0.35">
      <c r="A42" s="18" t="s">
        <v>668</v>
      </c>
      <c r="B42" s="18"/>
      <c r="C42" s="18" t="s">
        <v>16</v>
      </c>
      <c r="D42" s="3" t="s">
        <v>211</v>
      </c>
      <c r="E42" s="20" t="s">
        <v>538</v>
      </c>
      <c r="F42" s="20" t="s">
        <v>42</v>
      </c>
      <c r="G42" s="18" t="s">
        <v>669</v>
      </c>
      <c r="H42" s="18" t="s">
        <v>670</v>
      </c>
      <c r="I42" s="18" t="s">
        <v>671</v>
      </c>
      <c r="J42" s="18" t="s">
        <v>672</v>
      </c>
      <c r="K42" s="18" t="s">
        <v>673</v>
      </c>
      <c r="L42" s="18" t="s">
        <v>674</v>
      </c>
      <c r="M42" s="18" t="s">
        <v>675</v>
      </c>
      <c r="N42" s="18" t="s">
        <v>676</v>
      </c>
      <c r="O42" s="18" t="s">
        <v>677</v>
      </c>
      <c r="P42" s="18" t="s">
        <v>678</v>
      </c>
      <c r="Q42" s="18" t="s">
        <v>679</v>
      </c>
      <c r="R42" s="18" t="s">
        <v>680</v>
      </c>
    </row>
    <row r="43" spans="1:18" x14ac:dyDescent="0.35">
      <c r="A43" s="18" t="s">
        <v>681</v>
      </c>
      <c r="B43" s="18"/>
      <c r="C43" s="18" t="s">
        <v>13</v>
      </c>
      <c r="D43" s="3" t="s">
        <v>211</v>
      </c>
      <c r="E43" s="20" t="s">
        <v>538</v>
      </c>
      <c r="F43" s="20" t="s">
        <v>42</v>
      </c>
      <c r="G43" s="18" t="s">
        <v>682</v>
      </c>
      <c r="H43" s="18" t="s">
        <v>683</v>
      </c>
      <c r="I43" s="18" t="s">
        <v>684</v>
      </c>
      <c r="J43" s="18" t="s">
        <v>685</v>
      </c>
      <c r="K43" s="18" t="s">
        <v>686</v>
      </c>
      <c r="L43" s="18" t="s">
        <v>687</v>
      </c>
      <c r="M43" s="18" t="s">
        <v>688</v>
      </c>
      <c r="N43" s="18" t="s">
        <v>689</v>
      </c>
      <c r="O43" s="18" t="s">
        <v>690</v>
      </c>
      <c r="P43" s="18" t="s">
        <v>691</v>
      </c>
      <c r="Q43" s="18" t="s">
        <v>692</v>
      </c>
      <c r="R43" s="18" t="s">
        <v>693</v>
      </c>
    </row>
    <row r="44" spans="1:18" x14ac:dyDescent="0.35">
      <c r="A44" s="18" t="s">
        <v>694</v>
      </c>
      <c r="B44" s="18"/>
      <c r="C44" s="18" t="s">
        <v>10</v>
      </c>
      <c r="D44" s="3" t="s">
        <v>71</v>
      </c>
      <c r="E44" s="22" t="s">
        <v>695</v>
      </c>
      <c r="F44" s="22" t="s">
        <v>43</v>
      </c>
      <c r="G44" s="18" t="s">
        <v>696</v>
      </c>
      <c r="H44" s="18" t="s">
        <v>697</v>
      </c>
      <c r="I44" s="18" t="s">
        <v>698</v>
      </c>
      <c r="J44" s="18" t="s">
        <v>699</v>
      </c>
      <c r="K44" s="18" t="s">
        <v>700</v>
      </c>
      <c r="L44" s="18" t="s">
        <v>701</v>
      </c>
      <c r="M44" s="18" t="s">
        <v>702</v>
      </c>
      <c r="N44" s="18" t="s">
        <v>703</v>
      </c>
      <c r="O44" s="18" t="s">
        <v>704</v>
      </c>
      <c r="P44" s="18" t="s">
        <v>705</v>
      </c>
      <c r="Q44" s="18" t="s">
        <v>706</v>
      </c>
      <c r="R44" s="18" t="s">
        <v>707</v>
      </c>
    </row>
    <row r="45" spans="1:18" x14ac:dyDescent="0.35">
      <c r="A45" s="18" t="s">
        <v>708</v>
      </c>
      <c r="B45" s="18"/>
      <c r="C45" s="18" t="s">
        <v>16</v>
      </c>
      <c r="D45" s="3" t="s">
        <v>71</v>
      </c>
      <c r="E45" s="22" t="s">
        <v>695</v>
      </c>
      <c r="F45" s="22" t="s">
        <v>43</v>
      </c>
      <c r="G45" s="18" t="s">
        <v>709</v>
      </c>
      <c r="H45" s="18" t="s">
        <v>710</v>
      </c>
      <c r="I45" s="18" t="s">
        <v>711</v>
      </c>
      <c r="J45" s="18" t="s">
        <v>712</v>
      </c>
      <c r="K45" s="18" t="s">
        <v>713</v>
      </c>
      <c r="L45" s="18" t="s">
        <v>714</v>
      </c>
      <c r="M45" s="18" t="s">
        <v>715</v>
      </c>
      <c r="N45" s="18" t="s">
        <v>716</v>
      </c>
      <c r="O45" s="18" t="s">
        <v>717</v>
      </c>
      <c r="P45" s="18" t="s">
        <v>718</v>
      </c>
      <c r="Q45" s="18" t="s">
        <v>719</v>
      </c>
      <c r="R45" s="18" t="s">
        <v>720</v>
      </c>
    </row>
    <row r="46" spans="1:18" x14ac:dyDescent="0.35">
      <c r="A46" s="18" t="s">
        <v>721</v>
      </c>
      <c r="B46" s="18"/>
      <c r="C46" s="18" t="s">
        <v>10</v>
      </c>
      <c r="D46" s="3" t="s">
        <v>73</v>
      </c>
      <c r="E46" s="22" t="s">
        <v>695</v>
      </c>
      <c r="F46" s="22" t="s">
        <v>43</v>
      </c>
      <c r="G46" s="18" t="s">
        <v>722</v>
      </c>
      <c r="H46" s="18" t="s">
        <v>723</v>
      </c>
      <c r="I46" s="18" t="s">
        <v>724</v>
      </c>
      <c r="J46" s="18" t="s">
        <v>725</v>
      </c>
      <c r="K46" s="18" t="s">
        <v>726</v>
      </c>
      <c r="L46" s="18" t="s">
        <v>727</v>
      </c>
      <c r="M46" s="18" t="s">
        <v>728</v>
      </c>
      <c r="N46" s="18" t="s">
        <v>729</v>
      </c>
      <c r="O46" s="18" t="s">
        <v>730</v>
      </c>
      <c r="P46" s="18" t="s">
        <v>731</v>
      </c>
      <c r="Q46" s="18" t="s">
        <v>732</v>
      </c>
      <c r="R46" s="18" t="s">
        <v>733</v>
      </c>
    </row>
    <row r="47" spans="1:18" x14ac:dyDescent="0.35">
      <c r="A47" s="18" t="s">
        <v>734</v>
      </c>
      <c r="B47" s="18"/>
      <c r="C47" s="18" t="s">
        <v>16</v>
      </c>
      <c r="D47" s="3" t="s">
        <v>73</v>
      </c>
      <c r="E47" s="22" t="s">
        <v>695</v>
      </c>
      <c r="F47" s="22" t="s">
        <v>43</v>
      </c>
      <c r="G47" s="18" t="s">
        <v>735</v>
      </c>
      <c r="H47" s="18" t="s">
        <v>736</v>
      </c>
      <c r="I47" s="18" t="s">
        <v>737</v>
      </c>
      <c r="J47" s="18" t="s">
        <v>738</v>
      </c>
      <c r="K47" s="18" t="s">
        <v>739</v>
      </c>
      <c r="L47" s="18" t="s">
        <v>740</v>
      </c>
      <c r="M47" s="18" t="s">
        <v>741</v>
      </c>
      <c r="N47" s="18" t="s">
        <v>742</v>
      </c>
      <c r="O47" s="18" t="s">
        <v>743</v>
      </c>
      <c r="P47" s="18" t="s">
        <v>744</v>
      </c>
      <c r="Q47" s="18" t="s">
        <v>745</v>
      </c>
      <c r="R47" s="18" t="s">
        <v>746</v>
      </c>
    </row>
    <row r="48" spans="1:18" x14ac:dyDescent="0.35">
      <c r="A48" s="18" t="s">
        <v>747</v>
      </c>
      <c r="B48" s="18"/>
      <c r="C48" s="18" t="s">
        <v>10</v>
      </c>
      <c r="D48" s="3" t="s">
        <v>74</v>
      </c>
      <c r="E48" s="22" t="s">
        <v>695</v>
      </c>
      <c r="F48" s="22" t="s">
        <v>43</v>
      </c>
      <c r="G48" s="18" t="s">
        <v>748</v>
      </c>
      <c r="H48" s="18" t="s">
        <v>749</v>
      </c>
      <c r="I48" s="18" t="s">
        <v>750</v>
      </c>
      <c r="J48" s="18" t="s">
        <v>751</v>
      </c>
      <c r="K48" s="18" t="s">
        <v>752</v>
      </c>
      <c r="L48" s="18" t="s">
        <v>753</v>
      </c>
      <c r="M48" s="18" t="s">
        <v>754</v>
      </c>
      <c r="N48" s="18" t="s">
        <v>755</v>
      </c>
      <c r="O48" s="18" t="s">
        <v>756</v>
      </c>
      <c r="P48" s="18" t="s">
        <v>757</v>
      </c>
      <c r="Q48" s="18" t="s">
        <v>758</v>
      </c>
      <c r="R48" s="18" t="s">
        <v>759</v>
      </c>
    </row>
    <row r="49" spans="1:18" x14ac:dyDescent="0.35">
      <c r="A49" s="18" t="s">
        <v>760</v>
      </c>
      <c r="B49" s="18"/>
      <c r="C49" s="18" t="s">
        <v>16</v>
      </c>
      <c r="D49" s="3" t="s">
        <v>74</v>
      </c>
      <c r="E49" s="22" t="s">
        <v>695</v>
      </c>
      <c r="F49" s="22" t="s">
        <v>43</v>
      </c>
      <c r="G49" s="18" t="s">
        <v>761</v>
      </c>
      <c r="H49" s="18" t="s">
        <v>762</v>
      </c>
      <c r="I49" s="18" t="s">
        <v>763</v>
      </c>
      <c r="J49" s="18" t="s">
        <v>764</v>
      </c>
      <c r="K49" s="18" t="s">
        <v>765</v>
      </c>
      <c r="L49" s="18" t="s">
        <v>766</v>
      </c>
      <c r="M49" s="18" t="s">
        <v>767</v>
      </c>
      <c r="N49" s="18" t="s">
        <v>768</v>
      </c>
      <c r="O49" s="18" t="s">
        <v>769</v>
      </c>
      <c r="P49" s="18" t="s">
        <v>770</v>
      </c>
      <c r="Q49" s="18" t="s">
        <v>771</v>
      </c>
      <c r="R49" s="18" t="s">
        <v>772</v>
      </c>
    </row>
    <row r="50" spans="1:18" x14ac:dyDescent="0.35">
      <c r="A50" s="18" t="s">
        <v>773</v>
      </c>
      <c r="B50" s="18"/>
      <c r="C50" s="18" t="s">
        <v>10</v>
      </c>
      <c r="D50" s="3" t="s">
        <v>211</v>
      </c>
      <c r="E50" s="22" t="s">
        <v>695</v>
      </c>
      <c r="F50" s="22" t="s">
        <v>43</v>
      </c>
      <c r="G50" s="18" t="s">
        <v>774</v>
      </c>
      <c r="H50" s="18" t="s">
        <v>775</v>
      </c>
      <c r="I50" s="18" t="s">
        <v>776</v>
      </c>
      <c r="J50" s="18" t="s">
        <v>777</v>
      </c>
      <c r="K50" s="18" t="s">
        <v>778</v>
      </c>
      <c r="L50" s="18" t="s">
        <v>779</v>
      </c>
      <c r="M50" s="18" t="s">
        <v>780</v>
      </c>
      <c r="N50" s="18" t="s">
        <v>781</v>
      </c>
      <c r="O50" s="18" t="s">
        <v>782</v>
      </c>
      <c r="P50" s="18" t="s">
        <v>783</v>
      </c>
      <c r="Q50" s="18" t="s">
        <v>784</v>
      </c>
      <c r="R50" s="18" t="s">
        <v>785</v>
      </c>
    </row>
    <row r="51" spans="1:18" x14ac:dyDescent="0.35">
      <c r="A51" s="18" t="s">
        <v>786</v>
      </c>
      <c r="B51" s="18"/>
      <c r="C51" s="18" t="s">
        <v>16</v>
      </c>
      <c r="D51" s="3" t="s">
        <v>211</v>
      </c>
      <c r="E51" s="22" t="s">
        <v>695</v>
      </c>
      <c r="F51" s="22" t="s">
        <v>43</v>
      </c>
      <c r="G51" s="18" t="s">
        <v>787</v>
      </c>
      <c r="H51" s="18" t="s">
        <v>788</v>
      </c>
      <c r="I51" s="18" t="s">
        <v>789</v>
      </c>
      <c r="J51" s="18" t="s">
        <v>790</v>
      </c>
      <c r="K51" s="18" t="s">
        <v>791</v>
      </c>
      <c r="L51" s="18" t="s">
        <v>792</v>
      </c>
      <c r="M51" s="18" t="s">
        <v>793</v>
      </c>
      <c r="N51" s="18" t="s">
        <v>794</v>
      </c>
      <c r="O51" s="18" t="s">
        <v>795</v>
      </c>
      <c r="P51" s="18" t="s">
        <v>796</v>
      </c>
      <c r="Q51" s="18" t="s">
        <v>797</v>
      </c>
      <c r="R51" s="18" t="s">
        <v>798</v>
      </c>
    </row>
    <row r="52" spans="1:18" ht="29" customHeight="1" x14ac:dyDescent="0.35">
      <c r="A52" s="15" t="s">
        <v>799</v>
      </c>
      <c r="B52" s="18" t="s">
        <v>800</v>
      </c>
      <c r="C52" s="15"/>
      <c r="D52" s="15"/>
      <c r="E52" s="17" t="s">
        <v>801</v>
      </c>
      <c r="F52" s="18" t="s">
        <v>38</v>
      </c>
      <c r="G52" s="18" t="s">
        <v>802</v>
      </c>
      <c r="H52" s="18" t="s">
        <v>803</v>
      </c>
      <c r="I52" s="18" t="s">
        <v>804</v>
      </c>
      <c r="J52" s="18" t="s">
        <v>805</v>
      </c>
      <c r="K52" s="18" t="s">
        <v>806</v>
      </c>
      <c r="L52" s="18" t="s">
        <v>807</v>
      </c>
      <c r="M52" s="18" t="s">
        <v>808</v>
      </c>
      <c r="N52" s="18" t="s">
        <v>809</v>
      </c>
      <c r="O52" s="18" t="s">
        <v>810</v>
      </c>
      <c r="P52" s="18" t="s">
        <v>811</v>
      </c>
      <c r="Q52" s="18" t="s">
        <v>812</v>
      </c>
      <c r="R52" s="18" t="s">
        <v>813</v>
      </c>
    </row>
    <row r="53" spans="1:18" ht="29" customHeight="1" x14ac:dyDescent="0.35">
      <c r="A53" s="15" t="s">
        <v>814</v>
      </c>
      <c r="B53" s="18" t="s">
        <v>800</v>
      </c>
      <c r="C53" s="15"/>
      <c r="D53" s="15"/>
      <c r="E53" s="18" t="s">
        <v>815</v>
      </c>
      <c r="F53" s="18" t="s">
        <v>39</v>
      </c>
      <c r="G53" s="18" t="s">
        <v>816</v>
      </c>
      <c r="H53" s="18" t="s">
        <v>817</v>
      </c>
      <c r="I53" s="18" t="s">
        <v>818</v>
      </c>
      <c r="J53" s="18" t="s">
        <v>819</v>
      </c>
      <c r="K53" s="18" t="s">
        <v>820</v>
      </c>
      <c r="L53" s="18" t="s">
        <v>821</v>
      </c>
      <c r="M53" s="18" t="s">
        <v>822</v>
      </c>
      <c r="N53" s="18" t="s">
        <v>823</v>
      </c>
      <c r="O53" s="18" t="s">
        <v>824</v>
      </c>
      <c r="P53" s="18" t="s">
        <v>825</v>
      </c>
      <c r="Q53" s="18" t="s">
        <v>826</v>
      </c>
      <c r="R53" s="18" t="s">
        <v>827</v>
      </c>
    </row>
    <row r="54" spans="1:18" ht="14.5" customHeight="1" x14ac:dyDescent="0.35">
      <c r="A54" s="15" t="s">
        <v>828</v>
      </c>
      <c r="B54" s="26" t="s">
        <v>829</v>
      </c>
      <c r="C54" s="15"/>
      <c r="D54" s="15"/>
      <c r="E54" s="18" t="s">
        <v>830</v>
      </c>
      <c r="F54" s="16" t="s">
        <v>40</v>
      </c>
      <c r="G54" s="18" t="s">
        <v>831</v>
      </c>
      <c r="H54" s="18" t="s">
        <v>832</v>
      </c>
      <c r="I54" s="18" t="s">
        <v>833</v>
      </c>
      <c r="J54" s="18" t="s">
        <v>834</v>
      </c>
      <c r="K54" s="18" t="s">
        <v>835</v>
      </c>
      <c r="L54" s="18" t="s">
        <v>836</v>
      </c>
      <c r="M54" s="18" t="s">
        <v>837</v>
      </c>
      <c r="N54" s="18" t="s">
        <v>838</v>
      </c>
      <c r="O54" s="18" t="s">
        <v>839</v>
      </c>
      <c r="P54" s="18" t="s">
        <v>840</v>
      </c>
      <c r="Q54" s="18" t="s">
        <v>841</v>
      </c>
      <c r="R54" s="18" t="s">
        <v>842</v>
      </c>
    </row>
    <row r="55" spans="1:18" ht="14.5" customHeight="1" x14ac:dyDescent="0.35">
      <c r="A55" s="15" t="s">
        <v>828</v>
      </c>
      <c r="B55" s="26" t="s">
        <v>843</v>
      </c>
      <c r="C55" s="15"/>
      <c r="D55" s="15"/>
      <c r="E55" s="18" t="s">
        <v>830</v>
      </c>
      <c r="F55" s="16" t="s">
        <v>40</v>
      </c>
      <c r="G55" s="18" t="s">
        <v>831</v>
      </c>
      <c r="H55" s="18" t="s">
        <v>832</v>
      </c>
      <c r="I55" s="18" t="s">
        <v>833</v>
      </c>
      <c r="J55" s="18" t="s">
        <v>834</v>
      </c>
      <c r="K55" s="18" t="s">
        <v>835</v>
      </c>
      <c r="L55" s="18" t="s">
        <v>836</v>
      </c>
      <c r="M55" s="18" t="s">
        <v>837</v>
      </c>
      <c r="N55" s="18" t="s">
        <v>838</v>
      </c>
      <c r="O55" s="18" t="s">
        <v>839</v>
      </c>
      <c r="P55" s="18" t="s">
        <v>840</v>
      </c>
      <c r="Q55" s="18" t="s">
        <v>841</v>
      </c>
      <c r="R55" s="18" t="s">
        <v>842</v>
      </c>
    </row>
    <row r="56" spans="1:18" ht="29" customHeight="1" x14ac:dyDescent="0.35">
      <c r="A56" s="15" t="s">
        <v>844</v>
      </c>
      <c r="B56" s="18" t="s">
        <v>800</v>
      </c>
      <c r="C56" s="15"/>
      <c r="D56" s="15"/>
      <c r="E56" s="24" t="s">
        <v>845</v>
      </c>
      <c r="F56" s="24" t="s">
        <v>55</v>
      </c>
      <c r="G56" s="18" t="s">
        <v>846</v>
      </c>
      <c r="H56" s="18" t="s">
        <v>847</v>
      </c>
      <c r="I56" s="18" t="s">
        <v>848</v>
      </c>
      <c r="J56" s="18" t="s">
        <v>849</v>
      </c>
      <c r="K56" s="18" t="s">
        <v>850</v>
      </c>
      <c r="L56" s="18" t="s">
        <v>851</v>
      </c>
      <c r="M56" s="18" t="s">
        <v>852</v>
      </c>
      <c r="N56" s="18" t="s">
        <v>853</v>
      </c>
      <c r="O56" s="18" t="s">
        <v>854</v>
      </c>
      <c r="P56" s="18" t="s">
        <v>855</v>
      </c>
      <c r="Q56" s="18" t="s">
        <v>856</v>
      </c>
      <c r="R56" s="18" t="s">
        <v>857</v>
      </c>
    </row>
    <row r="57" spans="1:18" x14ac:dyDescent="0.35">
      <c r="A57" s="18" t="s">
        <v>858</v>
      </c>
      <c r="B57" s="18" t="s">
        <v>800</v>
      </c>
      <c r="C57" s="18"/>
      <c r="D57" s="18"/>
      <c r="E57" s="24" t="s">
        <v>859</v>
      </c>
      <c r="F57" s="24" t="s">
        <v>56</v>
      </c>
      <c r="G57" s="18" t="s">
        <v>860</v>
      </c>
      <c r="H57" s="18" t="s">
        <v>861</v>
      </c>
      <c r="I57" s="18" t="s">
        <v>862</v>
      </c>
      <c r="J57" s="18" t="s">
        <v>863</v>
      </c>
      <c r="K57" s="18" t="s">
        <v>864</v>
      </c>
      <c r="L57" s="18" t="s">
        <v>865</v>
      </c>
      <c r="M57" s="18" t="s">
        <v>866</v>
      </c>
      <c r="N57" s="18" t="s">
        <v>867</v>
      </c>
      <c r="O57" s="18" t="s">
        <v>868</v>
      </c>
      <c r="P57" s="18" t="s">
        <v>869</v>
      </c>
      <c r="Q57" s="18" t="s">
        <v>870</v>
      </c>
      <c r="R57" s="18" t="s">
        <v>871</v>
      </c>
    </row>
    <row r="58" spans="1:18" ht="18" customHeight="1" x14ac:dyDescent="0.35">
      <c r="A58" s="18" t="s">
        <v>872</v>
      </c>
      <c r="B58" s="18" t="s">
        <v>800</v>
      </c>
      <c r="C58" s="18"/>
      <c r="D58" s="18"/>
      <c r="E58" s="24" t="s">
        <v>873</v>
      </c>
      <c r="F58" s="25" t="s">
        <v>47</v>
      </c>
      <c r="G58" s="18" t="s">
        <v>874</v>
      </c>
      <c r="H58" s="18" t="s">
        <v>875</v>
      </c>
      <c r="I58" s="18" t="s">
        <v>876</v>
      </c>
      <c r="J58" s="18" t="s">
        <v>877</v>
      </c>
      <c r="K58" s="18" t="s">
        <v>878</v>
      </c>
      <c r="L58" s="18" t="s">
        <v>879</v>
      </c>
      <c r="M58" s="18" t="s">
        <v>880</v>
      </c>
      <c r="N58" s="18" t="s">
        <v>881</v>
      </c>
      <c r="O58" s="18" t="s">
        <v>882</v>
      </c>
      <c r="P58" s="18" t="s">
        <v>883</v>
      </c>
      <c r="Q58" s="18" t="s">
        <v>884</v>
      </c>
      <c r="R58" s="18" t="s">
        <v>885</v>
      </c>
    </row>
    <row r="59" spans="1:18" ht="18" customHeight="1" x14ac:dyDescent="0.35">
      <c r="A59" s="18" t="s">
        <v>886</v>
      </c>
      <c r="B59" s="18" t="s">
        <v>800</v>
      </c>
      <c r="C59" s="18"/>
      <c r="D59" s="18"/>
      <c r="E59" s="24" t="s">
        <v>887</v>
      </c>
      <c r="F59" s="25" t="s">
        <v>48</v>
      </c>
      <c r="G59" s="18" t="s">
        <v>888</v>
      </c>
      <c r="H59" s="18" t="s">
        <v>889</v>
      </c>
      <c r="I59" s="18" t="s">
        <v>890</v>
      </c>
      <c r="J59" s="18" t="s">
        <v>891</v>
      </c>
      <c r="K59" s="18" t="s">
        <v>892</v>
      </c>
      <c r="L59" s="18" t="s">
        <v>893</v>
      </c>
      <c r="M59" s="18" t="s">
        <v>894</v>
      </c>
      <c r="N59" s="18" t="s">
        <v>895</v>
      </c>
      <c r="O59" s="18" t="s">
        <v>896</v>
      </c>
      <c r="P59" s="18" t="s">
        <v>897</v>
      </c>
      <c r="Q59" s="18" t="s">
        <v>898</v>
      </c>
      <c r="R59" s="18" t="s">
        <v>899</v>
      </c>
    </row>
    <row r="60" spans="1:18" ht="18" customHeight="1" x14ac:dyDescent="0.35">
      <c r="A60" s="18" t="s">
        <v>900</v>
      </c>
      <c r="B60" s="18" t="s">
        <v>800</v>
      </c>
      <c r="C60" s="18"/>
      <c r="D60" s="18"/>
      <c r="E60" s="24" t="s">
        <v>901</v>
      </c>
      <c r="F60" s="25" t="s">
        <v>49</v>
      </c>
      <c r="G60" s="18" t="s">
        <v>888</v>
      </c>
      <c r="H60" s="18" t="s">
        <v>889</v>
      </c>
      <c r="I60" s="18" t="s">
        <v>890</v>
      </c>
      <c r="J60" s="18" t="s">
        <v>891</v>
      </c>
      <c r="K60" s="18" t="s">
        <v>892</v>
      </c>
      <c r="L60" s="18" t="s">
        <v>893</v>
      </c>
      <c r="M60" s="18" t="s">
        <v>894</v>
      </c>
      <c r="N60" s="18" t="s">
        <v>895</v>
      </c>
      <c r="O60" s="18" t="s">
        <v>896</v>
      </c>
      <c r="P60" s="18" t="s">
        <v>897</v>
      </c>
      <c r="Q60" s="18" t="s">
        <v>898</v>
      </c>
      <c r="R60" s="18" t="s">
        <v>899</v>
      </c>
    </row>
    <row r="61" spans="1:18" ht="18" customHeight="1" x14ac:dyDescent="0.35">
      <c r="A61" s="18" t="s">
        <v>902</v>
      </c>
      <c r="B61" s="18" t="s">
        <v>800</v>
      </c>
      <c r="C61" s="18"/>
      <c r="D61" s="18"/>
      <c r="E61" s="24" t="s">
        <v>903</v>
      </c>
      <c r="F61" s="25" t="s">
        <v>50</v>
      </c>
      <c r="G61" s="18" t="s">
        <v>888</v>
      </c>
      <c r="H61" s="18" t="s">
        <v>889</v>
      </c>
      <c r="I61" s="18" t="s">
        <v>890</v>
      </c>
      <c r="J61" s="18" t="s">
        <v>891</v>
      </c>
      <c r="K61" s="18" t="s">
        <v>892</v>
      </c>
      <c r="L61" s="18" t="s">
        <v>893</v>
      </c>
      <c r="M61" s="18" t="s">
        <v>894</v>
      </c>
      <c r="N61" s="18" t="s">
        <v>895</v>
      </c>
      <c r="O61" s="18" t="s">
        <v>896</v>
      </c>
      <c r="P61" s="18" t="s">
        <v>897</v>
      </c>
      <c r="Q61" s="18" t="s">
        <v>898</v>
      </c>
      <c r="R61" s="18" t="s">
        <v>899</v>
      </c>
    </row>
    <row r="62" spans="1:18" ht="18" customHeight="1" x14ac:dyDescent="0.35">
      <c r="A62" s="18" t="s">
        <v>904</v>
      </c>
      <c r="B62" s="18" t="s">
        <v>800</v>
      </c>
      <c r="C62" s="18"/>
      <c r="D62" s="18"/>
      <c r="E62" s="24" t="s">
        <v>905</v>
      </c>
      <c r="F62" s="25" t="s">
        <v>51</v>
      </c>
      <c r="G62" s="18" t="s">
        <v>860</v>
      </c>
      <c r="H62" s="18" t="s">
        <v>861</v>
      </c>
      <c r="I62" s="18" t="s">
        <v>862</v>
      </c>
      <c r="J62" s="18" t="s">
        <v>863</v>
      </c>
      <c r="K62" s="18" t="s">
        <v>864</v>
      </c>
      <c r="L62" s="18" t="s">
        <v>865</v>
      </c>
      <c r="M62" s="18" t="s">
        <v>866</v>
      </c>
      <c r="N62" s="18" t="s">
        <v>867</v>
      </c>
      <c r="O62" s="18" t="s">
        <v>868</v>
      </c>
      <c r="P62" s="18" t="s">
        <v>869</v>
      </c>
      <c r="Q62" s="18" t="s">
        <v>870</v>
      </c>
      <c r="R62" s="18" t="s">
        <v>871</v>
      </c>
    </row>
    <row r="63" spans="1:18" ht="18" customHeight="1" x14ac:dyDescent="0.35">
      <c r="A63" s="18" t="s">
        <v>906</v>
      </c>
      <c r="B63" s="18" t="s">
        <v>800</v>
      </c>
      <c r="C63" s="18"/>
      <c r="D63" s="18"/>
      <c r="E63" s="24" t="s">
        <v>907</v>
      </c>
      <c r="F63" s="25" t="s">
        <v>52</v>
      </c>
      <c r="G63" s="18" t="s">
        <v>908</v>
      </c>
      <c r="H63" s="18" t="s">
        <v>909</v>
      </c>
      <c r="I63" s="18" t="s">
        <v>910</v>
      </c>
      <c r="J63" s="18" t="s">
        <v>911</v>
      </c>
      <c r="K63" s="18" t="s">
        <v>912</v>
      </c>
      <c r="L63" s="18" t="s">
        <v>913</v>
      </c>
      <c r="M63" s="18" t="s">
        <v>914</v>
      </c>
      <c r="N63" s="18" t="s">
        <v>915</v>
      </c>
      <c r="O63" s="18" t="s">
        <v>916</v>
      </c>
      <c r="P63" s="18" t="s">
        <v>917</v>
      </c>
      <c r="Q63" s="18" t="s">
        <v>918</v>
      </c>
      <c r="R63" s="18" t="s">
        <v>919</v>
      </c>
    </row>
    <row r="64" spans="1:18" ht="18" customHeight="1" x14ac:dyDescent="0.35">
      <c r="A64" s="15" t="s">
        <v>920</v>
      </c>
      <c r="B64" s="18" t="s">
        <v>800</v>
      </c>
      <c r="C64" s="15"/>
      <c r="D64" s="15"/>
      <c r="E64" s="24" t="s">
        <v>921</v>
      </c>
      <c r="F64" s="25" t="s">
        <v>53</v>
      </c>
      <c r="G64" s="18" t="s">
        <v>888</v>
      </c>
      <c r="H64" s="18" t="s">
        <v>889</v>
      </c>
      <c r="I64" s="18" t="s">
        <v>890</v>
      </c>
      <c r="J64" s="18" t="s">
        <v>891</v>
      </c>
      <c r="K64" s="18" t="s">
        <v>892</v>
      </c>
      <c r="L64" s="18" t="s">
        <v>893</v>
      </c>
      <c r="M64" s="18" t="s">
        <v>894</v>
      </c>
      <c r="N64" s="18" t="s">
        <v>895</v>
      </c>
      <c r="O64" s="18" t="s">
        <v>896</v>
      </c>
      <c r="P64" s="18" t="s">
        <v>897</v>
      </c>
      <c r="Q64" s="18" t="s">
        <v>898</v>
      </c>
      <c r="R64" s="18" t="s">
        <v>899</v>
      </c>
    </row>
  </sheetData>
  <autoFilter ref="A1:S64" xr:uid="{00000000-0009-0000-0000-000004000000}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90"/>
  <sheetViews>
    <sheetView zoomScale="70" zoomScaleNormal="70" workbookViewId="0">
      <selection activeCell="E11" sqref="A11:E11"/>
    </sheetView>
  </sheetViews>
  <sheetFormatPr defaultRowHeight="14.5" x14ac:dyDescent="0.35"/>
  <cols>
    <col min="1" max="1" width="19.54296875" bestFit="1" customWidth="1"/>
    <col min="2" max="10" width="4.36328125" bestFit="1" customWidth="1"/>
    <col min="11" max="13" width="5.36328125" bestFit="1" customWidth="1"/>
    <col min="16" max="16" width="29.36328125" customWidth="1"/>
    <col min="18" max="18" width="4.08984375" bestFit="1" customWidth="1"/>
    <col min="19" max="19" width="18.54296875" customWidth="1"/>
    <col min="22" max="22" width="17.54296875" customWidth="1"/>
    <col min="25" max="25" width="17.54296875" customWidth="1"/>
    <col min="28" max="28" width="18.1796875" customWidth="1"/>
    <col min="31" max="31" width="26.54296875" customWidth="1"/>
    <col min="33" max="33" width="3.7265625" bestFit="1" customWidth="1"/>
    <col min="34" max="34" width="7.36328125" bestFit="1" customWidth="1"/>
    <col min="35" max="35" width="12.81640625" bestFit="1" customWidth="1"/>
    <col min="36" max="36" width="10.6328125" bestFit="1" customWidth="1"/>
    <col min="37" max="44" width="22.6328125" bestFit="1" customWidth="1"/>
  </cols>
  <sheetData>
    <row r="1" spans="1:44" ht="34" customHeight="1" x14ac:dyDescent="0.35">
      <c r="A1" s="45" t="s">
        <v>21</v>
      </c>
      <c r="B1" s="46" t="s">
        <v>22</v>
      </c>
      <c r="C1" s="46" t="s">
        <v>23</v>
      </c>
      <c r="D1" s="46" t="s">
        <v>24</v>
      </c>
      <c r="E1" s="46" t="s">
        <v>25</v>
      </c>
      <c r="F1" s="46" t="s">
        <v>26</v>
      </c>
      <c r="G1" s="46" t="s">
        <v>27</v>
      </c>
      <c r="H1" s="46" t="s">
        <v>28</v>
      </c>
      <c r="I1" s="46" t="s">
        <v>29</v>
      </c>
      <c r="J1" s="46" t="s">
        <v>30</v>
      </c>
      <c r="K1" s="46" t="s">
        <v>31</v>
      </c>
      <c r="L1" s="46" t="s">
        <v>32</v>
      </c>
      <c r="M1" s="46" t="s">
        <v>33</v>
      </c>
      <c r="O1" s="111" t="s">
        <v>182</v>
      </c>
      <c r="P1" s="112"/>
      <c r="R1" s="118" t="s">
        <v>218</v>
      </c>
      <c r="S1" s="112"/>
      <c r="U1" s="115" t="s">
        <v>378</v>
      </c>
      <c r="V1" s="92"/>
      <c r="X1" s="115" t="s">
        <v>537</v>
      </c>
      <c r="Y1" s="92"/>
      <c r="AA1" s="115" t="s">
        <v>694</v>
      </c>
      <c r="AB1" s="92"/>
      <c r="AD1" s="115" t="s">
        <v>799</v>
      </c>
      <c r="AE1" s="92"/>
      <c r="AG1" s="116" t="s">
        <v>922</v>
      </c>
      <c r="AH1" s="116" t="s">
        <v>923</v>
      </c>
      <c r="AI1" s="117" t="s">
        <v>924</v>
      </c>
      <c r="AJ1" s="114">
        <v>1</v>
      </c>
      <c r="AK1" s="114">
        <v>2</v>
      </c>
      <c r="AL1" s="114">
        <v>3</v>
      </c>
      <c r="AM1" s="114">
        <v>4</v>
      </c>
      <c r="AN1" s="114">
        <v>5</v>
      </c>
      <c r="AO1" s="114">
        <v>6</v>
      </c>
      <c r="AP1" s="114">
        <v>7</v>
      </c>
      <c r="AQ1" s="114">
        <v>8</v>
      </c>
      <c r="AR1" s="114">
        <v>9</v>
      </c>
    </row>
    <row r="2" spans="1:44" ht="17" customHeight="1" x14ac:dyDescent="0.35">
      <c r="A2" s="6" t="s">
        <v>34</v>
      </c>
      <c r="B2" s="4" t="s">
        <v>925</v>
      </c>
      <c r="C2" s="4" t="s">
        <v>926</v>
      </c>
      <c r="D2" s="4" t="s">
        <v>927</v>
      </c>
      <c r="E2" s="4" t="s">
        <v>928</v>
      </c>
      <c r="F2" s="4" t="s">
        <v>929</v>
      </c>
      <c r="G2" s="4" t="s">
        <v>930</v>
      </c>
      <c r="H2" s="4" t="s">
        <v>57</v>
      </c>
      <c r="I2" s="4" t="s">
        <v>59</v>
      </c>
      <c r="J2" s="4" t="s">
        <v>61</v>
      </c>
      <c r="K2" s="4" t="s">
        <v>63</v>
      </c>
      <c r="L2" s="4" t="s">
        <v>65</v>
      </c>
      <c r="M2" s="4" t="s">
        <v>67</v>
      </c>
      <c r="O2" s="9" t="s">
        <v>931</v>
      </c>
      <c r="P2" s="11" t="s">
        <v>184</v>
      </c>
      <c r="R2" s="9" t="s">
        <v>932</v>
      </c>
      <c r="S2" s="11" t="s">
        <v>221</v>
      </c>
      <c r="U2" s="9" t="s">
        <v>933</v>
      </c>
      <c r="V2" s="11" t="s">
        <v>380</v>
      </c>
      <c r="X2" s="9" t="s">
        <v>934</v>
      </c>
      <c r="Y2" s="11" t="s">
        <v>539</v>
      </c>
      <c r="AA2" s="9" t="s">
        <v>935</v>
      </c>
      <c r="AB2" s="11" t="s">
        <v>696</v>
      </c>
      <c r="AD2" s="3" t="s">
        <v>936</v>
      </c>
      <c r="AE2" s="3" t="s">
        <v>802</v>
      </c>
      <c r="AG2" s="106"/>
      <c r="AH2" s="106"/>
      <c r="AI2" s="106"/>
      <c r="AJ2" s="107"/>
      <c r="AK2" s="107"/>
      <c r="AL2" s="107"/>
      <c r="AM2" s="107"/>
      <c r="AN2" s="107"/>
      <c r="AO2" s="107"/>
      <c r="AP2" s="107"/>
      <c r="AQ2" s="107"/>
      <c r="AR2" s="107"/>
    </row>
    <row r="3" spans="1:44" x14ac:dyDescent="0.35">
      <c r="A3" s="6" t="s">
        <v>35</v>
      </c>
      <c r="B3" s="4" t="s">
        <v>931</v>
      </c>
      <c r="C3" s="4" t="s">
        <v>937</v>
      </c>
      <c r="D3" s="4" t="s">
        <v>938</v>
      </c>
      <c r="E3" s="4" t="s">
        <v>939</v>
      </c>
      <c r="F3" s="4" t="s">
        <v>940</v>
      </c>
      <c r="G3" s="4" t="s">
        <v>941</v>
      </c>
      <c r="H3" s="4" t="s">
        <v>942</v>
      </c>
      <c r="I3" s="4" t="s">
        <v>943</v>
      </c>
      <c r="J3" s="4" t="s">
        <v>944</v>
      </c>
      <c r="K3" s="4" t="s">
        <v>945</v>
      </c>
      <c r="L3" s="4" t="s">
        <v>946</v>
      </c>
      <c r="M3" s="4" t="s">
        <v>947</v>
      </c>
      <c r="O3" s="9" t="s">
        <v>937</v>
      </c>
      <c r="P3" s="11" t="s">
        <v>185</v>
      </c>
      <c r="R3" s="9" t="s">
        <v>948</v>
      </c>
      <c r="S3" s="11" t="s">
        <v>222</v>
      </c>
      <c r="U3" s="9" t="s">
        <v>949</v>
      </c>
      <c r="V3" s="11" t="s">
        <v>381</v>
      </c>
      <c r="X3" s="9" t="s">
        <v>950</v>
      </c>
      <c r="Y3" s="11" t="s">
        <v>540</v>
      </c>
      <c r="AA3" s="9" t="s">
        <v>951</v>
      </c>
      <c r="AB3" s="11" t="s">
        <v>697</v>
      </c>
      <c r="AD3" s="3" t="s">
        <v>952</v>
      </c>
      <c r="AE3" s="3" t="s">
        <v>803</v>
      </c>
      <c r="AG3" s="106"/>
      <c r="AH3" s="106"/>
      <c r="AI3" s="106"/>
      <c r="AJ3" s="5"/>
      <c r="AK3" s="120" t="s">
        <v>70</v>
      </c>
      <c r="AL3" s="91"/>
      <c r="AM3" s="91"/>
      <c r="AN3" s="92"/>
      <c r="AO3" s="119" t="s">
        <v>76</v>
      </c>
      <c r="AP3" s="91"/>
      <c r="AQ3" s="91"/>
      <c r="AR3" s="92"/>
    </row>
    <row r="4" spans="1:44" x14ac:dyDescent="0.35">
      <c r="A4" s="38" t="s">
        <v>36</v>
      </c>
      <c r="B4" s="4" t="s">
        <v>953</v>
      </c>
      <c r="C4" s="4" t="s">
        <v>954</v>
      </c>
      <c r="D4" s="4" t="s">
        <v>955</v>
      </c>
      <c r="E4" s="4" t="s">
        <v>956</v>
      </c>
      <c r="F4" s="4" t="s">
        <v>957</v>
      </c>
      <c r="G4" s="4" t="s">
        <v>958</v>
      </c>
      <c r="H4" s="4" t="s">
        <v>58</v>
      </c>
      <c r="I4" s="4" t="s">
        <v>60</v>
      </c>
      <c r="J4" s="4" t="s">
        <v>62</v>
      </c>
      <c r="K4" s="4" t="s">
        <v>64</v>
      </c>
      <c r="L4" s="4" t="s">
        <v>66</v>
      </c>
      <c r="M4" s="4" t="s">
        <v>68</v>
      </c>
      <c r="O4" s="9" t="s">
        <v>938</v>
      </c>
      <c r="P4" s="11" t="s">
        <v>186</v>
      </c>
      <c r="R4" s="9" t="s">
        <v>959</v>
      </c>
      <c r="S4" s="11" t="s">
        <v>223</v>
      </c>
      <c r="U4" s="9" t="s">
        <v>960</v>
      </c>
      <c r="V4" s="11" t="s">
        <v>382</v>
      </c>
      <c r="X4" s="9" t="s">
        <v>961</v>
      </c>
      <c r="Y4" s="11" t="s">
        <v>541</v>
      </c>
      <c r="AA4" s="9" t="s">
        <v>962</v>
      </c>
      <c r="AB4" s="11" t="s">
        <v>698</v>
      </c>
      <c r="AD4" s="3" t="s">
        <v>963</v>
      </c>
      <c r="AE4" s="3" t="s">
        <v>804</v>
      </c>
      <c r="AG4" s="106"/>
      <c r="AH4" s="106"/>
      <c r="AI4" s="106"/>
      <c r="AJ4" s="44"/>
      <c r="AK4" s="44" t="s">
        <v>71</v>
      </c>
      <c r="AL4" s="44" t="s">
        <v>73</v>
      </c>
      <c r="AM4" s="44" t="s">
        <v>74</v>
      </c>
      <c r="AN4" s="44" t="s">
        <v>75</v>
      </c>
      <c r="AO4" s="44" t="s">
        <v>71</v>
      </c>
      <c r="AP4" s="44" t="s">
        <v>73</v>
      </c>
      <c r="AQ4" s="44" t="s">
        <v>74</v>
      </c>
      <c r="AR4" s="44" t="s">
        <v>75</v>
      </c>
    </row>
    <row r="5" spans="1:44" x14ac:dyDescent="0.35">
      <c r="A5" s="38" t="s">
        <v>37</v>
      </c>
      <c r="B5" s="4" t="s">
        <v>932</v>
      </c>
      <c r="C5" s="4" t="s">
        <v>948</v>
      </c>
      <c r="D5" s="4" t="s">
        <v>959</v>
      </c>
      <c r="E5" s="4" t="s">
        <v>964</v>
      </c>
      <c r="F5" s="4" t="s">
        <v>965</v>
      </c>
      <c r="G5" s="4" t="s">
        <v>966</v>
      </c>
      <c r="H5" s="4" t="s">
        <v>967</v>
      </c>
      <c r="I5" s="4" t="s">
        <v>968</v>
      </c>
      <c r="J5" s="4" t="s">
        <v>969</v>
      </c>
      <c r="K5" s="4" t="s">
        <v>970</v>
      </c>
      <c r="L5" s="4" t="s">
        <v>971</v>
      </c>
      <c r="M5" s="4" t="s">
        <v>972</v>
      </c>
      <c r="O5" s="9" t="s">
        <v>939</v>
      </c>
      <c r="P5" s="11" t="s">
        <v>187</v>
      </c>
      <c r="R5" s="9" t="s">
        <v>964</v>
      </c>
      <c r="S5" s="11" t="s">
        <v>224</v>
      </c>
      <c r="U5" s="9" t="s">
        <v>973</v>
      </c>
      <c r="V5" s="11" t="s">
        <v>383</v>
      </c>
      <c r="X5" s="9" t="s">
        <v>974</v>
      </c>
      <c r="Y5" s="11" t="s">
        <v>542</v>
      </c>
      <c r="AA5" s="9" t="s">
        <v>975</v>
      </c>
      <c r="AB5" s="11" t="s">
        <v>699</v>
      </c>
      <c r="AD5" s="3" t="s">
        <v>976</v>
      </c>
      <c r="AE5" s="3" t="s">
        <v>805</v>
      </c>
      <c r="AG5" s="107"/>
      <c r="AH5" s="107"/>
      <c r="AI5" s="107"/>
      <c r="AJ5" s="44" t="s">
        <v>69</v>
      </c>
      <c r="AK5" s="44" t="s">
        <v>72</v>
      </c>
      <c r="AL5" s="44" t="s">
        <v>72</v>
      </c>
      <c r="AM5" s="44" t="s">
        <v>72</v>
      </c>
      <c r="AN5" s="44" t="s">
        <v>72</v>
      </c>
      <c r="AO5" s="44" t="s">
        <v>72</v>
      </c>
      <c r="AP5" s="44" t="s">
        <v>72</v>
      </c>
      <c r="AQ5" s="44" t="s">
        <v>72</v>
      </c>
      <c r="AR5" s="44" t="s">
        <v>72</v>
      </c>
    </row>
    <row r="6" spans="1:44" x14ac:dyDescent="0.35">
      <c r="A6" s="38" t="s">
        <v>41</v>
      </c>
      <c r="B6" s="2" t="s">
        <v>933</v>
      </c>
      <c r="C6" s="2" t="s">
        <v>949</v>
      </c>
      <c r="D6" s="2" t="s">
        <v>960</v>
      </c>
      <c r="E6" s="2" t="s">
        <v>973</v>
      </c>
      <c r="F6" s="2" t="s">
        <v>977</v>
      </c>
      <c r="G6" s="2" t="s">
        <v>978</v>
      </c>
      <c r="H6" s="2" t="s">
        <v>979</v>
      </c>
      <c r="I6" s="2" t="s">
        <v>980</v>
      </c>
      <c r="J6" s="2" t="s">
        <v>981</v>
      </c>
      <c r="K6" s="2" t="s">
        <v>982</v>
      </c>
      <c r="L6" s="2" t="s">
        <v>983</v>
      </c>
      <c r="M6" s="2" t="s">
        <v>984</v>
      </c>
      <c r="O6" s="9" t="s">
        <v>940</v>
      </c>
      <c r="P6" s="11" t="s">
        <v>187</v>
      </c>
      <c r="R6" s="9" t="s">
        <v>965</v>
      </c>
      <c r="S6" s="11" t="s">
        <v>225</v>
      </c>
      <c r="U6" s="9" t="s">
        <v>977</v>
      </c>
      <c r="V6" s="11" t="s">
        <v>384</v>
      </c>
      <c r="X6" s="9" t="s">
        <v>985</v>
      </c>
      <c r="Y6" s="11" t="s">
        <v>543</v>
      </c>
      <c r="AA6" s="9" t="s">
        <v>986</v>
      </c>
      <c r="AB6" s="11" t="s">
        <v>700</v>
      </c>
      <c r="AD6" s="3" t="s">
        <v>987</v>
      </c>
      <c r="AE6" s="3" t="s">
        <v>806</v>
      </c>
      <c r="AG6" s="33" t="s">
        <v>77</v>
      </c>
      <c r="AH6" s="33" t="s">
        <v>89</v>
      </c>
      <c r="AI6" s="33" t="s">
        <v>90</v>
      </c>
      <c r="AJ6" s="2">
        <v>0.5</v>
      </c>
      <c r="AK6" s="4">
        <f t="shared" ref="AK6:AK17" si="0">24/AJ6</f>
        <v>48</v>
      </c>
      <c r="AL6" s="4">
        <f t="shared" ref="AL6:AL17" si="1">AK6/1.25</f>
        <v>38.4</v>
      </c>
      <c r="AM6" s="4">
        <f t="shared" ref="AM6:AM17" si="2">AK6/1.5</f>
        <v>32</v>
      </c>
      <c r="AN6" s="4">
        <f t="shared" ref="AN6:AN17" si="3">AK6/2</f>
        <v>24</v>
      </c>
      <c r="AO6" s="4">
        <f t="shared" ref="AO6:AO17" si="4">AK6/1.5</f>
        <v>32</v>
      </c>
      <c r="AP6" s="4">
        <f t="shared" ref="AP6:AP17" si="5">AO6/1.25</f>
        <v>25.6</v>
      </c>
      <c r="AQ6" s="4">
        <f t="shared" ref="AQ6:AQ17" si="6">AO6/1.5</f>
        <v>21.333333333333332</v>
      </c>
      <c r="AR6" s="4">
        <f t="shared" ref="AR6:AR17" si="7">AO6/2</f>
        <v>16</v>
      </c>
    </row>
    <row r="7" spans="1:44" x14ac:dyDescent="0.35">
      <c r="A7" s="38" t="s">
        <v>42</v>
      </c>
      <c r="B7" s="2" t="s">
        <v>934</v>
      </c>
      <c r="C7" s="2" t="s">
        <v>950</v>
      </c>
      <c r="D7" s="2" t="s">
        <v>961</v>
      </c>
      <c r="E7" s="2" t="s">
        <v>974</v>
      </c>
      <c r="F7" s="2" t="s">
        <v>985</v>
      </c>
      <c r="G7" s="2" t="s">
        <v>988</v>
      </c>
      <c r="H7" s="2" t="s">
        <v>989</v>
      </c>
      <c r="I7" s="2" t="s">
        <v>990</v>
      </c>
      <c r="J7" s="2" t="s">
        <v>991</v>
      </c>
      <c r="K7" s="2" t="s">
        <v>992</v>
      </c>
      <c r="L7" s="2" t="s">
        <v>993</v>
      </c>
      <c r="M7" s="2" t="s">
        <v>994</v>
      </c>
      <c r="O7" s="9" t="s">
        <v>941</v>
      </c>
      <c r="P7" s="11" t="s">
        <v>187</v>
      </c>
      <c r="R7" s="9" t="s">
        <v>966</v>
      </c>
      <c r="S7" s="11" t="s">
        <v>226</v>
      </c>
      <c r="U7" s="9" t="s">
        <v>978</v>
      </c>
      <c r="V7" s="11" t="s">
        <v>385</v>
      </c>
      <c r="X7" s="9" t="s">
        <v>988</v>
      </c>
      <c r="Y7" s="11" t="s">
        <v>544</v>
      </c>
      <c r="AA7" s="9" t="s">
        <v>995</v>
      </c>
      <c r="AB7" s="11" t="s">
        <v>701</v>
      </c>
      <c r="AD7" s="3" t="s">
        <v>996</v>
      </c>
      <c r="AE7" s="3" t="s">
        <v>807</v>
      </c>
      <c r="AG7" s="33" t="s">
        <v>78</v>
      </c>
      <c r="AH7" s="33" t="s">
        <v>9</v>
      </c>
      <c r="AI7" s="33" t="s">
        <v>91</v>
      </c>
      <c r="AJ7" s="4">
        <v>4</v>
      </c>
      <c r="AK7" s="4">
        <f t="shared" si="0"/>
        <v>6</v>
      </c>
      <c r="AL7" s="4">
        <f t="shared" si="1"/>
        <v>4.8</v>
      </c>
      <c r="AM7" s="4">
        <f t="shared" si="2"/>
        <v>4</v>
      </c>
      <c r="AN7" s="4">
        <f t="shared" si="3"/>
        <v>3</v>
      </c>
      <c r="AO7" s="4">
        <f t="shared" si="4"/>
        <v>4</v>
      </c>
      <c r="AP7" s="4">
        <f t="shared" si="5"/>
        <v>3.2</v>
      </c>
      <c r="AQ7" s="4">
        <f t="shared" si="6"/>
        <v>2.6666666666666665</v>
      </c>
      <c r="AR7" s="4">
        <f t="shared" si="7"/>
        <v>2</v>
      </c>
    </row>
    <row r="8" spans="1:44" x14ac:dyDescent="0.35">
      <c r="A8" s="38" t="s">
        <v>43</v>
      </c>
      <c r="B8" s="2" t="s">
        <v>935</v>
      </c>
      <c r="C8" s="2" t="s">
        <v>951</v>
      </c>
      <c r="D8" s="2" t="s">
        <v>962</v>
      </c>
      <c r="E8" s="2" t="s">
        <v>975</v>
      </c>
      <c r="F8" s="2" t="s">
        <v>986</v>
      </c>
      <c r="G8" s="2" t="s">
        <v>995</v>
      </c>
      <c r="H8" s="2" t="s">
        <v>997</v>
      </c>
      <c r="I8" s="2" t="s">
        <v>998</v>
      </c>
      <c r="J8" s="2" t="s">
        <v>999</v>
      </c>
      <c r="K8" s="2" t="s">
        <v>1000</v>
      </c>
      <c r="L8" s="2" t="s">
        <v>1001</v>
      </c>
      <c r="M8" s="2" t="s">
        <v>1002</v>
      </c>
      <c r="O8" s="9" t="s">
        <v>942</v>
      </c>
      <c r="P8" s="11" t="s">
        <v>187</v>
      </c>
      <c r="R8" s="9" t="s">
        <v>967</v>
      </c>
      <c r="S8" s="11" t="s">
        <v>227</v>
      </c>
      <c r="U8" s="9" t="s">
        <v>979</v>
      </c>
      <c r="V8" s="11" t="s">
        <v>386</v>
      </c>
      <c r="X8" s="9" t="s">
        <v>989</v>
      </c>
      <c r="Y8" s="11" t="s">
        <v>545</v>
      </c>
      <c r="AA8" s="9" t="s">
        <v>997</v>
      </c>
      <c r="AB8" s="11" t="s">
        <v>702</v>
      </c>
      <c r="AD8" s="3" t="s">
        <v>1003</v>
      </c>
      <c r="AE8" s="3" t="s">
        <v>808</v>
      </c>
      <c r="AG8" s="33" t="s">
        <v>79</v>
      </c>
      <c r="AH8" s="33" t="s">
        <v>9</v>
      </c>
      <c r="AI8" s="33" t="s">
        <v>92</v>
      </c>
      <c r="AJ8" s="4">
        <v>3</v>
      </c>
      <c r="AK8" s="4">
        <f t="shared" si="0"/>
        <v>8</v>
      </c>
      <c r="AL8" s="4">
        <f t="shared" si="1"/>
        <v>6.4</v>
      </c>
      <c r="AM8" s="4">
        <f t="shared" si="2"/>
        <v>5.333333333333333</v>
      </c>
      <c r="AN8" s="4">
        <f t="shared" si="3"/>
        <v>4</v>
      </c>
      <c r="AO8" s="4">
        <f t="shared" si="4"/>
        <v>5.333333333333333</v>
      </c>
      <c r="AP8" s="4">
        <f t="shared" si="5"/>
        <v>4.2666666666666666</v>
      </c>
      <c r="AQ8" s="4">
        <f t="shared" si="6"/>
        <v>3.5555555555555554</v>
      </c>
      <c r="AR8" s="4">
        <f t="shared" si="7"/>
        <v>2.6666666666666665</v>
      </c>
    </row>
    <row r="9" spans="1:44" x14ac:dyDescent="0.35">
      <c r="A9" s="38" t="s">
        <v>38</v>
      </c>
      <c r="B9" s="4" t="s">
        <v>936</v>
      </c>
      <c r="C9" s="4" t="s">
        <v>952</v>
      </c>
      <c r="D9" s="4" t="s">
        <v>963</v>
      </c>
      <c r="E9" s="4" t="s">
        <v>976</v>
      </c>
      <c r="F9" s="4" t="s">
        <v>987</v>
      </c>
      <c r="G9" s="4" t="s">
        <v>996</v>
      </c>
      <c r="H9" s="4" t="s">
        <v>1003</v>
      </c>
      <c r="I9" s="4" t="s">
        <v>1004</v>
      </c>
      <c r="J9" s="4" t="s">
        <v>1005</v>
      </c>
      <c r="K9" s="4" t="s">
        <v>1006</v>
      </c>
      <c r="L9" s="4" t="s">
        <v>1007</v>
      </c>
      <c r="M9" s="4" t="s">
        <v>1008</v>
      </c>
      <c r="O9" s="9" t="s">
        <v>943</v>
      </c>
      <c r="P9" s="11" t="s">
        <v>187</v>
      </c>
      <c r="R9" s="9" t="s">
        <v>968</v>
      </c>
      <c r="S9" s="11" t="s">
        <v>228</v>
      </c>
      <c r="U9" s="9" t="s">
        <v>980</v>
      </c>
      <c r="V9" s="11" t="s">
        <v>387</v>
      </c>
      <c r="X9" s="9" t="s">
        <v>990</v>
      </c>
      <c r="Y9" s="11" t="s">
        <v>546</v>
      </c>
      <c r="AA9" s="9" t="s">
        <v>998</v>
      </c>
      <c r="AB9" s="11" t="s">
        <v>703</v>
      </c>
      <c r="AD9" s="3" t="s">
        <v>1004</v>
      </c>
      <c r="AE9" s="3" t="s">
        <v>809</v>
      </c>
      <c r="AG9" s="33" t="s">
        <v>80</v>
      </c>
      <c r="AH9" s="33" t="s">
        <v>9</v>
      </c>
      <c r="AI9" s="33" t="s">
        <v>13</v>
      </c>
      <c r="AJ9" s="4">
        <v>5</v>
      </c>
      <c r="AK9" s="4">
        <f t="shared" si="0"/>
        <v>4.8</v>
      </c>
      <c r="AL9" s="4">
        <f t="shared" si="1"/>
        <v>3.84</v>
      </c>
      <c r="AM9" s="4">
        <f t="shared" si="2"/>
        <v>3.1999999999999997</v>
      </c>
      <c r="AN9" s="4">
        <f t="shared" si="3"/>
        <v>2.4</v>
      </c>
      <c r="AO9" s="4">
        <f t="shared" si="4"/>
        <v>3.1999999999999997</v>
      </c>
      <c r="AP9" s="4">
        <f t="shared" si="5"/>
        <v>2.5599999999999996</v>
      </c>
      <c r="AQ9" s="4">
        <f t="shared" si="6"/>
        <v>2.1333333333333333</v>
      </c>
      <c r="AR9" s="4">
        <f t="shared" si="7"/>
        <v>1.5999999999999999</v>
      </c>
    </row>
    <row r="10" spans="1:44" x14ac:dyDescent="0.35">
      <c r="A10" s="38" t="s">
        <v>39</v>
      </c>
      <c r="B10" s="2" t="s">
        <v>1009</v>
      </c>
      <c r="C10" s="2" t="s">
        <v>1010</v>
      </c>
      <c r="D10" s="2" t="s">
        <v>1011</v>
      </c>
      <c r="E10" s="2" t="s">
        <v>1012</v>
      </c>
      <c r="F10" s="2" t="s">
        <v>1013</v>
      </c>
      <c r="G10" s="2" t="s">
        <v>1014</v>
      </c>
      <c r="H10" s="2" t="s">
        <v>1015</v>
      </c>
      <c r="I10" s="2" t="s">
        <v>1016</v>
      </c>
      <c r="J10" s="2" t="s">
        <v>1017</v>
      </c>
      <c r="K10" s="2" t="s">
        <v>1018</v>
      </c>
      <c r="L10" s="2" t="s">
        <v>1019</v>
      </c>
      <c r="M10" s="2" t="s">
        <v>1020</v>
      </c>
      <c r="O10" s="9" t="s">
        <v>944</v>
      </c>
      <c r="P10" s="11" t="s">
        <v>187</v>
      </c>
      <c r="R10" s="9" t="s">
        <v>969</v>
      </c>
      <c r="S10" s="11" t="s">
        <v>229</v>
      </c>
      <c r="U10" s="9" t="s">
        <v>981</v>
      </c>
      <c r="V10" s="11" t="s">
        <v>388</v>
      </c>
      <c r="X10" s="9" t="s">
        <v>991</v>
      </c>
      <c r="Y10" s="11" t="s">
        <v>547</v>
      </c>
      <c r="AA10" s="9" t="s">
        <v>999</v>
      </c>
      <c r="AB10" s="11" t="s">
        <v>704</v>
      </c>
      <c r="AD10" s="3" t="s">
        <v>1005</v>
      </c>
      <c r="AE10" s="3" t="s">
        <v>810</v>
      </c>
      <c r="AG10" s="33" t="s">
        <v>81</v>
      </c>
      <c r="AH10" s="33" t="s">
        <v>14</v>
      </c>
      <c r="AI10" s="33" t="s">
        <v>91</v>
      </c>
      <c r="AJ10" s="4">
        <v>3</v>
      </c>
      <c r="AK10" s="4">
        <f t="shared" si="0"/>
        <v>8</v>
      </c>
      <c r="AL10" s="4">
        <f t="shared" si="1"/>
        <v>6.4</v>
      </c>
      <c r="AM10" s="4">
        <f t="shared" si="2"/>
        <v>5.333333333333333</v>
      </c>
      <c r="AN10" s="4">
        <f t="shared" si="3"/>
        <v>4</v>
      </c>
      <c r="AO10" s="4">
        <f t="shared" si="4"/>
        <v>5.333333333333333</v>
      </c>
      <c r="AP10" s="4">
        <f t="shared" si="5"/>
        <v>4.2666666666666666</v>
      </c>
      <c r="AQ10" s="4">
        <f t="shared" si="6"/>
        <v>3.5555555555555554</v>
      </c>
      <c r="AR10" s="4">
        <f t="shared" si="7"/>
        <v>2.6666666666666665</v>
      </c>
    </row>
    <row r="11" spans="1:44" x14ac:dyDescent="0.35">
      <c r="A11" s="39" t="s">
        <v>40</v>
      </c>
      <c r="B11" s="1" t="s">
        <v>1021</v>
      </c>
      <c r="C11" s="1" t="s">
        <v>1022</v>
      </c>
      <c r="D11" s="1" t="s">
        <v>1023</v>
      </c>
      <c r="E11" s="1" t="s">
        <v>1024</v>
      </c>
      <c r="F11" s="1" t="s">
        <v>1025</v>
      </c>
      <c r="G11" s="1" t="s">
        <v>1026</v>
      </c>
      <c r="H11" s="1" t="s">
        <v>1027</v>
      </c>
      <c r="I11" s="1" t="s">
        <v>1028</v>
      </c>
      <c r="J11" s="1" t="s">
        <v>1029</v>
      </c>
      <c r="K11" s="1" t="s">
        <v>1030</v>
      </c>
      <c r="L11" s="1" t="s">
        <v>1031</v>
      </c>
      <c r="M11" s="1" t="s">
        <v>1032</v>
      </c>
      <c r="O11" s="9" t="s">
        <v>945</v>
      </c>
      <c r="P11" s="11" t="s">
        <v>187</v>
      </c>
      <c r="R11" s="9" t="s">
        <v>970</v>
      </c>
      <c r="S11" s="11" t="s">
        <v>230</v>
      </c>
      <c r="U11" s="9" t="s">
        <v>982</v>
      </c>
      <c r="V11" s="11" t="s">
        <v>389</v>
      </c>
      <c r="X11" s="9" t="s">
        <v>992</v>
      </c>
      <c r="Y11" s="11" t="s">
        <v>548</v>
      </c>
      <c r="AA11" s="9" t="s">
        <v>1000</v>
      </c>
      <c r="AB11" s="11" t="s">
        <v>705</v>
      </c>
      <c r="AD11" s="3" t="s">
        <v>1006</v>
      </c>
      <c r="AE11" s="3" t="s">
        <v>811</v>
      </c>
      <c r="AG11" s="33" t="s">
        <v>82</v>
      </c>
      <c r="AH11" s="33" t="s">
        <v>14</v>
      </c>
      <c r="AI11" s="33" t="s">
        <v>92</v>
      </c>
      <c r="AJ11" s="4">
        <v>3</v>
      </c>
      <c r="AK11" s="4">
        <f t="shared" si="0"/>
        <v>8</v>
      </c>
      <c r="AL11" s="4">
        <f t="shared" si="1"/>
        <v>6.4</v>
      </c>
      <c r="AM11" s="4">
        <f t="shared" si="2"/>
        <v>5.333333333333333</v>
      </c>
      <c r="AN11" s="4">
        <f t="shared" si="3"/>
        <v>4</v>
      </c>
      <c r="AO11" s="4">
        <f t="shared" si="4"/>
        <v>5.333333333333333</v>
      </c>
      <c r="AP11" s="4">
        <f t="shared" si="5"/>
        <v>4.2666666666666666</v>
      </c>
      <c r="AQ11" s="4">
        <f t="shared" si="6"/>
        <v>3.5555555555555554</v>
      </c>
      <c r="AR11" s="4">
        <f t="shared" si="7"/>
        <v>2.6666666666666665</v>
      </c>
    </row>
    <row r="12" spans="1:44" x14ac:dyDescent="0.35">
      <c r="A12" s="38" t="s">
        <v>55</v>
      </c>
      <c r="B12" s="2" t="s">
        <v>1033</v>
      </c>
      <c r="C12" s="2" t="s">
        <v>1034</v>
      </c>
      <c r="D12" s="2" t="s">
        <v>1035</v>
      </c>
      <c r="E12" s="2" t="s">
        <v>1036</v>
      </c>
      <c r="F12" s="2" t="s">
        <v>1037</v>
      </c>
      <c r="G12" s="2" t="s">
        <v>1038</v>
      </c>
      <c r="H12" s="2" t="s">
        <v>1039</v>
      </c>
      <c r="I12" s="2" t="s">
        <v>1040</v>
      </c>
      <c r="J12" s="2" t="s">
        <v>1041</v>
      </c>
      <c r="K12" s="2" t="s">
        <v>1042</v>
      </c>
      <c r="L12" s="2" t="s">
        <v>1043</v>
      </c>
      <c r="M12" s="2" t="s">
        <v>1044</v>
      </c>
      <c r="O12" s="9" t="s">
        <v>946</v>
      </c>
      <c r="P12" s="11" t="s">
        <v>187</v>
      </c>
      <c r="R12" s="9" t="s">
        <v>971</v>
      </c>
      <c r="S12" s="11" t="s">
        <v>231</v>
      </c>
      <c r="U12" s="9" t="s">
        <v>983</v>
      </c>
      <c r="V12" s="11" t="s">
        <v>390</v>
      </c>
      <c r="X12" s="9" t="s">
        <v>993</v>
      </c>
      <c r="Y12" s="11" t="s">
        <v>549</v>
      </c>
      <c r="AA12" s="9" t="s">
        <v>1001</v>
      </c>
      <c r="AB12" s="11" t="s">
        <v>706</v>
      </c>
      <c r="AD12" s="3" t="s">
        <v>1007</v>
      </c>
      <c r="AE12" s="3" t="s">
        <v>812</v>
      </c>
      <c r="AG12" s="33" t="s">
        <v>83</v>
      </c>
      <c r="AH12" s="33" t="s">
        <v>14</v>
      </c>
      <c r="AI12" s="33" t="s">
        <v>13</v>
      </c>
      <c r="AJ12" s="4">
        <v>4</v>
      </c>
      <c r="AK12" s="4">
        <f t="shared" si="0"/>
        <v>6</v>
      </c>
      <c r="AL12" s="4">
        <f t="shared" si="1"/>
        <v>4.8</v>
      </c>
      <c r="AM12" s="4">
        <f t="shared" si="2"/>
        <v>4</v>
      </c>
      <c r="AN12" s="4">
        <f t="shared" si="3"/>
        <v>3</v>
      </c>
      <c r="AO12" s="4">
        <f t="shared" si="4"/>
        <v>4</v>
      </c>
      <c r="AP12" s="4">
        <f t="shared" si="5"/>
        <v>3.2</v>
      </c>
      <c r="AQ12" s="4">
        <f t="shared" si="6"/>
        <v>2.6666666666666665</v>
      </c>
      <c r="AR12" s="4">
        <f t="shared" si="7"/>
        <v>2</v>
      </c>
    </row>
    <row r="13" spans="1:44" ht="15" customHeight="1" thickBot="1" x14ac:dyDescent="0.4">
      <c r="A13" s="38" t="s">
        <v>56</v>
      </c>
      <c r="B13" s="2" t="s">
        <v>1045</v>
      </c>
      <c r="C13" s="2" t="s">
        <v>1046</v>
      </c>
      <c r="D13" s="2" t="s">
        <v>1047</v>
      </c>
      <c r="E13" s="2" t="s">
        <v>1048</v>
      </c>
      <c r="F13" s="2" t="s">
        <v>1049</v>
      </c>
      <c r="G13" s="2" t="s">
        <v>1050</v>
      </c>
      <c r="H13" s="2" t="s">
        <v>1051</v>
      </c>
      <c r="I13" s="2" t="s">
        <v>1052</v>
      </c>
      <c r="J13" s="2" t="s">
        <v>1053</v>
      </c>
      <c r="K13" s="2" t="s">
        <v>1054</v>
      </c>
      <c r="L13" s="2" t="s">
        <v>1055</v>
      </c>
      <c r="M13" s="2" t="s">
        <v>1056</v>
      </c>
      <c r="O13" s="10" t="s">
        <v>947</v>
      </c>
      <c r="P13" s="11" t="s">
        <v>186</v>
      </c>
      <c r="R13" s="9" t="s">
        <v>972</v>
      </c>
      <c r="S13" s="12" t="s">
        <v>232</v>
      </c>
      <c r="U13" s="9" t="s">
        <v>984</v>
      </c>
      <c r="V13" s="12" t="s">
        <v>391</v>
      </c>
      <c r="X13" s="9" t="s">
        <v>994</v>
      </c>
      <c r="Y13" s="12" t="s">
        <v>550</v>
      </c>
      <c r="AA13" s="9" t="s">
        <v>1002</v>
      </c>
      <c r="AB13" s="12" t="s">
        <v>707</v>
      </c>
      <c r="AD13" s="3" t="s">
        <v>1008</v>
      </c>
      <c r="AE13" s="3" t="s">
        <v>813</v>
      </c>
      <c r="AG13" s="33" t="s">
        <v>84</v>
      </c>
      <c r="AH13" s="33" t="s">
        <v>12</v>
      </c>
      <c r="AI13" s="33" t="s">
        <v>91</v>
      </c>
      <c r="AJ13" s="4">
        <v>3</v>
      </c>
      <c r="AK13" s="4">
        <f t="shared" si="0"/>
        <v>8</v>
      </c>
      <c r="AL13" s="4">
        <f t="shared" si="1"/>
        <v>6.4</v>
      </c>
      <c r="AM13" s="4">
        <f t="shared" si="2"/>
        <v>5.333333333333333</v>
      </c>
      <c r="AN13" s="4">
        <f t="shared" si="3"/>
        <v>4</v>
      </c>
      <c r="AO13" s="4">
        <f t="shared" si="4"/>
        <v>5.333333333333333</v>
      </c>
      <c r="AP13" s="4">
        <f t="shared" si="5"/>
        <v>4.2666666666666666</v>
      </c>
      <c r="AQ13" s="4">
        <f t="shared" si="6"/>
        <v>3.5555555555555554</v>
      </c>
      <c r="AR13" s="4">
        <f t="shared" si="7"/>
        <v>2.6666666666666665</v>
      </c>
    </row>
    <row r="14" spans="1:44" ht="18" customHeight="1" thickBot="1" x14ac:dyDescent="0.4">
      <c r="A14" s="39" t="s">
        <v>47</v>
      </c>
      <c r="B14" s="1" t="s">
        <v>1057</v>
      </c>
      <c r="C14" s="1" t="s">
        <v>1058</v>
      </c>
      <c r="D14" s="1" t="s">
        <v>1059</v>
      </c>
      <c r="E14" s="1" t="s">
        <v>1060</v>
      </c>
      <c r="F14" s="1" t="s">
        <v>1061</v>
      </c>
      <c r="G14" s="1" t="s">
        <v>1062</v>
      </c>
      <c r="H14" s="1" t="s">
        <v>1063</v>
      </c>
      <c r="I14" s="1" t="s">
        <v>1064</v>
      </c>
      <c r="J14" s="1" t="s">
        <v>1065</v>
      </c>
      <c r="K14" s="1" t="s">
        <v>1066</v>
      </c>
      <c r="L14" s="1" t="s">
        <v>1067</v>
      </c>
      <c r="M14" s="1" t="s">
        <v>1068</v>
      </c>
      <c r="AD14" s="113" t="s">
        <v>800</v>
      </c>
      <c r="AE14" s="92"/>
      <c r="AG14" s="33" t="s">
        <v>85</v>
      </c>
      <c r="AH14" s="33" t="s">
        <v>12</v>
      </c>
      <c r="AI14" s="33" t="s">
        <v>92</v>
      </c>
      <c r="AJ14" s="4">
        <v>3</v>
      </c>
      <c r="AK14" s="4">
        <f t="shared" si="0"/>
        <v>8</v>
      </c>
      <c r="AL14" s="4">
        <f t="shared" si="1"/>
        <v>6.4</v>
      </c>
      <c r="AM14" s="4">
        <f t="shared" si="2"/>
        <v>5.333333333333333</v>
      </c>
      <c r="AN14" s="4">
        <f t="shared" si="3"/>
        <v>4</v>
      </c>
      <c r="AO14" s="4">
        <f t="shared" si="4"/>
        <v>5.333333333333333</v>
      </c>
      <c r="AP14" s="4">
        <f t="shared" si="5"/>
        <v>4.2666666666666666</v>
      </c>
      <c r="AQ14" s="4">
        <f t="shared" si="6"/>
        <v>3.5555555555555554</v>
      </c>
      <c r="AR14" s="4">
        <f t="shared" si="7"/>
        <v>2.6666666666666665</v>
      </c>
    </row>
    <row r="15" spans="1:44" ht="18" customHeight="1" x14ac:dyDescent="0.35">
      <c r="A15" s="39" t="s">
        <v>48</v>
      </c>
      <c r="B15" s="1" t="s">
        <v>1069</v>
      </c>
      <c r="C15" s="1" t="s">
        <v>1070</v>
      </c>
      <c r="D15" s="1" t="s">
        <v>1071</v>
      </c>
      <c r="E15" s="1" t="s">
        <v>1072</v>
      </c>
      <c r="F15" s="1" t="s">
        <v>1073</v>
      </c>
      <c r="G15" s="1" t="s">
        <v>1074</v>
      </c>
      <c r="H15" s="1" t="s">
        <v>1075</v>
      </c>
      <c r="I15" s="1" t="s">
        <v>1076</v>
      </c>
      <c r="J15" s="1" t="s">
        <v>1077</v>
      </c>
      <c r="K15" s="1" t="s">
        <v>1078</v>
      </c>
      <c r="L15" s="1" t="s">
        <v>1079</v>
      </c>
      <c r="M15" s="1" t="s">
        <v>1080</v>
      </c>
      <c r="O15" s="108" t="s">
        <v>174</v>
      </c>
      <c r="P15" s="109"/>
      <c r="R15" s="108" t="s">
        <v>233</v>
      </c>
      <c r="S15" s="109"/>
      <c r="U15" s="108" t="s">
        <v>392</v>
      </c>
      <c r="V15" s="109"/>
      <c r="X15" s="108" t="s">
        <v>551</v>
      </c>
      <c r="Y15" s="109"/>
      <c r="AA15" s="108" t="s">
        <v>708</v>
      </c>
      <c r="AB15" s="109"/>
      <c r="AG15" s="33" t="s">
        <v>86</v>
      </c>
      <c r="AH15" s="33" t="s">
        <v>12</v>
      </c>
      <c r="AI15" s="33" t="s">
        <v>13</v>
      </c>
      <c r="AJ15" s="4">
        <v>4</v>
      </c>
      <c r="AK15" s="4">
        <f t="shared" si="0"/>
        <v>6</v>
      </c>
      <c r="AL15" s="4">
        <f t="shared" si="1"/>
        <v>4.8</v>
      </c>
      <c r="AM15" s="4">
        <f t="shared" si="2"/>
        <v>4</v>
      </c>
      <c r="AN15" s="4">
        <f t="shared" si="3"/>
        <v>3</v>
      </c>
      <c r="AO15" s="4">
        <f t="shared" si="4"/>
        <v>4</v>
      </c>
      <c r="AP15" s="4">
        <f t="shared" si="5"/>
        <v>3.2</v>
      </c>
      <c r="AQ15" s="4">
        <f t="shared" si="6"/>
        <v>2.6666666666666665</v>
      </c>
      <c r="AR15" s="4">
        <f t="shared" si="7"/>
        <v>2</v>
      </c>
    </row>
    <row r="16" spans="1:44" ht="18" customHeight="1" x14ac:dyDescent="0.35">
      <c r="A16" s="39" t="s">
        <v>49</v>
      </c>
      <c r="B16" s="1" t="s">
        <v>1081</v>
      </c>
      <c r="C16" s="1" t="s">
        <v>1082</v>
      </c>
      <c r="D16" s="1" t="s">
        <v>1083</v>
      </c>
      <c r="E16" s="1" t="s">
        <v>1084</v>
      </c>
      <c r="F16" s="1" t="s">
        <v>1085</v>
      </c>
      <c r="G16" s="1" t="s">
        <v>1086</v>
      </c>
      <c r="H16" s="1" t="s">
        <v>1087</v>
      </c>
      <c r="I16" s="1" t="s">
        <v>1088</v>
      </c>
      <c r="J16" s="1" t="s">
        <v>1089</v>
      </c>
      <c r="K16" s="1" t="s">
        <v>1090</v>
      </c>
      <c r="L16" s="1" t="s">
        <v>1091</v>
      </c>
      <c r="M16" s="1" t="s">
        <v>1092</v>
      </c>
      <c r="O16" s="9" t="s">
        <v>925</v>
      </c>
      <c r="P16" s="11" t="s">
        <v>176</v>
      </c>
      <c r="R16" s="9" t="s">
        <v>932</v>
      </c>
      <c r="S16" s="11" t="s">
        <v>234</v>
      </c>
      <c r="U16" s="9" t="s">
        <v>933</v>
      </c>
      <c r="V16" s="11" t="s">
        <v>394</v>
      </c>
      <c r="X16" s="9" t="s">
        <v>934</v>
      </c>
      <c r="Y16" s="11" t="s">
        <v>552</v>
      </c>
      <c r="AA16" s="9" t="s">
        <v>935</v>
      </c>
      <c r="AB16" s="11" t="s">
        <v>709</v>
      </c>
      <c r="AD16" s="113" t="s">
        <v>814</v>
      </c>
      <c r="AE16" s="92"/>
      <c r="AG16" s="33" t="s">
        <v>87</v>
      </c>
      <c r="AH16" s="33" t="s">
        <v>15</v>
      </c>
      <c r="AI16" s="33" t="s">
        <v>10</v>
      </c>
      <c r="AJ16" s="4">
        <v>10</v>
      </c>
      <c r="AK16" s="4">
        <f t="shared" si="0"/>
        <v>2.4</v>
      </c>
      <c r="AL16" s="4">
        <f t="shared" si="1"/>
        <v>1.92</v>
      </c>
      <c r="AM16" s="4">
        <f t="shared" si="2"/>
        <v>1.5999999999999999</v>
      </c>
      <c r="AN16" s="4">
        <f t="shared" si="3"/>
        <v>1.2</v>
      </c>
      <c r="AO16" s="4">
        <f t="shared" si="4"/>
        <v>1.5999999999999999</v>
      </c>
      <c r="AP16" s="4">
        <f t="shared" si="5"/>
        <v>1.2799999999999998</v>
      </c>
      <c r="AQ16" s="4">
        <f t="shared" si="6"/>
        <v>1.0666666666666667</v>
      </c>
      <c r="AR16" s="4">
        <f t="shared" si="7"/>
        <v>0.79999999999999993</v>
      </c>
    </row>
    <row r="17" spans="1:44" ht="18" customHeight="1" x14ac:dyDescent="0.35">
      <c r="A17" s="39" t="s">
        <v>50</v>
      </c>
      <c r="B17" s="1" t="s">
        <v>1093</v>
      </c>
      <c r="C17" s="1" t="s">
        <v>1094</v>
      </c>
      <c r="D17" s="1" t="s">
        <v>1095</v>
      </c>
      <c r="E17" s="1" t="s">
        <v>1096</v>
      </c>
      <c r="F17" s="1" t="s">
        <v>1097</v>
      </c>
      <c r="G17" s="1" t="s">
        <v>1098</v>
      </c>
      <c r="H17" s="1" t="s">
        <v>1099</v>
      </c>
      <c r="I17" s="1" t="s">
        <v>1100</v>
      </c>
      <c r="J17" s="1" t="s">
        <v>1101</v>
      </c>
      <c r="K17" s="1" t="s">
        <v>1102</v>
      </c>
      <c r="L17" s="1" t="s">
        <v>1103</v>
      </c>
      <c r="M17" s="1" t="s">
        <v>1104</v>
      </c>
      <c r="O17" s="9" t="s">
        <v>926</v>
      </c>
      <c r="P17" s="11" t="s">
        <v>177</v>
      </c>
      <c r="R17" s="9" t="s">
        <v>948</v>
      </c>
      <c r="S17" s="11" t="s">
        <v>235</v>
      </c>
      <c r="U17" s="9" t="s">
        <v>949</v>
      </c>
      <c r="V17" s="11" t="s">
        <v>395</v>
      </c>
      <c r="X17" s="9" t="s">
        <v>950</v>
      </c>
      <c r="Y17" s="11" t="s">
        <v>553</v>
      </c>
      <c r="AA17" s="9" t="s">
        <v>951</v>
      </c>
      <c r="AB17" s="11" t="s">
        <v>710</v>
      </c>
      <c r="AD17" s="3" t="s">
        <v>1009</v>
      </c>
      <c r="AE17" s="3" t="s">
        <v>816</v>
      </c>
      <c r="AG17" s="33" t="s">
        <v>88</v>
      </c>
      <c r="AH17" s="33" t="s">
        <v>15</v>
      </c>
      <c r="AI17" s="33" t="s">
        <v>92</v>
      </c>
      <c r="AJ17" s="4">
        <v>3</v>
      </c>
      <c r="AK17" s="4">
        <f t="shared" si="0"/>
        <v>8</v>
      </c>
      <c r="AL17" s="4">
        <f t="shared" si="1"/>
        <v>6.4</v>
      </c>
      <c r="AM17" s="4">
        <f t="shared" si="2"/>
        <v>5.333333333333333</v>
      </c>
      <c r="AN17" s="4">
        <f t="shared" si="3"/>
        <v>4</v>
      </c>
      <c r="AO17" s="4">
        <f t="shared" si="4"/>
        <v>5.333333333333333</v>
      </c>
      <c r="AP17" s="4">
        <f t="shared" si="5"/>
        <v>4.2666666666666666</v>
      </c>
      <c r="AQ17" s="4">
        <f t="shared" si="6"/>
        <v>3.5555555555555554</v>
      </c>
      <c r="AR17" s="4">
        <f t="shared" si="7"/>
        <v>2.6666666666666665</v>
      </c>
    </row>
    <row r="18" spans="1:44" ht="18" customHeight="1" x14ac:dyDescent="0.35">
      <c r="A18" s="39" t="s">
        <v>51</v>
      </c>
      <c r="B18" s="1" t="s">
        <v>1105</v>
      </c>
      <c r="C18" s="1" t="s">
        <v>1106</v>
      </c>
      <c r="D18" s="1" t="s">
        <v>1107</v>
      </c>
      <c r="E18" s="1" t="s">
        <v>1108</v>
      </c>
      <c r="F18" s="1" t="s">
        <v>1109</v>
      </c>
      <c r="G18" s="1" t="s">
        <v>1110</v>
      </c>
      <c r="H18" s="1" t="s">
        <v>1111</v>
      </c>
      <c r="I18" s="1" t="s">
        <v>1112</v>
      </c>
      <c r="J18" s="1" t="s">
        <v>1113</v>
      </c>
      <c r="K18" s="1" t="s">
        <v>1114</v>
      </c>
      <c r="L18" s="1" t="s">
        <v>1115</v>
      </c>
      <c r="M18" s="1" t="s">
        <v>1116</v>
      </c>
      <c r="O18" s="9" t="s">
        <v>927</v>
      </c>
      <c r="P18" s="11" t="s">
        <v>178</v>
      </c>
      <c r="R18" s="9" t="s">
        <v>959</v>
      </c>
      <c r="S18" s="11" t="s">
        <v>236</v>
      </c>
      <c r="U18" s="9" t="s">
        <v>960</v>
      </c>
      <c r="V18" s="11" t="s">
        <v>396</v>
      </c>
      <c r="X18" s="9" t="s">
        <v>961</v>
      </c>
      <c r="Y18" s="11" t="s">
        <v>554</v>
      </c>
      <c r="AA18" s="9" t="s">
        <v>962</v>
      </c>
      <c r="AB18" s="11" t="s">
        <v>711</v>
      </c>
      <c r="AD18" s="3" t="s">
        <v>1010</v>
      </c>
      <c r="AE18" s="3" t="s">
        <v>817</v>
      </c>
    </row>
    <row r="19" spans="1:44" ht="18" customHeight="1" x14ac:dyDescent="0.35">
      <c r="A19" s="39" t="s">
        <v>52</v>
      </c>
      <c r="B19" s="1" t="s">
        <v>1117</v>
      </c>
      <c r="C19" s="1" t="s">
        <v>1118</v>
      </c>
      <c r="D19" s="1" t="s">
        <v>1119</v>
      </c>
      <c r="E19" s="1" t="s">
        <v>1120</v>
      </c>
      <c r="F19" s="1" t="s">
        <v>1121</v>
      </c>
      <c r="G19" s="1" t="s">
        <v>1122</v>
      </c>
      <c r="H19" s="1" t="s">
        <v>1123</v>
      </c>
      <c r="I19" s="1" t="s">
        <v>1124</v>
      </c>
      <c r="J19" s="1" t="s">
        <v>1125</v>
      </c>
      <c r="K19" s="1" t="s">
        <v>1126</v>
      </c>
      <c r="L19" s="1" t="s">
        <v>1127</v>
      </c>
      <c r="M19" s="1" t="s">
        <v>1128</v>
      </c>
      <c r="O19" s="9" t="s">
        <v>928</v>
      </c>
      <c r="P19" s="11" t="s">
        <v>179</v>
      </c>
      <c r="R19" s="9" t="s">
        <v>964</v>
      </c>
      <c r="S19" s="11" t="s">
        <v>237</v>
      </c>
      <c r="U19" s="9" t="s">
        <v>973</v>
      </c>
      <c r="V19" s="11" t="s">
        <v>397</v>
      </c>
      <c r="X19" s="9" t="s">
        <v>974</v>
      </c>
      <c r="Y19" s="11" t="s">
        <v>555</v>
      </c>
      <c r="AA19" s="9" t="s">
        <v>975</v>
      </c>
      <c r="AB19" s="11" t="s">
        <v>712</v>
      </c>
      <c r="AD19" s="3" t="s">
        <v>1011</v>
      </c>
      <c r="AE19" s="3" t="s">
        <v>818</v>
      </c>
    </row>
    <row r="20" spans="1:44" ht="18" customHeight="1" x14ac:dyDescent="0.35">
      <c r="A20" s="39" t="s">
        <v>53</v>
      </c>
      <c r="B20" s="1" t="s">
        <v>1129</v>
      </c>
      <c r="C20" s="1" t="s">
        <v>1130</v>
      </c>
      <c r="D20" s="1" t="s">
        <v>1131</v>
      </c>
      <c r="E20" s="1" t="s">
        <v>1132</v>
      </c>
      <c r="F20" s="1" t="s">
        <v>1133</v>
      </c>
      <c r="G20" s="1" t="s">
        <v>1134</v>
      </c>
      <c r="H20" s="1" t="s">
        <v>1135</v>
      </c>
      <c r="I20" s="1" t="s">
        <v>1136</v>
      </c>
      <c r="J20" s="1" t="s">
        <v>1137</v>
      </c>
      <c r="K20" s="1" t="s">
        <v>1138</v>
      </c>
      <c r="L20" s="1" t="s">
        <v>1139</v>
      </c>
      <c r="M20" s="1" t="s">
        <v>1140</v>
      </c>
      <c r="O20" s="9" t="s">
        <v>929</v>
      </c>
      <c r="P20" s="11" t="s">
        <v>180</v>
      </c>
      <c r="R20" s="9" t="s">
        <v>965</v>
      </c>
      <c r="S20" s="11" t="s">
        <v>238</v>
      </c>
      <c r="U20" s="9" t="s">
        <v>977</v>
      </c>
      <c r="V20" s="11" t="s">
        <v>398</v>
      </c>
      <c r="X20" s="9" t="s">
        <v>985</v>
      </c>
      <c r="Y20" s="11" t="s">
        <v>556</v>
      </c>
      <c r="AA20" s="9" t="s">
        <v>986</v>
      </c>
      <c r="AB20" s="11" t="s">
        <v>713</v>
      </c>
      <c r="AD20" s="3" t="s">
        <v>1012</v>
      </c>
      <c r="AE20" s="3" t="s">
        <v>819</v>
      </c>
    </row>
    <row r="21" spans="1:44" ht="15" customHeight="1" thickBot="1" x14ac:dyDescent="0.4">
      <c r="O21" s="10" t="s">
        <v>930</v>
      </c>
      <c r="P21" s="12" t="s">
        <v>181</v>
      </c>
      <c r="R21" s="9" t="s">
        <v>966</v>
      </c>
      <c r="S21" s="11" t="s">
        <v>239</v>
      </c>
      <c r="U21" s="9" t="s">
        <v>978</v>
      </c>
      <c r="V21" s="11" t="s">
        <v>399</v>
      </c>
      <c r="X21" s="9" t="s">
        <v>988</v>
      </c>
      <c r="Y21" s="11" t="s">
        <v>557</v>
      </c>
      <c r="AA21" s="9" t="s">
        <v>995</v>
      </c>
      <c r="AB21" s="11" t="s">
        <v>714</v>
      </c>
      <c r="AD21" s="3" t="s">
        <v>1013</v>
      </c>
      <c r="AE21" s="3" t="s">
        <v>820</v>
      </c>
    </row>
    <row r="22" spans="1:44" ht="15" customHeight="1" thickBot="1" x14ac:dyDescent="0.4">
      <c r="R22" s="9" t="s">
        <v>967</v>
      </c>
      <c r="S22" s="11" t="s">
        <v>240</v>
      </c>
      <c r="U22" s="9" t="s">
        <v>979</v>
      </c>
      <c r="V22" s="11" t="s">
        <v>400</v>
      </c>
      <c r="X22" s="9" t="s">
        <v>989</v>
      </c>
      <c r="Y22" s="11" t="s">
        <v>558</v>
      </c>
      <c r="AA22" s="9" t="s">
        <v>997</v>
      </c>
      <c r="AB22" s="11" t="s">
        <v>715</v>
      </c>
      <c r="AD22" s="3" t="s">
        <v>1014</v>
      </c>
      <c r="AE22" s="3" t="s">
        <v>821</v>
      </c>
    </row>
    <row r="23" spans="1:44" ht="15" customHeight="1" x14ac:dyDescent="0.35">
      <c r="O23" s="108" t="s">
        <v>188</v>
      </c>
      <c r="P23" s="109"/>
      <c r="R23" s="9" t="s">
        <v>968</v>
      </c>
      <c r="S23" s="11" t="s">
        <v>241</v>
      </c>
      <c r="U23" s="9" t="s">
        <v>980</v>
      </c>
      <c r="V23" s="11" t="s">
        <v>401</v>
      </c>
      <c r="X23" s="9" t="s">
        <v>990</v>
      </c>
      <c r="Y23" s="11" t="s">
        <v>559</v>
      </c>
      <c r="AA23" s="9" t="s">
        <v>998</v>
      </c>
      <c r="AB23" s="11" t="s">
        <v>716</v>
      </c>
      <c r="AD23" s="3" t="s">
        <v>1015</v>
      </c>
      <c r="AE23" s="3" t="s">
        <v>822</v>
      </c>
    </row>
    <row r="24" spans="1:44" x14ac:dyDescent="0.35">
      <c r="B24" s="110"/>
      <c r="C24" s="94"/>
      <c r="F24" s="110"/>
      <c r="G24" s="94"/>
      <c r="I24" s="110"/>
      <c r="J24" s="94"/>
      <c r="L24" s="110"/>
      <c r="M24" s="94"/>
      <c r="O24" s="9" t="s">
        <v>953</v>
      </c>
      <c r="P24" s="11" t="s">
        <v>190</v>
      </c>
      <c r="R24" s="9" t="s">
        <v>969</v>
      </c>
      <c r="S24" s="11" t="s">
        <v>242</v>
      </c>
      <c r="U24" s="9" t="s">
        <v>981</v>
      </c>
      <c r="V24" s="11" t="s">
        <v>402</v>
      </c>
      <c r="X24" s="9" t="s">
        <v>991</v>
      </c>
      <c r="Y24" s="11" t="s">
        <v>560</v>
      </c>
      <c r="AA24" s="9" t="s">
        <v>999</v>
      </c>
      <c r="AB24" s="11" t="s">
        <v>717</v>
      </c>
      <c r="AD24" s="3" t="s">
        <v>1016</v>
      </c>
      <c r="AE24" s="3" t="s">
        <v>823</v>
      </c>
    </row>
    <row r="25" spans="1:44" x14ac:dyDescent="0.35">
      <c r="O25" s="9" t="s">
        <v>954</v>
      </c>
      <c r="P25" s="11" t="s">
        <v>191</v>
      </c>
      <c r="R25" s="9" t="s">
        <v>970</v>
      </c>
      <c r="S25" s="11" t="s">
        <v>243</v>
      </c>
      <c r="U25" s="9" t="s">
        <v>982</v>
      </c>
      <c r="V25" s="11" t="s">
        <v>403</v>
      </c>
      <c r="X25" s="9" t="s">
        <v>992</v>
      </c>
      <c r="Y25" s="11" t="s">
        <v>561</v>
      </c>
      <c r="AA25" s="9" t="s">
        <v>1000</v>
      </c>
      <c r="AB25" s="11" t="s">
        <v>718</v>
      </c>
      <c r="AD25" s="3" t="s">
        <v>1017</v>
      </c>
      <c r="AE25" s="3" t="s">
        <v>824</v>
      </c>
    </row>
    <row r="26" spans="1:44" x14ac:dyDescent="0.35">
      <c r="O26" s="9" t="s">
        <v>955</v>
      </c>
      <c r="P26" s="11" t="s">
        <v>192</v>
      </c>
      <c r="R26" s="9" t="s">
        <v>971</v>
      </c>
      <c r="S26" s="11" t="s">
        <v>244</v>
      </c>
      <c r="U26" s="9" t="s">
        <v>983</v>
      </c>
      <c r="V26" s="11" t="s">
        <v>404</v>
      </c>
      <c r="X26" s="9" t="s">
        <v>993</v>
      </c>
      <c r="Y26" s="11" t="s">
        <v>562</v>
      </c>
      <c r="AA26" s="9" t="s">
        <v>1001</v>
      </c>
      <c r="AB26" s="11" t="s">
        <v>719</v>
      </c>
      <c r="AD26" s="3" t="s">
        <v>1018</v>
      </c>
      <c r="AE26" s="3" t="s">
        <v>825</v>
      </c>
    </row>
    <row r="27" spans="1:44" ht="15" customHeight="1" thickBot="1" x14ac:dyDescent="0.4">
      <c r="O27" s="9" t="s">
        <v>956</v>
      </c>
      <c r="P27" s="11" t="s">
        <v>193</v>
      </c>
      <c r="R27" s="9" t="s">
        <v>972</v>
      </c>
      <c r="S27" s="12" t="s">
        <v>245</v>
      </c>
      <c r="U27" s="9" t="s">
        <v>984</v>
      </c>
      <c r="V27" s="12" t="s">
        <v>405</v>
      </c>
      <c r="X27" s="9" t="s">
        <v>994</v>
      </c>
      <c r="Y27" s="12" t="s">
        <v>563</v>
      </c>
      <c r="AA27" s="9" t="s">
        <v>1002</v>
      </c>
      <c r="AB27" s="12" t="s">
        <v>720</v>
      </c>
      <c r="AD27" s="3" t="s">
        <v>1019</v>
      </c>
      <c r="AE27" s="3" t="s">
        <v>826</v>
      </c>
    </row>
    <row r="28" spans="1:44" ht="15" customHeight="1" thickBot="1" x14ac:dyDescent="0.4">
      <c r="O28" s="9" t="s">
        <v>957</v>
      </c>
      <c r="P28" s="11" t="s">
        <v>194</v>
      </c>
      <c r="AD28" s="3" t="s">
        <v>1020</v>
      </c>
      <c r="AE28" s="3" t="s">
        <v>827</v>
      </c>
    </row>
    <row r="29" spans="1:44" ht="15" customHeight="1" thickBot="1" x14ac:dyDescent="0.4">
      <c r="O29" s="10" t="s">
        <v>958</v>
      </c>
      <c r="P29" s="12" t="s">
        <v>195</v>
      </c>
      <c r="R29" s="108" t="s">
        <v>246</v>
      </c>
      <c r="S29" s="109"/>
      <c r="U29" s="108" t="s">
        <v>406</v>
      </c>
      <c r="V29" s="109"/>
      <c r="X29" s="108" t="s">
        <v>564</v>
      </c>
      <c r="Y29" s="109"/>
      <c r="AA29" s="108" t="s">
        <v>721</v>
      </c>
      <c r="AB29" s="109"/>
      <c r="AD29" s="113" t="s">
        <v>800</v>
      </c>
      <c r="AE29" s="92"/>
    </row>
    <row r="30" spans="1:44" ht="15" customHeight="1" thickBot="1" x14ac:dyDescent="0.4">
      <c r="R30" s="9" t="s">
        <v>932</v>
      </c>
      <c r="S30" s="11" t="s">
        <v>247</v>
      </c>
      <c r="U30" s="9" t="s">
        <v>933</v>
      </c>
      <c r="V30" s="11" t="s">
        <v>407</v>
      </c>
      <c r="X30" s="9" t="s">
        <v>934</v>
      </c>
      <c r="Y30" s="11" t="s">
        <v>565</v>
      </c>
      <c r="AA30" s="9" t="s">
        <v>935</v>
      </c>
      <c r="AB30" s="11" t="s">
        <v>722</v>
      </c>
    </row>
    <row r="31" spans="1:44" x14ac:dyDescent="0.35">
      <c r="O31" s="108" t="s">
        <v>196</v>
      </c>
      <c r="P31" s="109"/>
      <c r="R31" s="9" t="s">
        <v>948</v>
      </c>
      <c r="S31" s="11" t="s">
        <v>248</v>
      </c>
      <c r="U31" s="9" t="s">
        <v>949</v>
      </c>
      <c r="V31" s="11" t="s">
        <v>408</v>
      </c>
      <c r="X31" s="9" t="s">
        <v>950</v>
      </c>
      <c r="Y31" s="11" t="s">
        <v>566</v>
      </c>
      <c r="AA31" s="9" t="s">
        <v>951</v>
      </c>
      <c r="AB31" s="11" t="s">
        <v>723</v>
      </c>
      <c r="AD31" s="113" t="s">
        <v>844</v>
      </c>
      <c r="AE31" s="92"/>
    </row>
    <row r="32" spans="1:44" x14ac:dyDescent="0.35">
      <c r="O32" s="9" t="s">
        <v>953</v>
      </c>
      <c r="P32" s="11" t="s">
        <v>197</v>
      </c>
      <c r="R32" s="9" t="s">
        <v>959</v>
      </c>
      <c r="S32" s="11" t="s">
        <v>249</v>
      </c>
      <c r="U32" s="9" t="s">
        <v>960</v>
      </c>
      <c r="V32" s="11" t="s">
        <v>409</v>
      </c>
      <c r="X32" s="9" t="s">
        <v>961</v>
      </c>
      <c r="Y32" s="11" t="s">
        <v>567</v>
      </c>
      <c r="AA32" s="9" t="s">
        <v>962</v>
      </c>
      <c r="AB32" s="11" t="s">
        <v>724</v>
      </c>
      <c r="AD32" s="3" t="s">
        <v>1033</v>
      </c>
      <c r="AE32" s="3" t="s">
        <v>1141</v>
      </c>
    </row>
    <row r="33" spans="2:31" x14ac:dyDescent="0.35">
      <c r="O33" s="9" t="s">
        <v>954</v>
      </c>
      <c r="P33" s="11" t="s">
        <v>198</v>
      </c>
      <c r="R33" s="9" t="s">
        <v>964</v>
      </c>
      <c r="S33" s="11" t="s">
        <v>250</v>
      </c>
      <c r="U33" s="9" t="s">
        <v>973</v>
      </c>
      <c r="V33" s="11" t="s">
        <v>410</v>
      </c>
      <c r="X33" s="9" t="s">
        <v>974</v>
      </c>
      <c r="Y33" s="11" t="s">
        <v>568</v>
      </c>
      <c r="AA33" s="9" t="s">
        <v>975</v>
      </c>
      <c r="AB33" s="11" t="s">
        <v>725</v>
      </c>
      <c r="AD33" s="3" t="s">
        <v>1034</v>
      </c>
      <c r="AE33" s="3" t="s">
        <v>1142</v>
      </c>
    </row>
    <row r="34" spans="2:31" x14ac:dyDescent="0.35">
      <c r="O34" s="9" t="s">
        <v>955</v>
      </c>
      <c r="P34" s="11" t="s">
        <v>199</v>
      </c>
      <c r="R34" s="9" t="s">
        <v>965</v>
      </c>
      <c r="S34" s="11" t="s">
        <v>251</v>
      </c>
      <c r="U34" s="9" t="s">
        <v>977</v>
      </c>
      <c r="V34" s="11" t="s">
        <v>411</v>
      </c>
      <c r="X34" s="9" t="s">
        <v>985</v>
      </c>
      <c r="Y34" s="11" t="s">
        <v>569</v>
      </c>
      <c r="AA34" s="9" t="s">
        <v>986</v>
      </c>
      <c r="AB34" s="11" t="s">
        <v>726</v>
      </c>
      <c r="AD34" s="3" t="s">
        <v>1035</v>
      </c>
      <c r="AE34" s="3" t="s">
        <v>1143</v>
      </c>
    </row>
    <row r="35" spans="2:31" x14ac:dyDescent="0.35">
      <c r="O35" s="9" t="s">
        <v>956</v>
      </c>
      <c r="P35" s="11" t="s">
        <v>200</v>
      </c>
      <c r="R35" s="9" t="s">
        <v>966</v>
      </c>
      <c r="S35" s="11" t="s">
        <v>252</v>
      </c>
      <c r="U35" s="9" t="s">
        <v>978</v>
      </c>
      <c r="V35" s="11" t="s">
        <v>412</v>
      </c>
      <c r="X35" s="9" t="s">
        <v>988</v>
      </c>
      <c r="Y35" s="11" t="s">
        <v>570</v>
      </c>
      <c r="AA35" s="9" t="s">
        <v>995</v>
      </c>
      <c r="AB35" s="11" t="s">
        <v>727</v>
      </c>
      <c r="AD35" s="3" t="s">
        <v>1036</v>
      </c>
      <c r="AE35" s="3" t="s">
        <v>1144</v>
      </c>
    </row>
    <row r="36" spans="2:31" ht="15" customHeight="1" x14ac:dyDescent="0.35">
      <c r="O36" s="9" t="s">
        <v>957</v>
      </c>
      <c r="P36" s="11" t="s">
        <v>201</v>
      </c>
      <c r="R36" s="9" t="s">
        <v>967</v>
      </c>
      <c r="S36" s="11" t="s">
        <v>253</v>
      </c>
      <c r="U36" s="9" t="s">
        <v>979</v>
      </c>
      <c r="V36" s="11" t="s">
        <v>413</v>
      </c>
      <c r="X36" s="9" t="s">
        <v>989</v>
      </c>
      <c r="Y36" s="11" t="s">
        <v>571</v>
      </c>
      <c r="AA36" s="9" t="s">
        <v>997</v>
      </c>
      <c r="AB36" s="11" t="s">
        <v>728</v>
      </c>
      <c r="AD36" s="3" t="s">
        <v>1037</v>
      </c>
      <c r="AE36" s="3" t="s">
        <v>1145</v>
      </c>
    </row>
    <row r="37" spans="2:31" ht="15" customHeight="1" thickBot="1" x14ac:dyDescent="0.4">
      <c r="O37" s="10" t="s">
        <v>958</v>
      </c>
      <c r="P37" s="12" t="s">
        <v>202</v>
      </c>
      <c r="R37" s="9" t="s">
        <v>968</v>
      </c>
      <c r="S37" s="11" t="s">
        <v>254</v>
      </c>
      <c r="U37" s="9" t="s">
        <v>980</v>
      </c>
      <c r="V37" s="11" t="s">
        <v>414</v>
      </c>
      <c r="X37" s="9" t="s">
        <v>990</v>
      </c>
      <c r="Y37" s="11" t="s">
        <v>572</v>
      </c>
      <c r="AA37" s="9" t="s">
        <v>998</v>
      </c>
      <c r="AB37" s="11" t="s">
        <v>729</v>
      </c>
      <c r="AD37" s="3" t="s">
        <v>1038</v>
      </c>
      <c r="AE37" s="3" t="s">
        <v>1146</v>
      </c>
    </row>
    <row r="38" spans="2:31" ht="15" customHeight="1" thickBot="1" x14ac:dyDescent="0.4">
      <c r="B38" s="110"/>
      <c r="C38" s="94"/>
      <c r="F38" s="110"/>
      <c r="G38" s="94"/>
      <c r="I38" s="110"/>
      <c r="J38" s="94"/>
      <c r="L38" s="110"/>
      <c r="M38" s="94"/>
      <c r="R38" s="9" t="s">
        <v>969</v>
      </c>
      <c r="S38" s="11" t="s">
        <v>255</v>
      </c>
      <c r="U38" s="9" t="s">
        <v>981</v>
      </c>
      <c r="V38" s="11" t="s">
        <v>415</v>
      </c>
      <c r="X38" s="9" t="s">
        <v>991</v>
      </c>
      <c r="Y38" s="11" t="s">
        <v>573</v>
      </c>
      <c r="AA38" s="9" t="s">
        <v>999</v>
      </c>
      <c r="AB38" s="11" t="s">
        <v>730</v>
      </c>
      <c r="AD38" s="3" t="s">
        <v>1039</v>
      </c>
      <c r="AE38" s="3" t="s">
        <v>1147</v>
      </c>
    </row>
    <row r="39" spans="2:31" x14ac:dyDescent="0.35">
      <c r="O39" s="108" t="s">
        <v>203</v>
      </c>
      <c r="P39" s="109"/>
      <c r="R39" s="9" t="s">
        <v>970</v>
      </c>
      <c r="S39" s="11" t="s">
        <v>256</v>
      </c>
      <c r="U39" s="9" t="s">
        <v>982</v>
      </c>
      <c r="V39" s="11" t="s">
        <v>416</v>
      </c>
      <c r="X39" s="9" t="s">
        <v>992</v>
      </c>
      <c r="Y39" s="11" t="s">
        <v>574</v>
      </c>
      <c r="AA39" s="9" t="s">
        <v>1000</v>
      </c>
      <c r="AB39" s="11" t="s">
        <v>731</v>
      </c>
      <c r="AD39" s="3" t="s">
        <v>1040</v>
      </c>
      <c r="AE39" s="3" t="s">
        <v>1148</v>
      </c>
    </row>
    <row r="40" spans="2:31" ht="15" customHeight="1" x14ac:dyDescent="0.35">
      <c r="O40" s="9" t="s">
        <v>953</v>
      </c>
      <c r="P40" s="11" t="s">
        <v>204</v>
      </c>
      <c r="R40" s="9" t="s">
        <v>971</v>
      </c>
      <c r="S40" s="11" t="s">
        <v>257</v>
      </c>
      <c r="U40" s="9" t="s">
        <v>983</v>
      </c>
      <c r="V40" s="11" t="s">
        <v>417</v>
      </c>
      <c r="X40" s="9" t="s">
        <v>993</v>
      </c>
      <c r="Y40" s="11" t="s">
        <v>575</v>
      </c>
      <c r="AA40" s="9" t="s">
        <v>1001</v>
      </c>
      <c r="AB40" s="11" t="s">
        <v>732</v>
      </c>
      <c r="AD40" s="3" t="s">
        <v>1041</v>
      </c>
      <c r="AE40" s="3" t="s">
        <v>1149</v>
      </c>
    </row>
    <row r="41" spans="2:31" ht="15" customHeight="1" thickBot="1" x14ac:dyDescent="0.4">
      <c r="O41" s="9" t="s">
        <v>954</v>
      </c>
      <c r="P41" s="11" t="s">
        <v>205</v>
      </c>
      <c r="R41" s="9" t="s">
        <v>972</v>
      </c>
      <c r="S41" s="12" t="s">
        <v>258</v>
      </c>
      <c r="U41" s="9" t="s">
        <v>984</v>
      </c>
      <c r="V41" s="12" t="s">
        <v>418</v>
      </c>
      <c r="X41" s="9" t="s">
        <v>994</v>
      </c>
      <c r="Y41" s="12" t="s">
        <v>576</v>
      </c>
      <c r="AA41" s="9" t="s">
        <v>1002</v>
      </c>
      <c r="AB41" s="12" t="s">
        <v>733</v>
      </c>
      <c r="AD41" s="3" t="s">
        <v>1042</v>
      </c>
      <c r="AE41" s="3" t="s">
        <v>1150</v>
      </c>
    </row>
    <row r="42" spans="2:31" ht="15" customHeight="1" thickBot="1" x14ac:dyDescent="0.4">
      <c r="O42" s="9" t="s">
        <v>955</v>
      </c>
      <c r="P42" s="11" t="s">
        <v>206</v>
      </c>
      <c r="AD42" s="3" t="s">
        <v>1043</v>
      </c>
      <c r="AE42" s="3" t="s">
        <v>1151</v>
      </c>
    </row>
    <row r="43" spans="2:31" x14ac:dyDescent="0.35">
      <c r="O43" s="9" t="s">
        <v>956</v>
      </c>
      <c r="P43" s="11" t="s">
        <v>207</v>
      </c>
      <c r="R43" s="108" t="s">
        <v>259</v>
      </c>
      <c r="S43" s="109"/>
      <c r="U43" s="108" t="s">
        <v>419</v>
      </c>
      <c r="V43" s="109"/>
      <c r="X43" s="108" t="s">
        <v>577</v>
      </c>
      <c r="Y43" s="109"/>
      <c r="AA43" s="108" t="s">
        <v>734</v>
      </c>
      <c r="AB43" s="109"/>
      <c r="AD43" s="3" t="s">
        <v>1044</v>
      </c>
      <c r="AE43" s="3" t="s">
        <v>1152</v>
      </c>
    </row>
    <row r="44" spans="2:31" ht="15" customHeight="1" x14ac:dyDescent="0.35">
      <c r="O44" s="9" t="s">
        <v>957</v>
      </c>
      <c r="P44" s="11" t="s">
        <v>208</v>
      </c>
      <c r="R44" s="9" t="s">
        <v>932</v>
      </c>
      <c r="S44" s="11" t="s">
        <v>261</v>
      </c>
      <c r="U44" s="9" t="s">
        <v>933</v>
      </c>
      <c r="V44" s="11" t="s">
        <v>420</v>
      </c>
      <c r="X44" s="9" t="s">
        <v>934</v>
      </c>
      <c r="Y44" s="11" t="s">
        <v>578</v>
      </c>
      <c r="AA44" s="9" t="s">
        <v>935</v>
      </c>
      <c r="AB44" s="11" t="s">
        <v>735</v>
      </c>
      <c r="AD44" s="113" t="s">
        <v>800</v>
      </c>
      <c r="AE44" s="92"/>
    </row>
    <row r="45" spans="2:31" ht="15" customHeight="1" thickBot="1" x14ac:dyDescent="0.4">
      <c r="O45" s="10" t="s">
        <v>958</v>
      </c>
      <c r="P45" s="12" t="s">
        <v>209</v>
      </c>
      <c r="R45" s="9" t="s">
        <v>948</v>
      </c>
      <c r="S45" s="11" t="s">
        <v>262</v>
      </c>
      <c r="U45" s="9" t="s">
        <v>949</v>
      </c>
      <c r="V45" s="11" t="s">
        <v>421</v>
      </c>
      <c r="X45" s="9" t="s">
        <v>950</v>
      </c>
      <c r="Y45" s="11" t="s">
        <v>579</v>
      </c>
      <c r="AA45" s="9" t="s">
        <v>951</v>
      </c>
      <c r="AB45" s="11" t="s">
        <v>736</v>
      </c>
    </row>
    <row r="46" spans="2:31" ht="15" customHeight="1" thickBot="1" x14ac:dyDescent="0.4">
      <c r="B46" s="110"/>
      <c r="C46" s="94"/>
      <c r="R46" s="9" t="s">
        <v>959</v>
      </c>
      <c r="S46" s="11" t="s">
        <v>263</v>
      </c>
      <c r="U46" s="9" t="s">
        <v>960</v>
      </c>
      <c r="V46" s="11" t="s">
        <v>422</v>
      </c>
      <c r="X46" s="9" t="s">
        <v>961</v>
      </c>
      <c r="Y46" s="11" t="s">
        <v>580</v>
      </c>
      <c r="AA46" s="9" t="s">
        <v>962</v>
      </c>
      <c r="AB46" s="11" t="s">
        <v>737</v>
      </c>
      <c r="AD46" s="113" t="s">
        <v>858</v>
      </c>
      <c r="AE46" s="92"/>
    </row>
    <row r="47" spans="2:31" x14ac:dyDescent="0.35">
      <c r="O47" s="108" t="s">
        <v>210</v>
      </c>
      <c r="P47" s="109"/>
      <c r="R47" s="9" t="s">
        <v>964</v>
      </c>
      <c r="S47" s="11" t="s">
        <v>264</v>
      </c>
      <c r="U47" s="9" t="s">
        <v>973</v>
      </c>
      <c r="V47" s="11" t="s">
        <v>423</v>
      </c>
      <c r="X47" s="9" t="s">
        <v>974</v>
      </c>
      <c r="Y47" s="11" t="s">
        <v>581</v>
      </c>
      <c r="AA47" s="9" t="s">
        <v>975</v>
      </c>
      <c r="AB47" s="11" t="s">
        <v>738</v>
      </c>
      <c r="AD47" s="3" t="s">
        <v>1045</v>
      </c>
      <c r="AE47" s="3" t="s">
        <v>1153</v>
      </c>
    </row>
    <row r="48" spans="2:31" x14ac:dyDescent="0.35">
      <c r="O48" s="9" t="s">
        <v>953</v>
      </c>
      <c r="P48" s="11" t="s">
        <v>212</v>
      </c>
      <c r="R48" s="9" t="s">
        <v>965</v>
      </c>
      <c r="S48" s="11" t="s">
        <v>265</v>
      </c>
      <c r="U48" s="9" t="s">
        <v>977</v>
      </c>
      <c r="V48" s="11" t="s">
        <v>424</v>
      </c>
      <c r="X48" s="9" t="s">
        <v>985</v>
      </c>
      <c r="Y48" s="11" t="s">
        <v>582</v>
      </c>
      <c r="AA48" s="9" t="s">
        <v>986</v>
      </c>
      <c r="AB48" s="11" t="s">
        <v>739</v>
      </c>
      <c r="AD48" s="3" t="s">
        <v>1046</v>
      </c>
      <c r="AE48" s="3" t="s">
        <v>1154</v>
      </c>
    </row>
    <row r="49" spans="2:31" x14ac:dyDescent="0.35">
      <c r="O49" s="9" t="s">
        <v>954</v>
      </c>
      <c r="P49" s="11" t="s">
        <v>213</v>
      </c>
      <c r="R49" s="9" t="s">
        <v>966</v>
      </c>
      <c r="S49" s="11" t="s">
        <v>266</v>
      </c>
      <c r="U49" s="9" t="s">
        <v>978</v>
      </c>
      <c r="V49" s="11" t="s">
        <v>425</v>
      </c>
      <c r="X49" s="9" t="s">
        <v>988</v>
      </c>
      <c r="Y49" s="11" t="s">
        <v>583</v>
      </c>
      <c r="AA49" s="9" t="s">
        <v>995</v>
      </c>
      <c r="AB49" s="11" t="s">
        <v>740</v>
      </c>
      <c r="AD49" s="3" t="s">
        <v>1047</v>
      </c>
      <c r="AE49" s="3" t="s">
        <v>1155</v>
      </c>
    </row>
    <row r="50" spans="2:31" ht="15" customHeight="1" x14ac:dyDescent="0.35">
      <c r="O50" s="9" t="s">
        <v>955</v>
      </c>
      <c r="P50" s="11" t="s">
        <v>214</v>
      </c>
      <c r="R50" s="9" t="s">
        <v>967</v>
      </c>
      <c r="S50" s="11" t="s">
        <v>267</v>
      </c>
      <c r="U50" s="9" t="s">
        <v>979</v>
      </c>
      <c r="V50" s="11" t="s">
        <v>426</v>
      </c>
      <c r="X50" s="9" t="s">
        <v>989</v>
      </c>
      <c r="Y50" s="11" t="s">
        <v>584</v>
      </c>
      <c r="AA50" s="9" t="s">
        <v>997</v>
      </c>
      <c r="AB50" s="11" t="s">
        <v>741</v>
      </c>
      <c r="AD50" s="3" t="s">
        <v>1048</v>
      </c>
      <c r="AE50" s="3" t="s">
        <v>1156</v>
      </c>
    </row>
    <row r="51" spans="2:31" ht="15" customHeight="1" x14ac:dyDescent="0.35">
      <c r="O51" s="9" t="s">
        <v>956</v>
      </c>
      <c r="P51" s="11" t="s">
        <v>215</v>
      </c>
      <c r="R51" s="9" t="s">
        <v>968</v>
      </c>
      <c r="S51" s="11" t="s">
        <v>268</v>
      </c>
      <c r="U51" s="9" t="s">
        <v>980</v>
      </c>
      <c r="V51" s="11" t="s">
        <v>427</v>
      </c>
      <c r="X51" s="9" t="s">
        <v>990</v>
      </c>
      <c r="Y51" s="11" t="s">
        <v>585</v>
      </c>
      <c r="AA51" s="9" t="s">
        <v>998</v>
      </c>
      <c r="AB51" s="11" t="s">
        <v>742</v>
      </c>
      <c r="AD51" s="3" t="s">
        <v>1049</v>
      </c>
      <c r="AE51" s="3" t="s">
        <v>1157</v>
      </c>
    </row>
    <row r="52" spans="2:31" ht="15" customHeight="1" x14ac:dyDescent="0.35">
      <c r="F52" s="110"/>
      <c r="G52" s="94"/>
      <c r="I52" s="110"/>
      <c r="J52" s="94"/>
      <c r="L52" s="110"/>
      <c r="M52" s="94"/>
      <c r="O52" s="9" t="s">
        <v>957</v>
      </c>
      <c r="P52" s="11" t="s">
        <v>216</v>
      </c>
      <c r="R52" s="9" t="s">
        <v>969</v>
      </c>
      <c r="S52" s="11" t="s">
        <v>269</v>
      </c>
      <c r="U52" s="9" t="s">
        <v>981</v>
      </c>
      <c r="V52" s="11" t="s">
        <v>428</v>
      </c>
      <c r="X52" s="9" t="s">
        <v>991</v>
      </c>
      <c r="Y52" s="11" t="s">
        <v>586</v>
      </c>
      <c r="AA52" s="9" t="s">
        <v>999</v>
      </c>
      <c r="AB52" s="11" t="s">
        <v>743</v>
      </c>
      <c r="AD52" s="3" t="s">
        <v>1050</v>
      </c>
      <c r="AE52" s="3" t="s">
        <v>1158</v>
      </c>
    </row>
    <row r="53" spans="2:31" ht="15" customHeight="1" thickBot="1" x14ac:dyDescent="0.4">
      <c r="O53" s="10" t="s">
        <v>958</v>
      </c>
      <c r="P53" s="12" t="s">
        <v>217</v>
      </c>
      <c r="R53" s="9" t="s">
        <v>970</v>
      </c>
      <c r="S53" s="11" t="s">
        <v>270</v>
      </c>
      <c r="U53" s="9" t="s">
        <v>982</v>
      </c>
      <c r="V53" s="11" t="s">
        <v>429</v>
      </c>
      <c r="X53" s="9" t="s">
        <v>992</v>
      </c>
      <c r="Y53" s="11" t="s">
        <v>587</v>
      </c>
      <c r="AA53" s="9" t="s">
        <v>1000</v>
      </c>
      <c r="AB53" s="11" t="s">
        <v>744</v>
      </c>
      <c r="AD53" s="3" t="s">
        <v>1051</v>
      </c>
      <c r="AE53" s="3" t="s">
        <v>1159</v>
      </c>
    </row>
    <row r="54" spans="2:31" ht="15" customHeight="1" x14ac:dyDescent="0.35">
      <c r="B54" s="110"/>
      <c r="C54" s="94"/>
      <c r="R54" s="9" t="s">
        <v>971</v>
      </c>
      <c r="S54" s="11" t="s">
        <v>271</v>
      </c>
      <c r="U54" s="9" t="s">
        <v>983</v>
      </c>
      <c r="V54" s="11" t="s">
        <v>430</v>
      </c>
      <c r="X54" s="9" t="s">
        <v>993</v>
      </c>
      <c r="Y54" s="11" t="s">
        <v>588</v>
      </c>
      <c r="AA54" s="9" t="s">
        <v>1001</v>
      </c>
      <c r="AB54" s="11" t="s">
        <v>745</v>
      </c>
      <c r="AD54" s="3" t="s">
        <v>1052</v>
      </c>
      <c r="AE54" s="3" t="s">
        <v>1160</v>
      </c>
    </row>
    <row r="55" spans="2:31" ht="15" customHeight="1" thickBot="1" x14ac:dyDescent="0.4">
      <c r="R55" s="9" t="s">
        <v>972</v>
      </c>
      <c r="S55" s="12" t="s">
        <v>272</v>
      </c>
      <c r="U55" s="9" t="s">
        <v>984</v>
      </c>
      <c r="V55" s="12" t="s">
        <v>431</v>
      </c>
      <c r="X55" s="9" t="s">
        <v>994</v>
      </c>
      <c r="Y55" s="12" t="s">
        <v>589</v>
      </c>
      <c r="AA55" s="9" t="s">
        <v>1002</v>
      </c>
      <c r="AB55" s="12" t="s">
        <v>746</v>
      </c>
      <c r="AD55" s="3" t="s">
        <v>1053</v>
      </c>
      <c r="AE55" s="3" t="s">
        <v>1161</v>
      </c>
    </row>
    <row r="56" spans="2:31" ht="15" customHeight="1" thickBot="1" x14ac:dyDescent="0.4">
      <c r="AD56" s="3" t="s">
        <v>1054</v>
      </c>
      <c r="AE56" s="3" t="s">
        <v>1162</v>
      </c>
    </row>
    <row r="57" spans="2:31" ht="15" customHeight="1" thickBot="1" x14ac:dyDescent="0.4">
      <c r="R57" s="108" t="s">
        <v>273</v>
      </c>
      <c r="S57" s="109"/>
      <c r="U57" s="108" t="s">
        <v>432</v>
      </c>
      <c r="V57" s="109"/>
      <c r="X57" s="108" t="s">
        <v>590</v>
      </c>
      <c r="Y57" s="109"/>
      <c r="AD57" s="3" t="s">
        <v>1055</v>
      </c>
      <c r="AE57" s="3" t="s">
        <v>1163</v>
      </c>
    </row>
    <row r="58" spans="2:31" x14ac:dyDescent="0.35">
      <c r="R58" s="9" t="s">
        <v>932</v>
      </c>
      <c r="S58" s="11" t="s">
        <v>274</v>
      </c>
      <c r="U58" s="9" t="s">
        <v>933</v>
      </c>
      <c r="V58" s="11" t="s">
        <v>433</v>
      </c>
      <c r="X58" s="9" t="s">
        <v>934</v>
      </c>
      <c r="Y58" s="11" t="s">
        <v>591</v>
      </c>
      <c r="AA58" s="108" t="s">
        <v>747</v>
      </c>
      <c r="AB58" s="109"/>
      <c r="AD58" s="3" t="s">
        <v>1056</v>
      </c>
      <c r="AE58" s="3" t="s">
        <v>1164</v>
      </c>
    </row>
    <row r="59" spans="2:31" x14ac:dyDescent="0.35">
      <c r="R59" s="9" t="s">
        <v>948</v>
      </c>
      <c r="S59" s="11" t="s">
        <v>275</v>
      </c>
      <c r="U59" s="9" t="s">
        <v>949</v>
      </c>
      <c r="V59" s="11" t="s">
        <v>434</v>
      </c>
      <c r="X59" s="9" t="s">
        <v>950</v>
      </c>
      <c r="Y59" s="11" t="s">
        <v>592</v>
      </c>
      <c r="AA59" s="9" t="s">
        <v>935</v>
      </c>
      <c r="AB59" s="11" t="s">
        <v>748</v>
      </c>
      <c r="AD59" s="113" t="s">
        <v>800</v>
      </c>
      <c r="AE59" s="92"/>
    </row>
    <row r="60" spans="2:31" ht="15" customHeight="1" x14ac:dyDescent="0.35">
      <c r="R60" s="9" t="s">
        <v>959</v>
      </c>
      <c r="S60" s="11" t="s">
        <v>276</v>
      </c>
      <c r="U60" s="9" t="s">
        <v>960</v>
      </c>
      <c r="V60" s="11" t="s">
        <v>435</v>
      </c>
      <c r="X60" s="9" t="s">
        <v>961</v>
      </c>
      <c r="Y60" s="11" t="s">
        <v>593</v>
      </c>
      <c r="AA60" s="9" t="s">
        <v>951</v>
      </c>
      <c r="AB60" s="11" t="s">
        <v>749</v>
      </c>
    </row>
    <row r="61" spans="2:31" ht="15" customHeight="1" x14ac:dyDescent="0.35">
      <c r="R61" s="9" t="s">
        <v>964</v>
      </c>
      <c r="S61" s="11" t="s">
        <v>277</v>
      </c>
      <c r="U61" s="9" t="s">
        <v>973</v>
      </c>
      <c r="V61" s="11" t="s">
        <v>436</v>
      </c>
      <c r="X61" s="9" t="s">
        <v>974</v>
      </c>
      <c r="Y61" s="11" t="s">
        <v>594</v>
      </c>
      <c r="AA61" s="9" t="s">
        <v>962</v>
      </c>
      <c r="AB61" s="11" t="s">
        <v>750</v>
      </c>
      <c r="AD61" s="113" t="s">
        <v>872</v>
      </c>
      <c r="AE61" s="92"/>
    </row>
    <row r="62" spans="2:31" x14ac:dyDescent="0.35">
      <c r="B62" s="110"/>
      <c r="C62" s="94"/>
      <c r="R62" s="9" t="s">
        <v>965</v>
      </c>
      <c r="S62" s="11" t="s">
        <v>278</v>
      </c>
      <c r="U62" s="9" t="s">
        <v>977</v>
      </c>
      <c r="V62" s="11" t="s">
        <v>437</v>
      </c>
      <c r="X62" s="9" t="s">
        <v>985</v>
      </c>
      <c r="Y62" s="11" t="s">
        <v>595</v>
      </c>
      <c r="AA62" s="9" t="s">
        <v>975</v>
      </c>
      <c r="AB62" s="11" t="s">
        <v>751</v>
      </c>
      <c r="AD62" s="3" t="s">
        <v>1057</v>
      </c>
      <c r="AE62" s="3" t="s">
        <v>1165</v>
      </c>
    </row>
    <row r="63" spans="2:31" x14ac:dyDescent="0.35">
      <c r="R63" s="9" t="s">
        <v>966</v>
      </c>
      <c r="S63" s="11" t="s">
        <v>279</v>
      </c>
      <c r="U63" s="9" t="s">
        <v>978</v>
      </c>
      <c r="V63" s="11" t="s">
        <v>438</v>
      </c>
      <c r="X63" s="9" t="s">
        <v>988</v>
      </c>
      <c r="Y63" s="11" t="s">
        <v>596</v>
      </c>
      <c r="AA63" s="9" t="s">
        <v>986</v>
      </c>
      <c r="AB63" s="11" t="s">
        <v>752</v>
      </c>
      <c r="AD63" s="3" t="s">
        <v>1058</v>
      </c>
      <c r="AE63" s="3" t="s">
        <v>1166</v>
      </c>
    </row>
    <row r="64" spans="2:31" ht="15" customHeight="1" x14ac:dyDescent="0.35">
      <c r="R64" s="9" t="s">
        <v>967</v>
      </c>
      <c r="S64" s="11" t="s">
        <v>280</v>
      </c>
      <c r="U64" s="9" t="s">
        <v>979</v>
      </c>
      <c r="V64" s="11" t="s">
        <v>439</v>
      </c>
      <c r="X64" s="9" t="s">
        <v>989</v>
      </c>
      <c r="Y64" s="11" t="s">
        <v>597</v>
      </c>
      <c r="AA64" s="9" t="s">
        <v>995</v>
      </c>
      <c r="AB64" s="11" t="s">
        <v>753</v>
      </c>
      <c r="AD64" s="3" t="s">
        <v>1059</v>
      </c>
      <c r="AE64" s="3" t="s">
        <v>1167</v>
      </c>
    </row>
    <row r="65" spans="2:31" ht="15" customHeight="1" x14ac:dyDescent="0.35">
      <c r="R65" s="9" t="s">
        <v>968</v>
      </c>
      <c r="S65" s="11" t="s">
        <v>281</v>
      </c>
      <c r="U65" s="9" t="s">
        <v>980</v>
      </c>
      <c r="V65" s="11" t="s">
        <v>440</v>
      </c>
      <c r="X65" s="9" t="s">
        <v>990</v>
      </c>
      <c r="Y65" s="11" t="s">
        <v>598</v>
      </c>
      <c r="AA65" s="9" t="s">
        <v>997</v>
      </c>
      <c r="AB65" s="11" t="s">
        <v>754</v>
      </c>
      <c r="AD65" s="3" t="s">
        <v>1060</v>
      </c>
      <c r="AE65" s="3" t="s">
        <v>1168</v>
      </c>
    </row>
    <row r="66" spans="2:31" x14ac:dyDescent="0.35">
      <c r="F66" s="110"/>
      <c r="G66" s="94"/>
      <c r="I66" s="110"/>
      <c r="J66" s="94"/>
      <c r="L66" s="110"/>
      <c r="M66" s="94"/>
      <c r="R66" s="9" t="s">
        <v>969</v>
      </c>
      <c r="S66" s="11" t="s">
        <v>282</v>
      </c>
      <c r="U66" s="9" t="s">
        <v>981</v>
      </c>
      <c r="V66" s="11" t="s">
        <v>441</v>
      </c>
      <c r="X66" s="9" t="s">
        <v>991</v>
      </c>
      <c r="Y66" s="11" t="s">
        <v>599</v>
      </c>
      <c r="AA66" s="9" t="s">
        <v>998</v>
      </c>
      <c r="AB66" s="11" t="s">
        <v>755</v>
      </c>
      <c r="AD66" s="3" t="s">
        <v>1061</v>
      </c>
      <c r="AE66" s="3" t="s">
        <v>1169</v>
      </c>
    </row>
    <row r="67" spans="2:31" x14ac:dyDescent="0.35">
      <c r="R67" s="9" t="s">
        <v>970</v>
      </c>
      <c r="S67" s="11" t="s">
        <v>283</v>
      </c>
      <c r="U67" s="9" t="s">
        <v>982</v>
      </c>
      <c r="V67" s="11" t="s">
        <v>442</v>
      </c>
      <c r="X67" s="9" t="s">
        <v>992</v>
      </c>
      <c r="Y67" s="11" t="s">
        <v>600</v>
      </c>
      <c r="AA67" s="9" t="s">
        <v>999</v>
      </c>
      <c r="AB67" s="11" t="s">
        <v>756</v>
      </c>
      <c r="AD67" s="3" t="s">
        <v>1062</v>
      </c>
      <c r="AE67" s="3" t="s">
        <v>1170</v>
      </c>
    </row>
    <row r="68" spans="2:31" ht="15" customHeight="1" x14ac:dyDescent="0.35">
      <c r="R68" s="9" t="s">
        <v>971</v>
      </c>
      <c r="S68" s="11" t="s">
        <v>284</v>
      </c>
      <c r="U68" s="9" t="s">
        <v>983</v>
      </c>
      <c r="V68" s="11" t="s">
        <v>443</v>
      </c>
      <c r="X68" s="9" t="s">
        <v>993</v>
      </c>
      <c r="Y68" s="11" t="s">
        <v>601</v>
      </c>
      <c r="AA68" s="9" t="s">
        <v>1000</v>
      </c>
      <c r="AB68" s="11" t="s">
        <v>757</v>
      </c>
      <c r="AD68" s="3" t="s">
        <v>1063</v>
      </c>
      <c r="AE68" s="3" t="s">
        <v>1171</v>
      </c>
    </row>
    <row r="69" spans="2:31" ht="15" customHeight="1" thickBot="1" x14ac:dyDescent="0.4">
      <c r="R69" s="9" t="s">
        <v>972</v>
      </c>
      <c r="S69" s="12" t="s">
        <v>285</v>
      </c>
      <c r="U69" s="9" t="s">
        <v>984</v>
      </c>
      <c r="V69" s="12" t="s">
        <v>444</v>
      </c>
      <c r="X69" s="9" t="s">
        <v>994</v>
      </c>
      <c r="Y69" s="12" t="s">
        <v>602</v>
      </c>
      <c r="AA69" s="9" t="s">
        <v>1001</v>
      </c>
      <c r="AB69" s="11" t="s">
        <v>758</v>
      </c>
      <c r="AD69" s="3" t="s">
        <v>1064</v>
      </c>
      <c r="AE69" s="3" t="s">
        <v>1172</v>
      </c>
    </row>
    <row r="70" spans="2:31" ht="15" customHeight="1" thickBot="1" x14ac:dyDescent="0.4">
      <c r="B70" s="110"/>
      <c r="C70" s="94"/>
      <c r="AA70" s="9" t="s">
        <v>1002</v>
      </c>
      <c r="AB70" s="12" t="s">
        <v>759</v>
      </c>
      <c r="AD70" s="3" t="s">
        <v>1065</v>
      </c>
      <c r="AE70" s="3" t="s">
        <v>1173</v>
      </c>
    </row>
    <row r="71" spans="2:31" ht="15" customHeight="1" thickBot="1" x14ac:dyDescent="0.4">
      <c r="R71" s="108" t="s">
        <v>286</v>
      </c>
      <c r="S71" s="109"/>
      <c r="U71" s="108" t="s">
        <v>445</v>
      </c>
      <c r="V71" s="109"/>
      <c r="X71" s="108" t="s">
        <v>603</v>
      </c>
      <c r="Y71" s="109"/>
      <c r="AD71" s="3" t="s">
        <v>1066</v>
      </c>
      <c r="AE71" s="3" t="s">
        <v>1174</v>
      </c>
    </row>
    <row r="72" spans="2:31" x14ac:dyDescent="0.35">
      <c r="R72" s="9" t="s">
        <v>932</v>
      </c>
      <c r="S72" s="11" t="s">
        <v>287</v>
      </c>
      <c r="U72" s="9" t="s">
        <v>933</v>
      </c>
      <c r="V72" s="11" t="s">
        <v>446</v>
      </c>
      <c r="X72" s="9" t="s">
        <v>934</v>
      </c>
      <c r="Y72" s="11" t="s">
        <v>604</v>
      </c>
      <c r="AA72" s="108" t="s">
        <v>760</v>
      </c>
      <c r="AB72" s="109"/>
      <c r="AD72" s="3" t="s">
        <v>1067</v>
      </c>
      <c r="AE72" s="3" t="s">
        <v>1175</v>
      </c>
    </row>
    <row r="73" spans="2:31" x14ac:dyDescent="0.35">
      <c r="R73" s="9" t="s">
        <v>948</v>
      </c>
      <c r="S73" s="11" t="s">
        <v>288</v>
      </c>
      <c r="U73" s="9" t="s">
        <v>949</v>
      </c>
      <c r="V73" s="11" t="s">
        <v>447</v>
      </c>
      <c r="X73" s="9" t="s">
        <v>950</v>
      </c>
      <c r="Y73" s="11" t="s">
        <v>605</v>
      </c>
      <c r="AA73" s="9" t="s">
        <v>935</v>
      </c>
      <c r="AB73" s="11" t="s">
        <v>761</v>
      </c>
      <c r="AD73" s="3" t="s">
        <v>1068</v>
      </c>
      <c r="AE73" s="3" t="s">
        <v>1176</v>
      </c>
    </row>
    <row r="74" spans="2:31" x14ac:dyDescent="0.35">
      <c r="R74" s="9" t="s">
        <v>959</v>
      </c>
      <c r="S74" s="11" t="s">
        <v>289</v>
      </c>
      <c r="U74" s="9" t="s">
        <v>960</v>
      </c>
      <c r="V74" s="11" t="s">
        <v>448</v>
      </c>
      <c r="X74" s="9" t="s">
        <v>961</v>
      </c>
      <c r="Y74" s="11" t="s">
        <v>606</v>
      </c>
      <c r="AA74" s="9" t="s">
        <v>951</v>
      </c>
      <c r="AB74" s="11" t="s">
        <v>762</v>
      </c>
      <c r="AD74" s="113" t="s">
        <v>800</v>
      </c>
      <c r="AE74" s="92"/>
    </row>
    <row r="75" spans="2:31" x14ac:dyDescent="0.35">
      <c r="R75" s="9" t="s">
        <v>964</v>
      </c>
      <c r="S75" s="11" t="s">
        <v>290</v>
      </c>
      <c r="U75" s="9" t="s">
        <v>973</v>
      </c>
      <c r="V75" s="11" t="s">
        <v>449</v>
      </c>
      <c r="X75" s="9" t="s">
        <v>974</v>
      </c>
      <c r="Y75" s="11" t="s">
        <v>607</v>
      </c>
      <c r="AA75" s="9" t="s">
        <v>962</v>
      </c>
      <c r="AB75" s="11" t="s">
        <v>763</v>
      </c>
    </row>
    <row r="76" spans="2:31" ht="15" customHeight="1" x14ac:dyDescent="0.35">
      <c r="R76" s="9" t="s">
        <v>965</v>
      </c>
      <c r="S76" s="11" t="s">
        <v>291</v>
      </c>
      <c r="U76" s="9" t="s">
        <v>977</v>
      </c>
      <c r="V76" s="11" t="s">
        <v>450</v>
      </c>
      <c r="X76" s="9" t="s">
        <v>985</v>
      </c>
      <c r="Y76" s="11" t="s">
        <v>608</v>
      </c>
      <c r="AA76" s="9" t="s">
        <v>975</v>
      </c>
      <c r="AB76" s="11" t="s">
        <v>764</v>
      </c>
      <c r="AD76" s="113" t="s">
        <v>886</v>
      </c>
      <c r="AE76" s="92"/>
    </row>
    <row r="77" spans="2:31" x14ac:dyDescent="0.35">
      <c r="R77" s="9" t="s">
        <v>966</v>
      </c>
      <c r="S77" s="11" t="s">
        <v>292</v>
      </c>
      <c r="U77" s="9" t="s">
        <v>978</v>
      </c>
      <c r="V77" s="11" t="s">
        <v>451</v>
      </c>
      <c r="X77" s="9" t="s">
        <v>988</v>
      </c>
      <c r="Y77" s="11" t="s">
        <v>609</v>
      </c>
      <c r="AA77" s="9" t="s">
        <v>986</v>
      </c>
      <c r="AB77" s="11" t="s">
        <v>765</v>
      </c>
      <c r="AD77" s="3" t="s">
        <v>1069</v>
      </c>
      <c r="AE77" s="3" t="s">
        <v>1177</v>
      </c>
    </row>
    <row r="78" spans="2:31" ht="15" customHeight="1" x14ac:dyDescent="0.35">
      <c r="R78" s="9" t="s">
        <v>967</v>
      </c>
      <c r="S78" s="11" t="s">
        <v>293</v>
      </c>
      <c r="U78" s="9" t="s">
        <v>979</v>
      </c>
      <c r="V78" s="11" t="s">
        <v>452</v>
      </c>
      <c r="X78" s="9" t="s">
        <v>989</v>
      </c>
      <c r="Y78" s="11" t="s">
        <v>610</v>
      </c>
      <c r="AA78" s="9" t="s">
        <v>995</v>
      </c>
      <c r="AB78" s="11" t="s">
        <v>766</v>
      </c>
      <c r="AD78" s="3" t="s">
        <v>1070</v>
      </c>
      <c r="AE78" s="3" t="s">
        <v>1178</v>
      </c>
    </row>
    <row r="79" spans="2:31" ht="15" customHeight="1" x14ac:dyDescent="0.35">
      <c r="R79" s="9" t="s">
        <v>968</v>
      </c>
      <c r="S79" s="11" t="s">
        <v>294</v>
      </c>
      <c r="U79" s="9" t="s">
        <v>980</v>
      </c>
      <c r="V79" s="11" t="s">
        <v>453</v>
      </c>
      <c r="X79" s="9" t="s">
        <v>990</v>
      </c>
      <c r="Y79" s="11" t="s">
        <v>611</v>
      </c>
      <c r="AA79" s="9" t="s">
        <v>997</v>
      </c>
      <c r="AB79" s="11" t="s">
        <v>767</v>
      </c>
      <c r="AD79" s="3" t="s">
        <v>1071</v>
      </c>
      <c r="AE79" s="3" t="s">
        <v>1179</v>
      </c>
    </row>
    <row r="80" spans="2:31" x14ac:dyDescent="0.35">
      <c r="F80" s="110"/>
      <c r="G80" s="94"/>
      <c r="I80" s="110"/>
      <c r="J80" s="94"/>
      <c r="L80" s="110"/>
      <c r="M80" s="94"/>
      <c r="R80" s="9" t="s">
        <v>969</v>
      </c>
      <c r="S80" s="11" t="s">
        <v>295</v>
      </c>
      <c r="U80" s="9" t="s">
        <v>981</v>
      </c>
      <c r="V80" s="11" t="s">
        <v>454</v>
      </c>
      <c r="X80" s="9" t="s">
        <v>991</v>
      </c>
      <c r="Y80" s="11" t="s">
        <v>612</v>
      </c>
      <c r="AA80" s="9" t="s">
        <v>998</v>
      </c>
      <c r="AB80" s="11" t="s">
        <v>768</v>
      </c>
      <c r="AD80" s="3" t="s">
        <v>1072</v>
      </c>
      <c r="AE80" s="3" t="s">
        <v>1180</v>
      </c>
    </row>
    <row r="81" spans="6:31" x14ac:dyDescent="0.35">
      <c r="R81" s="9" t="s">
        <v>970</v>
      </c>
      <c r="S81" s="11" t="s">
        <v>296</v>
      </c>
      <c r="U81" s="9" t="s">
        <v>982</v>
      </c>
      <c r="V81" s="11" t="s">
        <v>455</v>
      </c>
      <c r="X81" s="9" t="s">
        <v>992</v>
      </c>
      <c r="Y81" s="11" t="s">
        <v>613</v>
      </c>
      <c r="AA81" s="9" t="s">
        <v>999</v>
      </c>
      <c r="AB81" s="11" t="s">
        <v>769</v>
      </c>
      <c r="AD81" s="3" t="s">
        <v>1073</v>
      </c>
      <c r="AE81" s="3" t="s">
        <v>1181</v>
      </c>
    </row>
    <row r="82" spans="6:31" ht="15" customHeight="1" x14ac:dyDescent="0.35">
      <c r="R82" s="9" t="s">
        <v>971</v>
      </c>
      <c r="S82" s="11" t="s">
        <v>297</v>
      </c>
      <c r="U82" s="9" t="s">
        <v>983</v>
      </c>
      <c r="V82" s="11" t="s">
        <v>456</v>
      </c>
      <c r="X82" s="9" t="s">
        <v>993</v>
      </c>
      <c r="Y82" s="11" t="s">
        <v>614</v>
      </c>
      <c r="AA82" s="9" t="s">
        <v>1000</v>
      </c>
      <c r="AB82" s="11" t="s">
        <v>770</v>
      </c>
      <c r="AD82" s="3" t="s">
        <v>1074</v>
      </c>
      <c r="AE82" s="3" t="s">
        <v>1182</v>
      </c>
    </row>
    <row r="83" spans="6:31" ht="15" customHeight="1" thickBot="1" x14ac:dyDescent="0.4">
      <c r="R83" s="9" t="s">
        <v>972</v>
      </c>
      <c r="S83" s="12" t="s">
        <v>298</v>
      </c>
      <c r="U83" s="9" t="s">
        <v>984</v>
      </c>
      <c r="V83" s="12" t="s">
        <v>457</v>
      </c>
      <c r="X83" s="9" t="s">
        <v>994</v>
      </c>
      <c r="Y83" s="12" t="s">
        <v>615</v>
      </c>
      <c r="AA83" s="9" t="s">
        <v>1001</v>
      </c>
      <c r="AB83" s="11" t="s">
        <v>771</v>
      </c>
      <c r="AD83" s="3" t="s">
        <v>1075</v>
      </c>
      <c r="AE83" s="3" t="s">
        <v>1183</v>
      </c>
    </row>
    <row r="84" spans="6:31" ht="15" customHeight="1" thickBot="1" x14ac:dyDescent="0.4">
      <c r="AA84" s="9" t="s">
        <v>1002</v>
      </c>
      <c r="AB84" s="12" t="s">
        <v>772</v>
      </c>
      <c r="AD84" s="3" t="s">
        <v>1076</v>
      </c>
      <c r="AE84" s="3" t="s">
        <v>1184</v>
      </c>
    </row>
    <row r="85" spans="6:31" x14ac:dyDescent="0.35">
      <c r="R85" s="108" t="s">
        <v>299</v>
      </c>
      <c r="S85" s="109"/>
      <c r="U85" s="108" t="s">
        <v>458</v>
      </c>
      <c r="V85" s="109"/>
      <c r="X85" s="108" t="s">
        <v>616</v>
      </c>
      <c r="Y85" s="109"/>
      <c r="AD85" s="3" t="s">
        <v>1077</v>
      </c>
      <c r="AE85" s="3" t="s">
        <v>1185</v>
      </c>
    </row>
    <row r="86" spans="6:31" ht="15" customHeight="1" thickBot="1" x14ac:dyDescent="0.4">
      <c r="R86" s="9" t="s">
        <v>932</v>
      </c>
      <c r="S86" s="11" t="s">
        <v>301</v>
      </c>
      <c r="U86" s="9" t="s">
        <v>933</v>
      </c>
      <c r="V86" s="11" t="s">
        <v>459</v>
      </c>
      <c r="X86" s="9" t="s">
        <v>934</v>
      </c>
      <c r="Y86" s="11" t="s">
        <v>617</v>
      </c>
      <c r="AD86" s="3" t="s">
        <v>1078</v>
      </c>
      <c r="AE86" s="3" t="s">
        <v>1186</v>
      </c>
    </row>
    <row r="87" spans="6:31" x14ac:dyDescent="0.35">
      <c r="R87" s="9" t="s">
        <v>948</v>
      </c>
      <c r="S87" s="11" t="s">
        <v>302</v>
      </c>
      <c r="U87" s="9" t="s">
        <v>949</v>
      </c>
      <c r="V87" s="11" t="s">
        <v>460</v>
      </c>
      <c r="X87" s="9" t="s">
        <v>950</v>
      </c>
      <c r="Y87" s="11" t="s">
        <v>618</v>
      </c>
      <c r="AA87" s="108" t="s">
        <v>773</v>
      </c>
      <c r="AB87" s="109"/>
      <c r="AD87" s="3" t="s">
        <v>1079</v>
      </c>
      <c r="AE87" s="3" t="s">
        <v>1187</v>
      </c>
    </row>
    <row r="88" spans="6:31" x14ac:dyDescent="0.35">
      <c r="R88" s="9" t="s">
        <v>959</v>
      </c>
      <c r="S88" s="11" t="s">
        <v>303</v>
      </c>
      <c r="U88" s="9" t="s">
        <v>960</v>
      </c>
      <c r="V88" s="11" t="s">
        <v>461</v>
      </c>
      <c r="X88" s="9" t="s">
        <v>961</v>
      </c>
      <c r="Y88" s="11" t="s">
        <v>619</v>
      </c>
      <c r="AA88" s="9" t="s">
        <v>935</v>
      </c>
      <c r="AB88" s="11" t="s">
        <v>774</v>
      </c>
      <c r="AD88" s="3" t="s">
        <v>1080</v>
      </c>
      <c r="AE88" s="3" t="s">
        <v>1188</v>
      </c>
    </row>
    <row r="89" spans="6:31" x14ac:dyDescent="0.35">
      <c r="R89" s="9" t="s">
        <v>964</v>
      </c>
      <c r="S89" s="11" t="s">
        <v>304</v>
      </c>
      <c r="U89" s="9" t="s">
        <v>973</v>
      </c>
      <c r="V89" s="11" t="s">
        <v>462</v>
      </c>
      <c r="X89" s="9" t="s">
        <v>974</v>
      </c>
      <c r="Y89" s="11" t="s">
        <v>620</v>
      </c>
      <c r="AA89" s="9" t="s">
        <v>951</v>
      </c>
      <c r="AB89" s="11" t="s">
        <v>775</v>
      </c>
      <c r="AD89" s="113" t="s">
        <v>800</v>
      </c>
      <c r="AE89" s="92"/>
    </row>
    <row r="90" spans="6:31" x14ac:dyDescent="0.35">
      <c r="R90" s="9" t="s">
        <v>965</v>
      </c>
      <c r="S90" s="11" t="s">
        <v>305</v>
      </c>
      <c r="U90" s="9" t="s">
        <v>977</v>
      </c>
      <c r="V90" s="11" t="s">
        <v>463</v>
      </c>
      <c r="X90" s="9" t="s">
        <v>985</v>
      </c>
      <c r="Y90" s="11" t="s">
        <v>621</v>
      </c>
      <c r="AA90" s="9" t="s">
        <v>962</v>
      </c>
      <c r="AB90" s="11" t="s">
        <v>776</v>
      </c>
    </row>
    <row r="91" spans="6:31" x14ac:dyDescent="0.35">
      <c r="R91" s="9" t="s">
        <v>966</v>
      </c>
      <c r="S91" s="11" t="s">
        <v>306</v>
      </c>
      <c r="U91" s="9" t="s">
        <v>978</v>
      </c>
      <c r="V91" s="11" t="s">
        <v>464</v>
      </c>
      <c r="X91" s="9" t="s">
        <v>988</v>
      </c>
      <c r="Y91" s="11" t="s">
        <v>622</v>
      </c>
      <c r="AA91" s="9" t="s">
        <v>975</v>
      </c>
      <c r="AB91" s="11" t="s">
        <v>777</v>
      </c>
      <c r="AD91" s="113" t="s">
        <v>900</v>
      </c>
      <c r="AE91" s="92"/>
    </row>
    <row r="92" spans="6:31" ht="15" customHeight="1" x14ac:dyDescent="0.35">
      <c r="R92" s="9" t="s">
        <v>967</v>
      </c>
      <c r="S92" s="11" t="s">
        <v>307</v>
      </c>
      <c r="U92" s="9" t="s">
        <v>979</v>
      </c>
      <c r="V92" s="11" t="s">
        <v>465</v>
      </c>
      <c r="X92" s="9" t="s">
        <v>989</v>
      </c>
      <c r="Y92" s="11" t="s">
        <v>623</v>
      </c>
      <c r="AA92" s="9" t="s">
        <v>986</v>
      </c>
      <c r="AB92" s="11" t="s">
        <v>778</v>
      </c>
      <c r="AD92" s="3" t="s">
        <v>1081</v>
      </c>
      <c r="AE92" s="3" t="s">
        <v>1177</v>
      </c>
    </row>
    <row r="93" spans="6:31" ht="15" customHeight="1" x14ac:dyDescent="0.35">
      <c r="R93" s="9" t="s">
        <v>968</v>
      </c>
      <c r="S93" s="11" t="s">
        <v>308</v>
      </c>
      <c r="U93" s="9" t="s">
        <v>980</v>
      </c>
      <c r="V93" s="11" t="s">
        <v>466</v>
      </c>
      <c r="X93" s="9" t="s">
        <v>990</v>
      </c>
      <c r="Y93" s="11" t="s">
        <v>624</v>
      </c>
      <c r="AA93" s="9" t="s">
        <v>995</v>
      </c>
      <c r="AB93" s="11" t="s">
        <v>779</v>
      </c>
      <c r="AD93" s="3" t="s">
        <v>1082</v>
      </c>
      <c r="AE93" s="3" t="s">
        <v>1178</v>
      </c>
    </row>
    <row r="94" spans="6:31" x14ac:dyDescent="0.35">
      <c r="F94" s="110"/>
      <c r="G94" s="94"/>
      <c r="I94" s="110"/>
      <c r="J94" s="94"/>
      <c r="L94" s="110"/>
      <c r="M94" s="94"/>
      <c r="R94" s="9" t="s">
        <v>969</v>
      </c>
      <c r="S94" s="11" t="s">
        <v>309</v>
      </c>
      <c r="U94" s="9" t="s">
        <v>981</v>
      </c>
      <c r="V94" s="11" t="s">
        <v>467</v>
      </c>
      <c r="X94" s="9" t="s">
        <v>991</v>
      </c>
      <c r="Y94" s="11" t="s">
        <v>625</v>
      </c>
      <c r="AA94" s="9" t="s">
        <v>997</v>
      </c>
      <c r="AB94" s="11" t="s">
        <v>780</v>
      </c>
      <c r="AD94" s="3" t="s">
        <v>1083</v>
      </c>
      <c r="AE94" s="3" t="s">
        <v>1179</v>
      </c>
    </row>
    <row r="95" spans="6:31" x14ac:dyDescent="0.35">
      <c r="R95" s="9" t="s">
        <v>970</v>
      </c>
      <c r="S95" s="11" t="s">
        <v>310</v>
      </c>
      <c r="U95" s="9" t="s">
        <v>982</v>
      </c>
      <c r="V95" s="11" t="s">
        <v>468</v>
      </c>
      <c r="X95" s="9" t="s">
        <v>992</v>
      </c>
      <c r="Y95" s="11" t="s">
        <v>626</v>
      </c>
      <c r="AA95" s="9" t="s">
        <v>998</v>
      </c>
      <c r="AB95" s="11" t="s">
        <v>781</v>
      </c>
      <c r="AD95" s="3" t="s">
        <v>1084</v>
      </c>
      <c r="AE95" s="3" t="s">
        <v>1180</v>
      </c>
    </row>
    <row r="96" spans="6:31" x14ac:dyDescent="0.35">
      <c r="R96" s="9" t="s">
        <v>971</v>
      </c>
      <c r="S96" s="11" t="s">
        <v>311</v>
      </c>
      <c r="U96" s="9" t="s">
        <v>983</v>
      </c>
      <c r="V96" s="11" t="s">
        <v>469</v>
      </c>
      <c r="X96" s="9" t="s">
        <v>993</v>
      </c>
      <c r="Y96" s="11" t="s">
        <v>627</v>
      </c>
      <c r="AA96" s="9" t="s">
        <v>999</v>
      </c>
      <c r="AB96" s="11" t="s">
        <v>782</v>
      </c>
      <c r="AD96" s="3" t="s">
        <v>1085</v>
      </c>
      <c r="AE96" s="3" t="s">
        <v>1181</v>
      </c>
    </row>
    <row r="97" spans="6:31" ht="15" customHeight="1" thickBot="1" x14ac:dyDescent="0.4">
      <c r="R97" s="9" t="s">
        <v>972</v>
      </c>
      <c r="S97" s="12" t="s">
        <v>312</v>
      </c>
      <c r="U97" s="9" t="s">
        <v>984</v>
      </c>
      <c r="V97" s="12" t="s">
        <v>470</v>
      </c>
      <c r="X97" s="9" t="s">
        <v>994</v>
      </c>
      <c r="Y97" s="12" t="s">
        <v>628</v>
      </c>
      <c r="AA97" s="9" t="s">
        <v>1000</v>
      </c>
      <c r="AB97" s="11" t="s">
        <v>783</v>
      </c>
      <c r="AD97" s="3" t="s">
        <v>1086</v>
      </c>
      <c r="AE97" s="3" t="s">
        <v>1182</v>
      </c>
    </row>
    <row r="98" spans="6:31" ht="15" customHeight="1" thickBot="1" x14ac:dyDescent="0.4">
      <c r="AA98" s="9" t="s">
        <v>1001</v>
      </c>
      <c r="AB98" s="11" t="s">
        <v>784</v>
      </c>
      <c r="AD98" s="3" t="s">
        <v>1087</v>
      </c>
      <c r="AE98" s="3" t="s">
        <v>1183</v>
      </c>
    </row>
    <row r="99" spans="6:31" ht="15" customHeight="1" thickBot="1" x14ac:dyDescent="0.4">
      <c r="R99" s="108" t="s">
        <v>313</v>
      </c>
      <c r="S99" s="109"/>
      <c r="U99" s="108" t="s">
        <v>471</v>
      </c>
      <c r="V99" s="109"/>
      <c r="X99" s="108" t="s">
        <v>629</v>
      </c>
      <c r="Y99" s="109"/>
      <c r="AA99" s="9" t="s">
        <v>1002</v>
      </c>
      <c r="AB99" s="12" t="s">
        <v>785</v>
      </c>
      <c r="AD99" s="3" t="s">
        <v>1088</v>
      </c>
      <c r="AE99" s="3" t="s">
        <v>1184</v>
      </c>
    </row>
    <row r="100" spans="6:31" ht="15" customHeight="1" thickBot="1" x14ac:dyDescent="0.4">
      <c r="R100" s="9" t="s">
        <v>932</v>
      </c>
      <c r="S100" s="11" t="s">
        <v>314</v>
      </c>
      <c r="U100" s="9" t="s">
        <v>933</v>
      </c>
      <c r="V100" s="11" t="s">
        <v>472</v>
      </c>
      <c r="X100" s="9" t="s">
        <v>934</v>
      </c>
      <c r="Y100" s="11" t="s">
        <v>630</v>
      </c>
      <c r="AD100" s="3" t="s">
        <v>1089</v>
      </c>
      <c r="AE100" s="3" t="s">
        <v>1185</v>
      </c>
    </row>
    <row r="101" spans="6:31" x14ac:dyDescent="0.35">
      <c r="R101" s="9" t="s">
        <v>948</v>
      </c>
      <c r="S101" s="11" t="s">
        <v>315</v>
      </c>
      <c r="U101" s="9" t="s">
        <v>949</v>
      </c>
      <c r="V101" s="11" t="s">
        <v>473</v>
      </c>
      <c r="X101" s="9" t="s">
        <v>950</v>
      </c>
      <c r="Y101" s="11" t="s">
        <v>631</v>
      </c>
      <c r="AA101" s="108" t="s">
        <v>786</v>
      </c>
      <c r="AB101" s="109"/>
      <c r="AD101" s="3" t="s">
        <v>1090</v>
      </c>
      <c r="AE101" s="3" t="s">
        <v>1186</v>
      </c>
    </row>
    <row r="102" spans="6:31" x14ac:dyDescent="0.35">
      <c r="R102" s="9" t="s">
        <v>959</v>
      </c>
      <c r="S102" s="11" t="s">
        <v>316</v>
      </c>
      <c r="U102" s="9" t="s">
        <v>960</v>
      </c>
      <c r="V102" s="11" t="s">
        <v>474</v>
      </c>
      <c r="X102" s="9" t="s">
        <v>961</v>
      </c>
      <c r="Y102" s="11" t="s">
        <v>632</v>
      </c>
      <c r="AA102" s="9" t="s">
        <v>935</v>
      </c>
      <c r="AB102" s="11" t="s">
        <v>787</v>
      </c>
      <c r="AD102" s="3" t="s">
        <v>1091</v>
      </c>
      <c r="AE102" s="3" t="s">
        <v>1187</v>
      </c>
    </row>
    <row r="103" spans="6:31" x14ac:dyDescent="0.35">
      <c r="R103" s="9" t="s">
        <v>964</v>
      </c>
      <c r="S103" s="11" t="s">
        <v>317</v>
      </c>
      <c r="U103" s="9" t="s">
        <v>973</v>
      </c>
      <c r="V103" s="11" t="s">
        <v>475</v>
      </c>
      <c r="X103" s="9" t="s">
        <v>974</v>
      </c>
      <c r="Y103" s="11" t="s">
        <v>633</v>
      </c>
      <c r="AA103" s="9" t="s">
        <v>951</v>
      </c>
      <c r="AB103" s="11" t="s">
        <v>788</v>
      </c>
      <c r="AD103" s="3" t="s">
        <v>1092</v>
      </c>
      <c r="AE103" s="3" t="s">
        <v>1188</v>
      </c>
    </row>
    <row r="104" spans="6:31" x14ac:dyDescent="0.35">
      <c r="R104" s="9" t="s">
        <v>965</v>
      </c>
      <c r="S104" s="11" t="s">
        <v>318</v>
      </c>
      <c r="U104" s="9" t="s">
        <v>977</v>
      </c>
      <c r="V104" s="11" t="s">
        <v>476</v>
      </c>
      <c r="X104" s="9" t="s">
        <v>985</v>
      </c>
      <c r="Y104" s="11" t="s">
        <v>634</v>
      </c>
      <c r="AA104" s="9" t="s">
        <v>962</v>
      </c>
      <c r="AB104" s="11" t="s">
        <v>789</v>
      </c>
      <c r="AD104" s="113" t="s">
        <v>800</v>
      </c>
      <c r="AE104" s="92"/>
    </row>
    <row r="105" spans="6:31" x14ac:dyDescent="0.35">
      <c r="R105" s="9" t="s">
        <v>966</v>
      </c>
      <c r="S105" s="11" t="s">
        <v>319</v>
      </c>
      <c r="U105" s="9" t="s">
        <v>978</v>
      </c>
      <c r="V105" s="11" t="s">
        <v>477</v>
      </c>
      <c r="X105" s="9" t="s">
        <v>988</v>
      </c>
      <c r="Y105" s="11" t="s">
        <v>635</v>
      </c>
      <c r="AA105" s="9" t="s">
        <v>975</v>
      </c>
      <c r="AB105" s="11" t="s">
        <v>790</v>
      </c>
    </row>
    <row r="106" spans="6:31" ht="15" customHeight="1" x14ac:dyDescent="0.35">
      <c r="R106" s="9" t="s">
        <v>967</v>
      </c>
      <c r="S106" s="11" t="s">
        <v>320</v>
      </c>
      <c r="U106" s="9" t="s">
        <v>979</v>
      </c>
      <c r="V106" s="11" t="s">
        <v>478</v>
      </c>
      <c r="X106" s="9" t="s">
        <v>989</v>
      </c>
      <c r="Y106" s="11" t="s">
        <v>636</v>
      </c>
      <c r="AA106" s="9" t="s">
        <v>986</v>
      </c>
      <c r="AB106" s="11" t="s">
        <v>791</v>
      </c>
      <c r="AD106" s="113" t="s">
        <v>902</v>
      </c>
      <c r="AE106" s="92"/>
    </row>
    <row r="107" spans="6:31" ht="15" customHeight="1" x14ac:dyDescent="0.35">
      <c r="R107" s="9" t="s">
        <v>968</v>
      </c>
      <c r="S107" s="11" t="s">
        <v>321</v>
      </c>
      <c r="U107" s="9" t="s">
        <v>980</v>
      </c>
      <c r="V107" s="11" t="s">
        <v>479</v>
      </c>
      <c r="X107" s="9" t="s">
        <v>990</v>
      </c>
      <c r="Y107" s="11" t="s">
        <v>637</v>
      </c>
      <c r="AA107" s="9" t="s">
        <v>995</v>
      </c>
      <c r="AB107" s="11" t="s">
        <v>792</v>
      </c>
      <c r="AD107" s="3" t="s">
        <v>1093</v>
      </c>
      <c r="AE107" s="3" t="s">
        <v>1177</v>
      </c>
    </row>
    <row r="108" spans="6:31" x14ac:dyDescent="0.35">
      <c r="F108" s="110"/>
      <c r="G108" s="94"/>
      <c r="I108" s="110"/>
      <c r="J108" s="94"/>
      <c r="L108" s="110"/>
      <c r="M108" s="94"/>
      <c r="R108" s="9" t="s">
        <v>969</v>
      </c>
      <c r="S108" s="11" t="s">
        <v>322</v>
      </c>
      <c r="U108" s="9" t="s">
        <v>981</v>
      </c>
      <c r="V108" s="11" t="s">
        <v>480</v>
      </c>
      <c r="X108" s="9" t="s">
        <v>991</v>
      </c>
      <c r="Y108" s="11" t="s">
        <v>638</v>
      </c>
      <c r="AA108" s="9" t="s">
        <v>997</v>
      </c>
      <c r="AB108" s="11" t="s">
        <v>793</v>
      </c>
      <c r="AD108" s="3" t="s">
        <v>1094</v>
      </c>
      <c r="AE108" s="3" t="s">
        <v>1178</v>
      </c>
    </row>
    <row r="109" spans="6:31" x14ac:dyDescent="0.35">
      <c r="R109" s="9" t="s">
        <v>970</v>
      </c>
      <c r="S109" s="11" t="s">
        <v>323</v>
      </c>
      <c r="U109" s="9" t="s">
        <v>982</v>
      </c>
      <c r="V109" s="11" t="s">
        <v>481</v>
      </c>
      <c r="X109" s="9" t="s">
        <v>992</v>
      </c>
      <c r="Y109" s="11" t="s">
        <v>639</v>
      </c>
      <c r="AA109" s="9" t="s">
        <v>998</v>
      </c>
      <c r="AB109" s="11" t="s">
        <v>794</v>
      </c>
      <c r="AD109" s="3" t="s">
        <v>1095</v>
      </c>
      <c r="AE109" s="3" t="s">
        <v>1179</v>
      </c>
    </row>
    <row r="110" spans="6:31" x14ac:dyDescent="0.35">
      <c r="R110" s="9" t="s">
        <v>971</v>
      </c>
      <c r="S110" s="11" t="s">
        <v>324</v>
      </c>
      <c r="U110" s="9" t="s">
        <v>983</v>
      </c>
      <c r="V110" s="11" t="s">
        <v>482</v>
      </c>
      <c r="X110" s="9" t="s">
        <v>993</v>
      </c>
      <c r="Y110" s="11" t="s">
        <v>640</v>
      </c>
      <c r="AA110" s="9" t="s">
        <v>999</v>
      </c>
      <c r="AB110" s="11" t="s">
        <v>795</v>
      </c>
      <c r="AD110" s="3" t="s">
        <v>1096</v>
      </c>
      <c r="AE110" s="3" t="s">
        <v>1180</v>
      </c>
    </row>
    <row r="111" spans="6:31" ht="15" customHeight="1" thickBot="1" x14ac:dyDescent="0.4">
      <c r="R111" s="9" t="s">
        <v>972</v>
      </c>
      <c r="S111" s="12" t="s">
        <v>325</v>
      </c>
      <c r="U111" s="9" t="s">
        <v>984</v>
      </c>
      <c r="V111" s="12" t="s">
        <v>483</v>
      </c>
      <c r="X111" s="9" t="s">
        <v>994</v>
      </c>
      <c r="Y111" s="12" t="s">
        <v>641</v>
      </c>
      <c r="AA111" s="9" t="s">
        <v>1000</v>
      </c>
      <c r="AB111" s="11" t="s">
        <v>796</v>
      </c>
      <c r="AD111" s="3" t="s">
        <v>1097</v>
      </c>
      <c r="AE111" s="3" t="s">
        <v>1181</v>
      </c>
    </row>
    <row r="112" spans="6:31" ht="15" customHeight="1" thickBot="1" x14ac:dyDescent="0.4">
      <c r="AA112" s="9" t="s">
        <v>1001</v>
      </c>
      <c r="AB112" s="11" t="s">
        <v>797</v>
      </c>
      <c r="AD112" s="3" t="s">
        <v>1098</v>
      </c>
      <c r="AE112" s="3" t="s">
        <v>1182</v>
      </c>
    </row>
    <row r="113" spans="6:31" ht="15" customHeight="1" thickBot="1" x14ac:dyDescent="0.4">
      <c r="R113" s="108" t="s">
        <v>326</v>
      </c>
      <c r="S113" s="109"/>
      <c r="U113" s="108" t="s">
        <v>484</v>
      </c>
      <c r="V113" s="109"/>
      <c r="X113" s="108" t="s">
        <v>642</v>
      </c>
      <c r="Y113" s="109"/>
      <c r="AA113" s="9" t="s">
        <v>1002</v>
      </c>
      <c r="AB113" s="12" t="s">
        <v>798</v>
      </c>
      <c r="AD113" s="3" t="s">
        <v>1099</v>
      </c>
      <c r="AE113" s="3" t="s">
        <v>1183</v>
      </c>
    </row>
    <row r="114" spans="6:31" x14ac:dyDescent="0.35">
      <c r="R114" s="9" t="s">
        <v>932</v>
      </c>
      <c r="S114" s="11" t="s">
        <v>327</v>
      </c>
      <c r="U114" s="9" t="s">
        <v>933</v>
      </c>
      <c r="V114" s="11" t="s">
        <v>486</v>
      </c>
      <c r="X114" s="9" t="s">
        <v>934</v>
      </c>
      <c r="Y114" s="11" t="s">
        <v>643</v>
      </c>
      <c r="AD114" s="3" t="s">
        <v>1100</v>
      </c>
      <c r="AE114" s="3" t="s">
        <v>1184</v>
      </c>
    </row>
    <row r="115" spans="6:31" x14ac:dyDescent="0.35">
      <c r="R115" s="9" t="s">
        <v>948</v>
      </c>
      <c r="S115" s="11" t="s">
        <v>328</v>
      </c>
      <c r="U115" s="9" t="s">
        <v>949</v>
      </c>
      <c r="V115" s="11" t="s">
        <v>487</v>
      </c>
      <c r="X115" s="9" t="s">
        <v>950</v>
      </c>
      <c r="Y115" s="11" t="s">
        <v>644</v>
      </c>
      <c r="AD115" s="3" t="s">
        <v>1101</v>
      </c>
      <c r="AE115" s="3" t="s">
        <v>1185</v>
      </c>
    </row>
    <row r="116" spans="6:31" x14ac:dyDescent="0.35">
      <c r="R116" s="9" t="s">
        <v>959</v>
      </c>
      <c r="S116" s="11" t="s">
        <v>329</v>
      </c>
      <c r="U116" s="9" t="s">
        <v>960</v>
      </c>
      <c r="V116" s="11" t="s">
        <v>488</v>
      </c>
      <c r="X116" s="9" t="s">
        <v>961</v>
      </c>
      <c r="Y116" s="11" t="s">
        <v>645</v>
      </c>
      <c r="AD116" s="3" t="s">
        <v>1102</v>
      </c>
      <c r="AE116" s="3" t="s">
        <v>1186</v>
      </c>
    </row>
    <row r="117" spans="6:31" x14ac:dyDescent="0.35">
      <c r="R117" s="9" t="s">
        <v>964</v>
      </c>
      <c r="S117" s="11" t="s">
        <v>330</v>
      </c>
      <c r="U117" s="9" t="s">
        <v>973</v>
      </c>
      <c r="V117" s="11" t="s">
        <v>489</v>
      </c>
      <c r="X117" s="9" t="s">
        <v>974</v>
      </c>
      <c r="Y117" s="11" t="s">
        <v>646</v>
      </c>
      <c r="AD117" s="3" t="s">
        <v>1103</v>
      </c>
      <c r="AE117" s="3" t="s">
        <v>1187</v>
      </c>
    </row>
    <row r="118" spans="6:31" x14ac:dyDescent="0.35">
      <c r="R118" s="9" t="s">
        <v>965</v>
      </c>
      <c r="S118" s="11" t="s">
        <v>331</v>
      </c>
      <c r="U118" s="9" t="s">
        <v>977</v>
      </c>
      <c r="V118" s="11" t="s">
        <v>490</v>
      </c>
      <c r="X118" s="9" t="s">
        <v>985</v>
      </c>
      <c r="Y118" s="11" t="s">
        <v>647</v>
      </c>
      <c r="AD118" s="3" t="s">
        <v>1104</v>
      </c>
      <c r="AE118" s="3" t="s">
        <v>1188</v>
      </c>
    </row>
    <row r="119" spans="6:31" x14ac:dyDescent="0.35">
      <c r="R119" s="9" t="s">
        <v>966</v>
      </c>
      <c r="S119" s="11" t="s">
        <v>332</v>
      </c>
      <c r="U119" s="9" t="s">
        <v>978</v>
      </c>
      <c r="V119" s="11" t="s">
        <v>491</v>
      </c>
      <c r="X119" s="9" t="s">
        <v>988</v>
      </c>
      <c r="Y119" s="11" t="s">
        <v>648</v>
      </c>
      <c r="AD119" s="113" t="s">
        <v>800</v>
      </c>
      <c r="AE119" s="92"/>
    </row>
    <row r="120" spans="6:31" ht="15" customHeight="1" x14ac:dyDescent="0.35">
      <c r="R120" s="9" t="s">
        <v>967</v>
      </c>
      <c r="S120" s="11" t="s">
        <v>333</v>
      </c>
      <c r="U120" s="9" t="s">
        <v>979</v>
      </c>
      <c r="V120" s="11" t="s">
        <v>492</v>
      </c>
      <c r="X120" s="9" t="s">
        <v>989</v>
      </c>
      <c r="Y120" s="11" t="s">
        <v>649</v>
      </c>
    </row>
    <row r="121" spans="6:31" ht="15" customHeight="1" x14ac:dyDescent="0.35">
      <c r="R121" s="9" t="s">
        <v>968</v>
      </c>
      <c r="S121" s="11" t="s">
        <v>334</v>
      </c>
      <c r="U121" s="9" t="s">
        <v>980</v>
      </c>
      <c r="V121" s="11" t="s">
        <v>493</v>
      </c>
      <c r="X121" s="9" t="s">
        <v>990</v>
      </c>
      <c r="Y121" s="11" t="s">
        <v>650</v>
      </c>
      <c r="AD121" s="113" t="s">
        <v>904</v>
      </c>
      <c r="AE121" s="92"/>
    </row>
    <row r="122" spans="6:31" x14ac:dyDescent="0.35">
      <c r="F122" s="110"/>
      <c r="G122" s="94"/>
      <c r="I122" s="110"/>
      <c r="J122" s="94"/>
      <c r="L122" s="110"/>
      <c r="M122" s="94"/>
      <c r="R122" s="9" t="s">
        <v>969</v>
      </c>
      <c r="S122" s="11" t="s">
        <v>335</v>
      </c>
      <c r="U122" s="9" t="s">
        <v>981</v>
      </c>
      <c r="V122" s="11" t="s">
        <v>494</v>
      </c>
      <c r="X122" s="9" t="s">
        <v>991</v>
      </c>
      <c r="Y122" s="11" t="s">
        <v>651</v>
      </c>
      <c r="AD122" s="3" t="s">
        <v>1105</v>
      </c>
      <c r="AE122" s="3" t="s">
        <v>1153</v>
      </c>
    </row>
    <row r="123" spans="6:31" x14ac:dyDescent="0.35">
      <c r="R123" s="9" t="s">
        <v>970</v>
      </c>
      <c r="S123" s="11" t="s">
        <v>336</v>
      </c>
      <c r="U123" s="9" t="s">
        <v>982</v>
      </c>
      <c r="V123" s="11" t="s">
        <v>495</v>
      </c>
      <c r="X123" s="9" t="s">
        <v>992</v>
      </c>
      <c r="Y123" s="11" t="s">
        <v>652</v>
      </c>
      <c r="AD123" s="3" t="s">
        <v>1106</v>
      </c>
      <c r="AE123" s="3" t="s">
        <v>1154</v>
      </c>
    </row>
    <row r="124" spans="6:31" x14ac:dyDescent="0.35">
      <c r="R124" s="9" t="s">
        <v>971</v>
      </c>
      <c r="S124" s="11" t="s">
        <v>337</v>
      </c>
      <c r="U124" s="9" t="s">
        <v>983</v>
      </c>
      <c r="V124" s="11" t="s">
        <v>496</v>
      </c>
      <c r="X124" s="9" t="s">
        <v>993</v>
      </c>
      <c r="Y124" s="11" t="s">
        <v>653</v>
      </c>
      <c r="AD124" s="3" t="s">
        <v>1107</v>
      </c>
      <c r="AE124" s="3" t="s">
        <v>1155</v>
      </c>
    </row>
    <row r="125" spans="6:31" ht="15" customHeight="1" thickBot="1" x14ac:dyDescent="0.4">
      <c r="R125" s="9" t="s">
        <v>972</v>
      </c>
      <c r="S125" s="12" t="s">
        <v>338</v>
      </c>
      <c r="U125" s="9" t="s">
        <v>984</v>
      </c>
      <c r="V125" s="12" t="s">
        <v>497</v>
      </c>
      <c r="X125" s="9" t="s">
        <v>994</v>
      </c>
      <c r="Y125" s="12" t="s">
        <v>654</v>
      </c>
      <c r="AD125" s="3" t="s">
        <v>1108</v>
      </c>
      <c r="AE125" s="3" t="s">
        <v>1156</v>
      </c>
    </row>
    <row r="126" spans="6:31" ht="15" customHeight="1" thickBot="1" x14ac:dyDescent="0.4">
      <c r="AD126" s="3" t="s">
        <v>1109</v>
      </c>
      <c r="AE126" s="3" t="s">
        <v>1157</v>
      </c>
    </row>
    <row r="127" spans="6:31" ht="15" customHeight="1" x14ac:dyDescent="0.35">
      <c r="R127" s="108" t="s">
        <v>339</v>
      </c>
      <c r="S127" s="109"/>
      <c r="U127" s="108" t="s">
        <v>498</v>
      </c>
      <c r="V127" s="109"/>
      <c r="X127" s="7" t="s">
        <v>655</v>
      </c>
      <c r="Y127" s="8"/>
      <c r="AD127" s="3" t="s">
        <v>1110</v>
      </c>
      <c r="AE127" s="3" t="s">
        <v>1158</v>
      </c>
    </row>
    <row r="128" spans="6:31" x14ac:dyDescent="0.35">
      <c r="R128" s="9" t="s">
        <v>932</v>
      </c>
      <c r="S128" s="11" t="s">
        <v>340</v>
      </c>
      <c r="U128" s="9" t="s">
        <v>933</v>
      </c>
      <c r="V128" s="11" t="s">
        <v>499</v>
      </c>
      <c r="X128" s="9" t="s">
        <v>934</v>
      </c>
      <c r="Y128" s="11" t="s">
        <v>656</v>
      </c>
      <c r="AD128" s="3" t="s">
        <v>1111</v>
      </c>
      <c r="AE128" s="3" t="s">
        <v>1159</v>
      </c>
    </row>
    <row r="129" spans="6:31" x14ac:dyDescent="0.35">
      <c r="R129" s="9" t="s">
        <v>948</v>
      </c>
      <c r="S129" s="11" t="s">
        <v>341</v>
      </c>
      <c r="U129" s="9" t="s">
        <v>949</v>
      </c>
      <c r="V129" s="11" t="s">
        <v>500</v>
      </c>
      <c r="X129" s="9" t="s">
        <v>950</v>
      </c>
      <c r="Y129" s="11" t="s">
        <v>657</v>
      </c>
      <c r="AD129" s="3" t="s">
        <v>1112</v>
      </c>
      <c r="AE129" s="3" t="s">
        <v>1160</v>
      </c>
    </row>
    <row r="130" spans="6:31" x14ac:dyDescent="0.35">
      <c r="R130" s="9" t="s">
        <v>959</v>
      </c>
      <c r="S130" s="11" t="s">
        <v>342</v>
      </c>
      <c r="U130" s="9" t="s">
        <v>960</v>
      </c>
      <c r="V130" s="11" t="s">
        <v>501</v>
      </c>
      <c r="X130" s="9" t="s">
        <v>961</v>
      </c>
      <c r="Y130" s="11" t="s">
        <v>658</v>
      </c>
      <c r="AD130" s="3" t="s">
        <v>1113</v>
      </c>
      <c r="AE130" s="3" t="s">
        <v>1161</v>
      </c>
    </row>
    <row r="131" spans="6:31" x14ac:dyDescent="0.35">
      <c r="R131" s="9" t="s">
        <v>964</v>
      </c>
      <c r="S131" s="11" t="s">
        <v>343</v>
      </c>
      <c r="U131" s="9" t="s">
        <v>973</v>
      </c>
      <c r="V131" s="11" t="s">
        <v>502</v>
      </c>
      <c r="X131" s="9" t="s">
        <v>974</v>
      </c>
      <c r="Y131" s="11" t="s">
        <v>659</v>
      </c>
      <c r="AD131" s="3" t="s">
        <v>1114</v>
      </c>
      <c r="AE131" s="3" t="s">
        <v>1162</v>
      </c>
    </row>
    <row r="132" spans="6:31" x14ac:dyDescent="0.35">
      <c r="R132" s="9" t="s">
        <v>965</v>
      </c>
      <c r="S132" s="11" t="s">
        <v>344</v>
      </c>
      <c r="U132" s="9" t="s">
        <v>977</v>
      </c>
      <c r="V132" s="11" t="s">
        <v>503</v>
      </c>
      <c r="X132" s="9" t="s">
        <v>985</v>
      </c>
      <c r="Y132" s="11" t="s">
        <v>660</v>
      </c>
      <c r="AD132" s="3" t="s">
        <v>1115</v>
      </c>
      <c r="AE132" s="3" t="s">
        <v>1163</v>
      </c>
    </row>
    <row r="133" spans="6:31" x14ac:dyDescent="0.35">
      <c r="R133" s="9" t="s">
        <v>966</v>
      </c>
      <c r="S133" s="11" t="s">
        <v>345</v>
      </c>
      <c r="U133" s="9" t="s">
        <v>978</v>
      </c>
      <c r="V133" s="11" t="s">
        <v>504</v>
      </c>
      <c r="X133" s="9" t="s">
        <v>988</v>
      </c>
      <c r="Y133" s="11" t="s">
        <v>661</v>
      </c>
      <c r="AD133" s="3" t="s">
        <v>1116</v>
      </c>
      <c r="AE133" s="3" t="s">
        <v>1164</v>
      </c>
    </row>
    <row r="134" spans="6:31" ht="15" customHeight="1" x14ac:dyDescent="0.35">
      <c r="R134" s="9" t="s">
        <v>967</v>
      </c>
      <c r="S134" s="11" t="s">
        <v>346</v>
      </c>
      <c r="U134" s="9" t="s">
        <v>979</v>
      </c>
      <c r="V134" s="11" t="s">
        <v>505</v>
      </c>
      <c r="X134" s="9" t="s">
        <v>989</v>
      </c>
      <c r="Y134" s="11" t="s">
        <v>662</v>
      </c>
      <c r="AD134" s="113" t="s">
        <v>800</v>
      </c>
      <c r="AE134" s="92"/>
    </row>
    <row r="135" spans="6:31" ht="15" customHeight="1" x14ac:dyDescent="0.35">
      <c r="R135" s="9" t="s">
        <v>968</v>
      </c>
      <c r="S135" s="11" t="s">
        <v>347</v>
      </c>
      <c r="U135" s="9" t="s">
        <v>980</v>
      </c>
      <c r="V135" s="11" t="s">
        <v>506</v>
      </c>
      <c r="X135" s="9" t="s">
        <v>990</v>
      </c>
      <c r="Y135" s="11" t="s">
        <v>663</v>
      </c>
    </row>
    <row r="136" spans="6:31" x14ac:dyDescent="0.35">
      <c r="F136" s="110"/>
      <c r="G136" s="94"/>
      <c r="I136" s="110"/>
      <c r="J136" s="94"/>
      <c r="L136" s="110"/>
      <c r="M136" s="94"/>
      <c r="R136" s="9" t="s">
        <v>969</v>
      </c>
      <c r="S136" s="11" t="s">
        <v>348</v>
      </c>
      <c r="U136" s="9" t="s">
        <v>981</v>
      </c>
      <c r="V136" s="11" t="s">
        <v>507</v>
      </c>
      <c r="X136" s="9" t="s">
        <v>991</v>
      </c>
      <c r="Y136" s="11" t="s">
        <v>664</v>
      </c>
      <c r="AD136" s="113" t="s">
        <v>906</v>
      </c>
      <c r="AE136" s="92"/>
    </row>
    <row r="137" spans="6:31" x14ac:dyDescent="0.35">
      <c r="R137" s="9" t="s">
        <v>970</v>
      </c>
      <c r="S137" s="11" t="s">
        <v>349</v>
      </c>
      <c r="U137" s="9" t="s">
        <v>982</v>
      </c>
      <c r="V137" s="11" t="s">
        <v>508</v>
      </c>
      <c r="X137" s="9" t="s">
        <v>992</v>
      </c>
      <c r="Y137" s="11" t="s">
        <v>665</v>
      </c>
      <c r="AD137" s="3" t="s">
        <v>1117</v>
      </c>
      <c r="AE137" s="3" t="s">
        <v>1189</v>
      </c>
    </row>
    <row r="138" spans="6:31" x14ac:dyDescent="0.35">
      <c r="R138" s="9" t="s">
        <v>971</v>
      </c>
      <c r="S138" s="11" t="s">
        <v>350</v>
      </c>
      <c r="U138" s="9" t="s">
        <v>983</v>
      </c>
      <c r="V138" s="11" t="s">
        <v>509</v>
      </c>
      <c r="X138" s="9" t="s">
        <v>993</v>
      </c>
      <c r="Y138" s="11" t="s">
        <v>666</v>
      </c>
      <c r="AD138" s="3" t="s">
        <v>1118</v>
      </c>
      <c r="AE138" s="3" t="s">
        <v>1190</v>
      </c>
    </row>
    <row r="139" spans="6:31" ht="15" customHeight="1" thickBot="1" x14ac:dyDescent="0.4">
      <c r="R139" s="9" t="s">
        <v>972</v>
      </c>
      <c r="S139" s="12" t="s">
        <v>351</v>
      </c>
      <c r="U139" s="9" t="s">
        <v>984</v>
      </c>
      <c r="V139" s="12" t="s">
        <v>510</v>
      </c>
      <c r="X139" s="9" t="s">
        <v>994</v>
      </c>
      <c r="Y139" s="12" t="s">
        <v>667</v>
      </c>
      <c r="AD139" s="3" t="s">
        <v>1119</v>
      </c>
      <c r="AE139" s="3" t="s">
        <v>1191</v>
      </c>
    </row>
    <row r="140" spans="6:31" ht="15" customHeight="1" thickBot="1" x14ac:dyDescent="0.4">
      <c r="AD140" s="3" t="s">
        <v>1120</v>
      </c>
      <c r="AE140" s="3" t="s">
        <v>1192</v>
      </c>
    </row>
    <row r="141" spans="6:31" x14ac:dyDescent="0.35">
      <c r="R141" s="108" t="s">
        <v>352</v>
      </c>
      <c r="S141" s="109"/>
      <c r="U141" s="108" t="s">
        <v>511</v>
      </c>
      <c r="V141" s="109"/>
      <c r="X141" s="108" t="s">
        <v>668</v>
      </c>
      <c r="Y141" s="109"/>
      <c r="AD141" s="3" t="s">
        <v>1121</v>
      </c>
      <c r="AE141" s="3" t="s">
        <v>1193</v>
      </c>
    </row>
    <row r="142" spans="6:31" x14ac:dyDescent="0.35">
      <c r="R142" s="9" t="s">
        <v>932</v>
      </c>
      <c r="S142" s="11" t="s">
        <v>353</v>
      </c>
      <c r="U142" s="9" t="s">
        <v>933</v>
      </c>
      <c r="V142" s="11" t="s">
        <v>512</v>
      </c>
      <c r="X142" s="9" t="s">
        <v>934</v>
      </c>
      <c r="Y142" s="11" t="s">
        <v>669</v>
      </c>
      <c r="AD142" s="3" t="s">
        <v>1122</v>
      </c>
      <c r="AE142" s="3" t="s">
        <v>1194</v>
      </c>
    </row>
    <row r="143" spans="6:31" x14ac:dyDescent="0.35">
      <c r="R143" s="9" t="s">
        <v>948</v>
      </c>
      <c r="S143" s="11" t="s">
        <v>354</v>
      </c>
      <c r="U143" s="9" t="s">
        <v>949</v>
      </c>
      <c r="V143" s="11" t="s">
        <v>513</v>
      </c>
      <c r="X143" s="9" t="s">
        <v>950</v>
      </c>
      <c r="Y143" s="11" t="s">
        <v>670</v>
      </c>
      <c r="AD143" s="3" t="s">
        <v>1123</v>
      </c>
      <c r="AE143" s="3" t="s">
        <v>1195</v>
      </c>
    </row>
    <row r="144" spans="6:31" x14ac:dyDescent="0.35">
      <c r="R144" s="9" t="s">
        <v>959</v>
      </c>
      <c r="S144" s="11" t="s">
        <v>355</v>
      </c>
      <c r="U144" s="9" t="s">
        <v>960</v>
      </c>
      <c r="V144" s="11" t="s">
        <v>514</v>
      </c>
      <c r="X144" s="9" t="s">
        <v>961</v>
      </c>
      <c r="Y144" s="11" t="s">
        <v>671</v>
      </c>
      <c r="AD144" s="3" t="s">
        <v>1124</v>
      </c>
      <c r="AE144" s="3" t="s">
        <v>1196</v>
      </c>
    </row>
    <row r="145" spans="6:31" x14ac:dyDescent="0.35">
      <c r="R145" s="9" t="s">
        <v>964</v>
      </c>
      <c r="S145" s="11" t="s">
        <v>356</v>
      </c>
      <c r="U145" s="9" t="s">
        <v>973</v>
      </c>
      <c r="V145" s="11" t="s">
        <v>515</v>
      </c>
      <c r="X145" s="9" t="s">
        <v>974</v>
      </c>
      <c r="Y145" s="11" t="s">
        <v>672</v>
      </c>
      <c r="AD145" s="3" t="s">
        <v>1125</v>
      </c>
      <c r="AE145" s="3" t="s">
        <v>1197</v>
      </c>
    </row>
    <row r="146" spans="6:31" x14ac:dyDescent="0.35">
      <c r="R146" s="9" t="s">
        <v>965</v>
      </c>
      <c r="S146" s="11" t="s">
        <v>357</v>
      </c>
      <c r="U146" s="9" t="s">
        <v>977</v>
      </c>
      <c r="V146" s="11" t="s">
        <v>516</v>
      </c>
      <c r="X146" s="9" t="s">
        <v>985</v>
      </c>
      <c r="Y146" s="11" t="s">
        <v>673</v>
      </c>
      <c r="AD146" s="3" t="s">
        <v>1126</v>
      </c>
      <c r="AE146" s="3" t="s">
        <v>1198</v>
      </c>
    </row>
    <row r="147" spans="6:31" x14ac:dyDescent="0.35">
      <c r="R147" s="9" t="s">
        <v>966</v>
      </c>
      <c r="S147" s="11" t="s">
        <v>358</v>
      </c>
      <c r="U147" s="9" t="s">
        <v>978</v>
      </c>
      <c r="V147" s="11" t="s">
        <v>517</v>
      </c>
      <c r="X147" s="9" t="s">
        <v>988</v>
      </c>
      <c r="Y147" s="11" t="s">
        <v>674</v>
      </c>
      <c r="AD147" s="3" t="s">
        <v>1127</v>
      </c>
      <c r="AE147" s="3" t="s">
        <v>1199</v>
      </c>
    </row>
    <row r="148" spans="6:31" ht="15" customHeight="1" x14ac:dyDescent="0.35">
      <c r="R148" s="9" t="s">
        <v>967</v>
      </c>
      <c r="S148" s="11" t="s">
        <v>359</v>
      </c>
      <c r="U148" s="9" t="s">
        <v>979</v>
      </c>
      <c r="V148" s="11" t="s">
        <v>518</v>
      </c>
      <c r="X148" s="9" t="s">
        <v>989</v>
      </c>
      <c r="Y148" s="11" t="s">
        <v>675</v>
      </c>
      <c r="AD148" s="3" t="s">
        <v>1128</v>
      </c>
      <c r="AE148" s="3" t="s">
        <v>1200</v>
      </c>
    </row>
    <row r="149" spans="6:31" ht="15" customHeight="1" x14ac:dyDescent="0.35">
      <c r="R149" s="9" t="s">
        <v>968</v>
      </c>
      <c r="S149" s="11" t="s">
        <v>360</v>
      </c>
      <c r="U149" s="9" t="s">
        <v>980</v>
      </c>
      <c r="V149" s="11" t="s">
        <v>519</v>
      </c>
      <c r="X149" s="9" t="s">
        <v>990</v>
      </c>
      <c r="Y149" s="11" t="s">
        <v>676</v>
      </c>
      <c r="AD149" s="113" t="s">
        <v>800</v>
      </c>
      <c r="AE149" s="92"/>
    </row>
    <row r="150" spans="6:31" x14ac:dyDescent="0.35">
      <c r="F150" s="110"/>
      <c r="G150" s="94"/>
      <c r="I150" s="110"/>
      <c r="J150" s="94"/>
      <c r="R150" s="9" t="s">
        <v>969</v>
      </c>
      <c r="S150" s="11" t="s">
        <v>361</v>
      </c>
      <c r="U150" s="9" t="s">
        <v>981</v>
      </c>
      <c r="V150" s="11" t="s">
        <v>520</v>
      </c>
      <c r="X150" s="9" t="s">
        <v>991</v>
      </c>
      <c r="Y150" s="11" t="s">
        <v>677</v>
      </c>
    </row>
    <row r="151" spans="6:31" x14ac:dyDescent="0.35">
      <c r="R151" s="9" t="s">
        <v>970</v>
      </c>
      <c r="S151" s="11" t="s">
        <v>362</v>
      </c>
      <c r="U151" s="9" t="s">
        <v>982</v>
      </c>
      <c r="V151" s="11" t="s">
        <v>521</v>
      </c>
      <c r="X151" s="9" t="s">
        <v>992</v>
      </c>
      <c r="Y151" s="11" t="s">
        <v>678</v>
      </c>
      <c r="AD151" s="113" t="s">
        <v>920</v>
      </c>
      <c r="AE151" s="92"/>
    </row>
    <row r="152" spans="6:31" x14ac:dyDescent="0.35">
      <c r="R152" s="9" t="s">
        <v>971</v>
      </c>
      <c r="S152" s="11" t="s">
        <v>363</v>
      </c>
      <c r="U152" s="9" t="s">
        <v>983</v>
      </c>
      <c r="V152" s="11" t="s">
        <v>522</v>
      </c>
      <c r="X152" s="9" t="s">
        <v>993</v>
      </c>
      <c r="Y152" s="11" t="s">
        <v>679</v>
      </c>
      <c r="AD152" s="3" t="s">
        <v>1129</v>
      </c>
      <c r="AE152" s="3" t="s">
        <v>1177</v>
      </c>
    </row>
    <row r="153" spans="6:31" ht="15" customHeight="1" thickBot="1" x14ac:dyDescent="0.4">
      <c r="R153" s="9" t="s">
        <v>972</v>
      </c>
      <c r="S153" s="12" t="s">
        <v>364</v>
      </c>
      <c r="U153" s="9" t="s">
        <v>984</v>
      </c>
      <c r="V153" s="12" t="s">
        <v>523</v>
      </c>
      <c r="X153" s="9" t="s">
        <v>994</v>
      </c>
      <c r="Y153" s="12" t="s">
        <v>680</v>
      </c>
      <c r="AD153" s="3" t="s">
        <v>1130</v>
      </c>
      <c r="AE153" s="3" t="s">
        <v>1178</v>
      </c>
    </row>
    <row r="154" spans="6:31" ht="15" customHeight="1" thickBot="1" x14ac:dyDescent="0.4">
      <c r="AD154" s="3" t="s">
        <v>1131</v>
      </c>
      <c r="AE154" s="3" t="s">
        <v>1179</v>
      </c>
    </row>
    <row r="155" spans="6:31" x14ac:dyDescent="0.35">
      <c r="R155" s="108" t="s">
        <v>365</v>
      </c>
      <c r="S155" s="109"/>
      <c r="U155" s="108" t="s">
        <v>524</v>
      </c>
      <c r="V155" s="109"/>
      <c r="X155" s="108" t="s">
        <v>681</v>
      </c>
      <c r="Y155" s="109"/>
      <c r="AD155" s="3" t="s">
        <v>1132</v>
      </c>
      <c r="AE155" s="3" t="s">
        <v>1180</v>
      </c>
    </row>
    <row r="156" spans="6:31" x14ac:dyDescent="0.35">
      <c r="R156" s="9" t="s">
        <v>932</v>
      </c>
      <c r="S156" s="11" t="s">
        <v>366</v>
      </c>
      <c r="U156" s="9" t="s">
        <v>933</v>
      </c>
      <c r="V156" s="11" t="s">
        <v>525</v>
      </c>
      <c r="X156" s="9" t="s">
        <v>934</v>
      </c>
      <c r="Y156" s="11" t="s">
        <v>682</v>
      </c>
      <c r="AD156" s="3" t="s">
        <v>1133</v>
      </c>
      <c r="AE156" s="3" t="s">
        <v>1181</v>
      </c>
    </row>
    <row r="157" spans="6:31" x14ac:dyDescent="0.35">
      <c r="R157" s="9" t="s">
        <v>948</v>
      </c>
      <c r="S157" s="11" t="s">
        <v>367</v>
      </c>
      <c r="U157" s="9" t="s">
        <v>949</v>
      </c>
      <c r="V157" s="11" t="s">
        <v>526</v>
      </c>
      <c r="X157" s="9" t="s">
        <v>950</v>
      </c>
      <c r="Y157" s="11" t="s">
        <v>683</v>
      </c>
      <c r="AD157" s="3" t="s">
        <v>1134</v>
      </c>
      <c r="AE157" s="3" t="s">
        <v>1182</v>
      </c>
    </row>
    <row r="158" spans="6:31" x14ac:dyDescent="0.35">
      <c r="R158" s="9" t="s">
        <v>959</v>
      </c>
      <c r="S158" s="11" t="s">
        <v>368</v>
      </c>
      <c r="U158" s="9" t="s">
        <v>960</v>
      </c>
      <c r="V158" s="11" t="s">
        <v>527</v>
      </c>
      <c r="X158" s="9" t="s">
        <v>961</v>
      </c>
      <c r="Y158" s="11" t="s">
        <v>684</v>
      </c>
      <c r="AD158" s="3" t="s">
        <v>1135</v>
      </c>
      <c r="AE158" s="3" t="s">
        <v>1183</v>
      </c>
    </row>
    <row r="159" spans="6:31" x14ac:dyDescent="0.35">
      <c r="R159" s="9" t="s">
        <v>964</v>
      </c>
      <c r="S159" s="11" t="s">
        <v>369</v>
      </c>
      <c r="U159" s="9" t="s">
        <v>973</v>
      </c>
      <c r="V159" s="11" t="s">
        <v>528</v>
      </c>
      <c r="X159" s="9" t="s">
        <v>974</v>
      </c>
      <c r="Y159" s="11" t="s">
        <v>685</v>
      </c>
      <c r="AD159" s="3" t="s">
        <v>1136</v>
      </c>
      <c r="AE159" s="3" t="s">
        <v>1184</v>
      </c>
    </row>
    <row r="160" spans="6:31" x14ac:dyDescent="0.35">
      <c r="R160" s="9" t="s">
        <v>965</v>
      </c>
      <c r="S160" s="11" t="s">
        <v>370</v>
      </c>
      <c r="U160" s="9" t="s">
        <v>977</v>
      </c>
      <c r="V160" s="11" t="s">
        <v>529</v>
      </c>
      <c r="X160" s="9" t="s">
        <v>985</v>
      </c>
      <c r="Y160" s="11" t="s">
        <v>686</v>
      </c>
      <c r="AD160" s="3" t="s">
        <v>1137</v>
      </c>
      <c r="AE160" s="3" t="s">
        <v>1185</v>
      </c>
    </row>
    <row r="161" spans="6:31" x14ac:dyDescent="0.35">
      <c r="R161" s="9" t="s">
        <v>966</v>
      </c>
      <c r="S161" s="11" t="s">
        <v>371</v>
      </c>
      <c r="U161" s="9" t="s">
        <v>978</v>
      </c>
      <c r="V161" s="11" t="s">
        <v>530</v>
      </c>
      <c r="X161" s="9" t="s">
        <v>988</v>
      </c>
      <c r="Y161" s="11" t="s">
        <v>687</v>
      </c>
      <c r="AD161" s="3" t="s">
        <v>1138</v>
      </c>
      <c r="AE161" s="3" t="s">
        <v>1186</v>
      </c>
    </row>
    <row r="162" spans="6:31" ht="15" customHeight="1" x14ac:dyDescent="0.35">
      <c r="R162" s="9" t="s">
        <v>967</v>
      </c>
      <c r="S162" s="11" t="s">
        <v>372</v>
      </c>
      <c r="U162" s="9" t="s">
        <v>979</v>
      </c>
      <c r="V162" s="11" t="s">
        <v>531</v>
      </c>
      <c r="X162" s="9" t="s">
        <v>989</v>
      </c>
      <c r="Y162" s="11" t="s">
        <v>688</v>
      </c>
      <c r="AD162" s="3" t="s">
        <v>1139</v>
      </c>
      <c r="AE162" s="3" t="s">
        <v>1187</v>
      </c>
    </row>
    <row r="163" spans="6:31" ht="15" customHeight="1" x14ac:dyDescent="0.35">
      <c r="R163" s="9" t="s">
        <v>968</v>
      </c>
      <c r="S163" s="11" t="s">
        <v>373</v>
      </c>
      <c r="U163" s="9" t="s">
        <v>980</v>
      </c>
      <c r="V163" s="11" t="s">
        <v>532</v>
      </c>
      <c r="X163" s="9" t="s">
        <v>990</v>
      </c>
      <c r="Y163" s="11" t="s">
        <v>689</v>
      </c>
      <c r="AD163" s="3" t="s">
        <v>1140</v>
      </c>
      <c r="AE163" s="3" t="s">
        <v>1188</v>
      </c>
    </row>
    <row r="164" spans="6:31" x14ac:dyDescent="0.35">
      <c r="F164" s="110"/>
      <c r="G164" s="94"/>
      <c r="I164" s="110"/>
      <c r="J164" s="94"/>
      <c r="L164" s="110"/>
      <c r="M164" s="94"/>
      <c r="R164" s="9" t="s">
        <v>969</v>
      </c>
      <c r="S164" s="11" t="s">
        <v>374</v>
      </c>
      <c r="U164" s="9" t="s">
        <v>981</v>
      </c>
      <c r="V164" s="11" t="s">
        <v>533</v>
      </c>
      <c r="X164" s="9" t="s">
        <v>991</v>
      </c>
      <c r="Y164" s="11" t="s">
        <v>690</v>
      </c>
      <c r="AD164" s="113" t="s">
        <v>800</v>
      </c>
      <c r="AE164" s="92"/>
    </row>
    <row r="165" spans="6:31" x14ac:dyDescent="0.35">
      <c r="R165" s="9" t="s">
        <v>970</v>
      </c>
      <c r="S165" s="11" t="s">
        <v>375</v>
      </c>
      <c r="U165" s="9" t="s">
        <v>982</v>
      </c>
      <c r="V165" s="11" t="s">
        <v>534</v>
      </c>
      <c r="X165" s="9" t="s">
        <v>992</v>
      </c>
      <c r="Y165" s="11" t="s">
        <v>691</v>
      </c>
    </row>
    <row r="166" spans="6:31" x14ac:dyDescent="0.35">
      <c r="R166" s="9" t="s">
        <v>971</v>
      </c>
      <c r="S166" s="11" t="s">
        <v>376</v>
      </c>
      <c r="U166" s="9" t="s">
        <v>983</v>
      </c>
      <c r="V166" s="11" t="s">
        <v>535</v>
      </c>
      <c r="X166" s="9" t="s">
        <v>993</v>
      </c>
      <c r="Y166" s="11" t="s">
        <v>692</v>
      </c>
      <c r="AD166" s="113" t="s">
        <v>828</v>
      </c>
      <c r="AE166" s="92"/>
    </row>
    <row r="167" spans="6:31" ht="15" customHeight="1" thickBot="1" x14ac:dyDescent="0.4">
      <c r="R167" s="9" t="s">
        <v>972</v>
      </c>
      <c r="S167" s="12" t="s">
        <v>377</v>
      </c>
      <c r="U167" s="9" t="s">
        <v>984</v>
      </c>
      <c r="V167" s="12" t="s">
        <v>536</v>
      </c>
      <c r="X167" s="9" t="s">
        <v>994</v>
      </c>
      <c r="Y167" s="12" t="s">
        <v>693</v>
      </c>
      <c r="AD167" s="3" t="s">
        <v>1021</v>
      </c>
      <c r="AE167" s="3" t="s">
        <v>831</v>
      </c>
    </row>
    <row r="168" spans="6:31" x14ac:dyDescent="0.35">
      <c r="AD168" s="3" t="s">
        <v>1022</v>
      </c>
      <c r="AE168" s="3" t="s">
        <v>832</v>
      </c>
    </row>
    <row r="169" spans="6:31" x14ac:dyDescent="0.35">
      <c r="AD169" s="3" t="s">
        <v>1023</v>
      </c>
      <c r="AE169" s="3" t="s">
        <v>833</v>
      </c>
    </row>
    <row r="170" spans="6:31" x14ac:dyDescent="0.35">
      <c r="AD170" s="3" t="s">
        <v>1024</v>
      </c>
      <c r="AE170" s="3" t="s">
        <v>834</v>
      </c>
    </row>
    <row r="171" spans="6:31" x14ac:dyDescent="0.35">
      <c r="AD171" s="3" t="s">
        <v>1025</v>
      </c>
      <c r="AE171" s="3" t="s">
        <v>835</v>
      </c>
    </row>
    <row r="172" spans="6:31" x14ac:dyDescent="0.35">
      <c r="AD172" s="3" t="s">
        <v>1026</v>
      </c>
      <c r="AE172" s="3" t="s">
        <v>836</v>
      </c>
    </row>
    <row r="173" spans="6:31" x14ac:dyDescent="0.35">
      <c r="AD173" s="3" t="s">
        <v>1027</v>
      </c>
      <c r="AE173" s="3" t="s">
        <v>837</v>
      </c>
    </row>
    <row r="174" spans="6:31" x14ac:dyDescent="0.35">
      <c r="AD174" s="3" t="s">
        <v>1028</v>
      </c>
      <c r="AE174" s="3" t="s">
        <v>838</v>
      </c>
    </row>
    <row r="175" spans="6:31" x14ac:dyDescent="0.35">
      <c r="AD175" s="3" t="s">
        <v>1029</v>
      </c>
      <c r="AE175" s="3" t="s">
        <v>839</v>
      </c>
    </row>
    <row r="176" spans="6:31" ht="15" customHeight="1" x14ac:dyDescent="0.35">
      <c r="AD176" s="3" t="s">
        <v>1030</v>
      </c>
      <c r="AE176" s="3" t="s">
        <v>840</v>
      </c>
    </row>
    <row r="177" spans="6:31" ht="15" customHeight="1" x14ac:dyDescent="0.35">
      <c r="AD177" s="3" t="s">
        <v>1031</v>
      </c>
      <c r="AE177" s="3" t="s">
        <v>841</v>
      </c>
    </row>
    <row r="178" spans="6:31" x14ac:dyDescent="0.35">
      <c r="F178" s="110"/>
      <c r="G178" s="94"/>
      <c r="I178" s="110"/>
      <c r="J178" s="94"/>
      <c r="L178" s="110"/>
      <c r="M178" s="94"/>
      <c r="AD178" s="3" t="s">
        <v>1032</v>
      </c>
      <c r="AE178" s="3" t="s">
        <v>842</v>
      </c>
    </row>
    <row r="179" spans="6:31" x14ac:dyDescent="0.35">
      <c r="AD179" s="113" t="s">
        <v>1201</v>
      </c>
      <c r="AE179" s="92"/>
    </row>
    <row r="190" spans="6:31" ht="15" customHeight="1" x14ac:dyDescent="0.35"/>
  </sheetData>
  <mergeCells count="128">
    <mergeCell ref="AK3:AN3"/>
    <mergeCell ref="F52:G52"/>
    <mergeCell ref="AD91:AE91"/>
    <mergeCell ref="I38:J38"/>
    <mergeCell ref="AH1:AH5"/>
    <mergeCell ref="U29:V29"/>
    <mergeCell ref="R155:S155"/>
    <mergeCell ref="AD106:AE106"/>
    <mergeCell ref="X71:Y71"/>
    <mergeCell ref="AD179:AE179"/>
    <mergeCell ref="X113:Y113"/>
    <mergeCell ref="L52:M52"/>
    <mergeCell ref="O23:P23"/>
    <mergeCell ref="U113:V113"/>
    <mergeCell ref="L108:M108"/>
    <mergeCell ref="I178:J178"/>
    <mergeCell ref="X99:Y99"/>
    <mergeCell ref="B62:C62"/>
    <mergeCell ref="I164:J164"/>
    <mergeCell ref="AA43:AB43"/>
    <mergeCell ref="R29:S29"/>
    <mergeCell ref="B46:C46"/>
    <mergeCell ref="U99:V99"/>
    <mergeCell ref="AD29:AE29"/>
    <mergeCell ref="B70:C70"/>
    <mergeCell ref="F24:G24"/>
    <mergeCell ref="AD119:AE119"/>
    <mergeCell ref="AA101:AB101"/>
    <mergeCell ref="AD89:AE89"/>
    <mergeCell ref="F38:G38"/>
    <mergeCell ref="L178:M178"/>
    <mergeCell ref="R71:S71"/>
    <mergeCell ref="R127:S127"/>
    <mergeCell ref="R1:S1"/>
    <mergeCell ref="B54:C54"/>
    <mergeCell ref="F178:G178"/>
    <mergeCell ref="U155:V155"/>
    <mergeCell ref="R57:S57"/>
    <mergeCell ref="AD166:AE166"/>
    <mergeCell ref="O39:P39"/>
    <mergeCell ref="F164:G164"/>
    <mergeCell ref="AD1:AE1"/>
    <mergeCell ref="L24:M24"/>
    <mergeCell ref="R99:S99"/>
    <mergeCell ref="I150:J150"/>
    <mergeCell ref="X155:Y155"/>
    <mergeCell ref="U141:V141"/>
    <mergeCell ref="AD164:AE164"/>
    <mergeCell ref="AD74:AE74"/>
    <mergeCell ref="R113:S113"/>
    <mergeCell ref="R85:S85"/>
    <mergeCell ref="AD76:AE76"/>
    <mergeCell ref="X141:Y141"/>
    <mergeCell ref="O47:P47"/>
    <mergeCell ref="AQ1:AQ2"/>
    <mergeCell ref="AI1:AI5"/>
    <mergeCell ref="I24:J24"/>
    <mergeCell ref="U43:V43"/>
    <mergeCell ref="F150:G150"/>
    <mergeCell ref="L94:M94"/>
    <mergeCell ref="U71:V71"/>
    <mergeCell ref="R141:S141"/>
    <mergeCell ref="AD151:AE151"/>
    <mergeCell ref="X85:Y85"/>
    <mergeCell ref="AD61:AE61"/>
    <mergeCell ref="F136:G136"/>
    <mergeCell ref="U1:V1"/>
    <mergeCell ref="L80:M80"/>
    <mergeCell ref="AD134:AE134"/>
    <mergeCell ref="AK1:AK2"/>
    <mergeCell ref="AM1:AM2"/>
    <mergeCell ref="AO3:AR3"/>
    <mergeCell ref="U127:V127"/>
    <mergeCell ref="AA1:AB1"/>
    <mergeCell ref="AD14:AE14"/>
    <mergeCell ref="AN1:AN2"/>
    <mergeCell ref="AP1:AP2"/>
    <mergeCell ref="R15:S15"/>
    <mergeCell ref="AR1:AR2"/>
    <mergeCell ref="AJ1:AJ2"/>
    <mergeCell ref="AL1:AL2"/>
    <mergeCell ref="B24:C24"/>
    <mergeCell ref="R43:S43"/>
    <mergeCell ref="AD16:AE16"/>
    <mergeCell ref="L164:M164"/>
    <mergeCell ref="X1:Y1"/>
    <mergeCell ref="I94:J94"/>
    <mergeCell ref="U85:V85"/>
    <mergeCell ref="X43:Y43"/>
    <mergeCell ref="AD121:AE121"/>
    <mergeCell ref="I108:J108"/>
    <mergeCell ref="AA72:AB72"/>
    <mergeCell ref="I80:J80"/>
    <mergeCell ref="X57:Y57"/>
    <mergeCell ref="AD44:AE44"/>
    <mergeCell ref="AD59:AE59"/>
    <mergeCell ref="F94:G94"/>
    <mergeCell ref="O31:P31"/>
    <mergeCell ref="F66:G66"/>
    <mergeCell ref="AD149:AE149"/>
    <mergeCell ref="AO1:AO2"/>
    <mergeCell ref="AG1:AG5"/>
    <mergeCell ref="O1:P1"/>
    <mergeCell ref="L136:M136"/>
    <mergeCell ref="I122:J122"/>
    <mergeCell ref="I66:J66"/>
    <mergeCell ref="AD31:AE31"/>
    <mergeCell ref="AD46:AE46"/>
    <mergeCell ref="U57:V57"/>
    <mergeCell ref="F122:G122"/>
    <mergeCell ref="B38:C38"/>
    <mergeCell ref="L38:M38"/>
    <mergeCell ref="X15:Y15"/>
    <mergeCell ref="X29:Y29"/>
    <mergeCell ref="AD104:AE104"/>
    <mergeCell ref="L122:M122"/>
    <mergeCell ref="AD136:AE136"/>
    <mergeCell ref="I52:J52"/>
    <mergeCell ref="AA29:AB29"/>
    <mergeCell ref="U15:V15"/>
    <mergeCell ref="F108:G108"/>
    <mergeCell ref="L66:M66"/>
    <mergeCell ref="O15:P15"/>
    <mergeCell ref="I136:J136"/>
    <mergeCell ref="AA87:AB87"/>
    <mergeCell ref="AA58:AB58"/>
    <mergeCell ref="AA15:AB15"/>
    <mergeCell ref="F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workout-formula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Hassan (Nokia)</dc:creator>
  <cp:lastModifiedBy>Vikram T (EXT-Nokia)</cp:lastModifiedBy>
  <dcterms:created xsi:type="dcterms:W3CDTF">2025-06-02T09:27:04Z</dcterms:created>
  <dcterms:modified xsi:type="dcterms:W3CDTF">2025-10-19T04:32:36Z</dcterms:modified>
</cp:coreProperties>
</file>