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Machine Learning\LinearRegression\"/>
    </mc:Choice>
  </mc:AlternateContent>
  <xr:revisionPtr revIDLastSave="0" documentId="13_ncr:1_{057F444E-DB13-403A-8565-5848BF11815F}" xr6:coauthVersionLast="47" xr6:coauthVersionMax="47" xr10:uidLastSave="{00000000-0000-0000-0000-000000000000}"/>
  <bookViews>
    <workbookView xWindow="-108" yWindow="-108" windowWidth="23256" windowHeight="12456" tabRatio="554" activeTab="5" xr2:uid="{8A355237-44A4-4854-B980-8DCD4E5BA8EC}"/>
  </bookViews>
  <sheets>
    <sheet name="F TEST" sheetId="15" r:id="rId1"/>
    <sheet name="CHI TEST" sheetId="20" r:id="rId2"/>
    <sheet name="flows" sheetId="21" r:id="rId3"/>
    <sheet name="LIN REG" sheetId="22" r:id="rId4"/>
    <sheet name="SLR" sheetId="35" r:id="rId5"/>
    <sheet name="MLR" sheetId="38" r:id="rId6"/>
    <sheet name="Assumptions" sheetId="36" r:id="rId7"/>
    <sheet name="Assump simplified" sheetId="3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22" l="1"/>
  <c r="S66" i="20"/>
  <c r="S64" i="20"/>
  <c r="L48" i="22"/>
  <c r="L49" i="22"/>
  <c r="I49" i="22"/>
  <c r="I48" i="22"/>
  <c r="I59" i="22"/>
  <c r="I54" i="22"/>
  <c r="I55" i="22"/>
  <c r="I56" i="22"/>
  <c r="I57" i="22"/>
  <c r="I58" i="22"/>
  <c r="I53" i="22"/>
  <c r="H59" i="22"/>
  <c r="H54" i="22"/>
  <c r="H55" i="22"/>
  <c r="H56" i="22"/>
  <c r="H57" i="22"/>
  <c r="H58" i="22"/>
  <c r="H53" i="22"/>
  <c r="G54" i="22"/>
  <c r="G55" i="22"/>
  <c r="G56" i="22"/>
  <c r="G57" i="22"/>
  <c r="G58" i="22"/>
  <c r="G53" i="22"/>
  <c r="F54" i="22"/>
  <c r="F55" i="22"/>
  <c r="F56" i="22"/>
  <c r="F57" i="22"/>
  <c r="F58" i="22"/>
  <c r="F53" i="22"/>
  <c r="E49" i="22"/>
  <c r="E48" i="22"/>
  <c r="E117" i="15" l="1"/>
  <c r="E116" i="15"/>
  <c r="E115" i="15"/>
  <c r="M93" i="15"/>
  <c r="AB100" i="15"/>
  <c r="AC100" i="15"/>
  <c r="AD100" i="15"/>
  <c r="AE100" i="15"/>
  <c r="AF100" i="15"/>
  <c r="AB101" i="15"/>
  <c r="AC101" i="15"/>
  <c r="AD101" i="15"/>
  <c r="AE101" i="15"/>
  <c r="AF101" i="15"/>
  <c r="AB102" i="15"/>
  <c r="AC102" i="15"/>
  <c r="AD102" i="15"/>
  <c r="AE102" i="15"/>
  <c r="AF102" i="15"/>
  <c r="AB103" i="15"/>
  <c r="AC103" i="15"/>
  <c r="AD103" i="15"/>
  <c r="AE103" i="15"/>
  <c r="AF103" i="15"/>
  <c r="AB104" i="15"/>
  <c r="AC104" i="15"/>
  <c r="AD104" i="15"/>
  <c r="AE104" i="15"/>
  <c r="AF104" i="15"/>
  <c r="AB105" i="15"/>
  <c r="AC105" i="15"/>
  <c r="AD105" i="15"/>
  <c r="AE105" i="15"/>
  <c r="AF105" i="15"/>
  <c r="AB106" i="15"/>
  <c r="AC106" i="15"/>
  <c r="AD106" i="15"/>
  <c r="AE106" i="15"/>
  <c r="AF106" i="15"/>
  <c r="AB107" i="15"/>
  <c r="AC107" i="15"/>
  <c r="AD107" i="15"/>
  <c r="AE107" i="15"/>
  <c r="AF107" i="15"/>
  <c r="AB108" i="15"/>
  <c r="AC108" i="15"/>
  <c r="AD108" i="15"/>
  <c r="AE108" i="15"/>
  <c r="AF108" i="15"/>
  <c r="AA101" i="15"/>
  <c r="AA102" i="15"/>
  <c r="AA103" i="15"/>
  <c r="AA104" i="15"/>
  <c r="AA105" i="15"/>
  <c r="AA106" i="15"/>
  <c r="AA107" i="15"/>
  <c r="AA108" i="15"/>
  <c r="AA100" i="15"/>
  <c r="M92" i="15"/>
  <c r="V100" i="15"/>
  <c r="W100" i="15"/>
  <c r="X100" i="15"/>
  <c r="Y100" i="15"/>
  <c r="Z100" i="15"/>
  <c r="M109" i="15"/>
  <c r="N109" i="15"/>
  <c r="M110" i="15"/>
  <c r="N110" i="15"/>
  <c r="M94" i="15"/>
  <c r="M91" i="15"/>
  <c r="P100" i="15" s="1"/>
  <c r="Q101" i="15"/>
  <c r="R101" i="15"/>
  <c r="S101" i="15"/>
  <c r="T101" i="15"/>
  <c r="P102" i="15"/>
  <c r="Q102" i="15"/>
  <c r="S103" i="15"/>
  <c r="T103" i="15"/>
  <c r="P104" i="15"/>
  <c r="Q104" i="15"/>
  <c r="R104" i="15"/>
  <c r="S104" i="15"/>
  <c r="P106" i="15"/>
  <c r="Q106" i="15"/>
  <c r="R106" i="15"/>
  <c r="S106" i="15"/>
  <c r="T106" i="15"/>
  <c r="P107" i="15"/>
  <c r="R108" i="15"/>
  <c r="S108" i="15"/>
  <c r="T108" i="15"/>
  <c r="O101" i="15"/>
  <c r="O102" i="15"/>
  <c r="O103" i="15"/>
  <c r="L100" i="15"/>
  <c r="M100" i="15"/>
  <c r="N100" i="15"/>
  <c r="L101" i="15"/>
  <c r="M101" i="15"/>
  <c r="N101" i="15"/>
  <c r="L102" i="15"/>
  <c r="M102" i="15"/>
  <c r="N102" i="15"/>
  <c r="L103" i="15"/>
  <c r="M103" i="15"/>
  <c r="N103" i="15"/>
  <c r="L104" i="15"/>
  <c r="M104" i="15"/>
  <c r="N104" i="15"/>
  <c r="L105" i="15"/>
  <c r="M105" i="15"/>
  <c r="N105" i="15"/>
  <c r="L106" i="15"/>
  <c r="M106" i="15"/>
  <c r="N106" i="15"/>
  <c r="L107" i="15"/>
  <c r="M107" i="15"/>
  <c r="N107" i="15"/>
  <c r="L108" i="15"/>
  <c r="M108" i="15"/>
  <c r="N108" i="15"/>
  <c r="K101" i="15"/>
  <c r="K102" i="15"/>
  <c r="K103" i="15"/>
  <c r="K104" i="15"/>
  <c r="K105" i="15"/>
  <c r="K106" i="15"/>
  <c r="K107" i="15"/>
  <c r="K108" i="15"/>
  <c r="K100" i="15"/>
  <c r="J104" i="15"/>
  <c r="J105" i="15"/>
  <c r="J106" i="15"/>
  <c r="J107" i="15"/>
  <c r="J108" i="15"/>
  <c r="J103" i="15"/>
  <c r="I104" i="15"/>
  <c r="I105" i="15"/>
  <c r="I106" i="15"/>
  <c r="I107" i="15"/>
  <c r="I108" i="15"/>
  <c r="I103" i="15"/>
  <c r="D109" i="15"/>
  <c r="E109" i="15"/>
  <c r="F109" i="15"/>
  <c r="G109" i="15"/>
  <c r="H109" i="15"/>
  <c r="D110" i="15"/>
  <c r="E110" i="15"/>
  <c r="F110" i="15"/>
  <c r="G110" i="15"/>
  <c r="H110" i="15"/>
  <c r="D111" i="15"/>
  <c r="E111" i="15"/>
  <c r="F111" i="15"/>
  <c r="G111" i="15"/>
  <c r="H111" i="15"/>
  <c r="D99" i="15"/>
  <c r="E99" i="15"/>
  <c r="F99" i="15"/>
  <c r="G99" i="15"/>
  <c r="H99" i="15"/>
  <c r="C111" i="15"/>
  <c r="C110" i="15"/>
  <c r="C109" i="15"/>
  <c r="C99" i="15"/>
  <c r="P101" i="15" l="1"/>
  <c r="O108" i="15"/>
  <c r="S105" i="15"/>
  <c r="O107" i="15"/>
  <c r="T107" i="15"/>
  <c r="R105" i="15"/>
  <c r="P103" i="15"/>
  <c r="S100" i="15"/>
  <c r="T105" i="15"/>
  <c r="T100" i="15"/>
  <c r="O106" i="15"/>
  <c r="S107" i="15"/>
  <c r="Q105" i="15"/>
  <c r="T102" i="15"/>
  <c r="R100" i="15"/>
  <c r="Q108" i="15"/>
  <c r="P108" i="15"/>
  <c r="O105" i="15"/>
  <c r="R107" i="15"/>
  <c r="P105" i="15"/>
  <c r="S102" i="15"/>
  <c r="Q100" i="15"/>
  <c r="R103" i="15"/>
  <c r="Q103" i="15"/>
  <c r="O104" i="15"/>
  <c r="Q107" i="15"/>
  <c r="T104" i="15"/>
  <c r="R102" i="15"/>
  <c r="E120" i="15"/>
  <c r="I100" i="15"/>
  <c r="J100" i="15"/>
  <c r="I101" i="15"/>
  <c r="I102" i="15"/>
  <c r="J101" i="15"/>
  <c r="J102" i="15"/>
  <c r="L110" i="15" l="1"/>
  <c r="L109" i="15"/>
  <c r="I109" i="15"/>
  <c r="I110" i="15"/>
  <c r="K109" i="15"/>
  <c r="K110" i="15"/>
  <c r="J110" i="15"/>
  <c r="J109" i="15"/>
  <c r="U100" i="15" l="1"/>
  <c r="O100" i="15"/>
  <c r="P31" i="22"/>
  <c r="G116" i="15" l="1"/>
  <c r="J116" i="15" s="1"/>
  <c r="H41" i="15"/>
  <c r="G41" i="15"/>
  <c r="F41" i="15"/>
  <c r="E41" i="15"/>
  <c r="C28" i="22"/>
  <c r="B28" i="22"/>
  <c r="I41" i="15" l="1"/>
  <c r="E37" i="22"/>
  <c r="G37" i="22" s="1"/>
  <c r="E41" i="22"/>
  <c r="G41" i="22" s="1"/>
  <c r="E40" i="22"/>
  <c r="G40" i="22" s="1"/>
  <c r="E39" i="22"/>
  <c r="G39" i="22" s="1"/>
  <c r="E38" i="22"/>
  <c r="G38" i="22" s="1"/>
  <c r="F35" i="22"/>
  <c r="J35" i="22" s="1"/>
  <c r="F37" i="22"/>
  <c r="J37" i="22" s="1"/>
  <c r="F41" i="22"/>
  <c r="J41" i="22" s="1"/>
  <c r="F40" i="22"/>
  <c r="J40" i="22" s="1"/>
  <c r="F38" i="22"/>
  <c r="J38" i="22" s="1"/>
  <c r="F39" i="22"/>
  <c r="J39" i="22" s="1"/>
  <c r="L41" i="15"/>
  <c r="J41" i="15"/>
  <c r="E34" i="22"/>
  <c r="G34" i="22" s="1"/>
  <c r="E33" i="22"/>
  <c r="G33" i="22" s="1"/>
  <c r="E36" i="22"/>
  <c r="G36" i="22" s="1"/>
  <c r="F34" i="22"/>
  <c r="J34" i="22" s="1"/>
  <c r="E35" i="22"/>
  <c r="G35" i="22" s="1"/>
  <c r="F33" i="22"/>
  <c r="J33" i="22" s="1"/>
  <c r="F32" i="22"/>
  <c r="J32" i="22" s="1"/>
  <c r="E32" i="22"/>
  <c r="F36" i="22"/>
  <c r="J36" i="22" s="1"/>
  <c r="D28" i="22" l="1"/>
  <c r="I28" i="22"/>
  <c r="G32" i="22"/>
  <c r="E28" i="22" l="1"/>
  <c r="O31" i="22"/>
  <c r="F28" i="22"/>
  <c r="G28" i="22" s="1"/>
  <c r="H38" i="22" l="1"/>
  <c r="H41" i="22"/>
  <c r="H37" i="22"/>
  <c r="H40" i="22"/>
  <c r="H39" i="22"/>
  <c r="H36" i="22"/>
  <c r="L36" i="22" s="1"/>
  <c r="E26" i="22"/>
  <c r="H32" i="22"/>
  <c r="H35" i="22"/>
  <c r="L35" i="22" s="1"/>
  <c r="H33" i="22"/>
  <c r="L33" i="22" s="1"/>
  <c r="H34" i="22"/>
  <c r="L34" i="22" s="1"/>
  <c r="K36" i="22" l="1"/>
  <c r="I40" i="22"/>
  <c r="L40" i="22"/>
  <c r="K40" i="22"/>
  <c r="I36" i="22"/>
  <c r="I37" i="22"/>
  <c r="K37" i="22"/>
  <c r="L37" i="22"/>
  <c r="K39" i="22"/>
  <c r="L39" i="22"/>
  <c r="I39" i="22"/>
  <c r="I41" i="22"/>
  <c r="K41" i="22"/>
  <c r="L41" i="22"/>
  <c r="L38" i="22"/>
  <c r="I38" i="22"/>
  <c r="K38" i="22"/>
  <c r="K32" i="22"/>
  <c r="L32" i="22"/>
  <c r="I32" i="22"/>
  <c r="I34" i="22"/>
  <c r="K34" i="22"/>
  <c r="I33" i="22"/>
  <c r="K33" i="22"/>
  <c r="I35" i="22"/>
  <c r="K35" i="22"/>
  <c r="N31" i="22" l="1"/>
  <c r="Q31" i="22"/>
  <c r="L31" i="22"/>
  <c r="M37" i="22" s="1"/>
  <c r="J28" i="22"/>
  <c r="K28" i="22" s="1"/>
  <c r="L28" i="22" s="1"/>
  <c r="H28" i="22"/>
  <c r="M28" i="22" s="1"/>
  <c r="N28" i="22" s="1"/>
  <c r="M41" i="22" l="1"/>
  <c r="M39" i="22"/>
  <c r="M38" i="22"/>
  <c r="M40" i="22"/>
  <c r="M33" i="22"/>
  <c r="M35" i="22"/>
  <c r="M36" i="22"/>
  <c r="M34" i="22"/>
  <c r="M32" i="22"/>
  <c r="H60" i="20"/>
  <c r="G130" i="20"/>
  <c r="E126" i="20"/>
  <c r="F126" i="20" s="1"/>
  <c r="G126" i="20" s="1"/>
  <c r="E127" i="20"/>
  <c r="F127" i="20" s="1"/>
  <c r="G127" i="20" s="1"/>
  <c r="D127" i="20"/>
  <c r="D126" i="20"/>
  <c r="C127" i="20"/>
  <c r="C126" i="20"/>
  <c r="D128" i="20"/>
  <c r="C125" i="20"/>
  <c r="C128" i="20"/>
  <c r="C124" i="20"/>
  <c r="C123" i="20"/>
  <c r="C120" i="20"/>
  <c r="G132" i="20"/>
  <c r="G134" i="20" s="1"/>
  <c r="F115" i="20"/>
  <c r="F114" i="20"/>
  <c r="C129" i="20"/>
  <c r="B123" i="20"/>
  <c r="C122" i="20"/>
  <c r="B122" i="20"/>
  <c r="C121" i="20"/>
  <c r="B121" i="20"/>
  <c r="B120" i="20"/>
  <c r="D117" i="20"/>
  <c r="C117" i="20"/>
  <c r="F116" i="20"/>
  <c r="F113" i="20"/>
  <c r="F112" i="20"/>
  <c r="M31" i="22" l="1"/>
  <c r="F117" i="20"/>
  <c r="I112" i="20" s="1"/>
  <c r="G102" i="20"/>
  <c r="G104" i="20" s="1"/>
  <c r="C99" i="20"/>
  <c r="C98" i="20"/>
  <c r="C97" i="20"/>
  <c r="C96" i="20"/>
  <c r="C95" i="20"/>
  <c r="B95" i="20"/>
  <c r="C94" i="20"/>
  <c r="B94" i="20"/>
  <c r="C93" i="20"/>
  <c r="B93" i="20"/>
  <c r="C92" i="20"/>
  <c r="B92" i="20"/>
  <c r="C91" i="20"/>
  <c r="B91" i="20"/>
  <c r="E88" i="20"/>
  <c r="D88" i="20"/>
  <c r="C88" i="20"/>
  <c r="F86" i="20"/>
  <c r="F85" i="20"/>
  <c r="F84" i="20"/>
  <c r="G75" i="20"/>
  <c r="G77" i="20" s="1"/>
  <c r="B69" i="20"/>
  <c r="B68" i="20"/>
  <c r="B67" i="20"/>
  <c r="B70" i="20"/>
  <c r="B41" i="20"/>
  <c r="B40" i="20"/>
  <c r="B39" i="20"/>
  <c r="B38" i="20"/>
  <c r="B37" i="20"/>
  <c r="F60" i="20"/>
  <c r="C72" i="20"/>
  <c r="C71" i="20"/>
  <c r="C70" i="20"/>
  <c r="C69" i="20"/>
  <c r="C68" i="20"/>
  <c r="C67" i="20"/>
  <c r="D64" i="20"/>
  <c r="C64" i="20"/>
  <c r="F62" i="20"/>
  <c r="F61" i="20"/>
  <c r="G51" i="20"/>
  <c r="G53" i="20" s="1"/>
  <c r="C48" i="20"/>
  <c r="C47" i="20"/>
  <c r="C46" i="20"/>
  <c r="C45" i="20"/>
  <c r="C44" i="20"/>
  <c r="C43" i="20"/>
  <c r="C42" i="20"/>
  <c r="C41" i="20"/>
  <c r="C40" i="20"/>
  <c r="C39" i="20"/>
  <c r="C38" i="20"/>
  <c r="C37" i="20"/>
  <c r="D34" i="20"/>
  <c r="E34" i="20"/>
  <c r="C34" i="20"/>
  <c r="F31" i="20"/>
  <c r="F32" i="20"/>
  <c r="F33" i="20"/>
  <c r="F30" i="20"/>
  <c r="F88" i="20" l="1"/>
  <c r="H84" i="20" s="1"/>
  <c r="H115" i="20"/>
  <c r="H114" i="20"/>
  <c r="I114" i="20"/>
  <c r="I115" i="20"/>
  <c r="H116" i="20"/>
  <c r="I113" i="20"/>
  <c r="D123" i="20" s="1"/>
  <c r="E123" i="20" s="1"/>
  <c r="F123" i="20" s="1"/>
  <c r="G123" i="20" s="1"/>
  <c r="D121" i="20"/>
  <c r="E121" i="20" s="1"/>
  <c r="F121" i="20" s="1"/>
  <c r="G121" i="20" s="1"/>
  <c r="H113" i="20"/>
  <c r="H112" i="20"/>
  <c r="D120" i="20" s="1"/>
  <c r="I116" i="20"/>
  <c r="D129" i="20" s="1"/>
  <c r="E129" i="20" s="1"/>
  <c r="F129" i="20" s="1"/>
  <c r="G129" i="20" s="1"/>
  <c r="H86" i="20"/>
  <c r="H85" i="20"/>
  <c r="J85" i="20"/>
  <c r="D96" i="20" s="1"/>
  <c r="E96" i="20" s="1"/>
  <c r="F96" i="20" s="1"/>
  <c r="G96" i="20" s="1"/>
  <c r="I86" i="20"/>
  <c r="D98" i="20" s="1"/>
  <c r="E98" i="20" s="1"/>
  <c r="F98" i="20" s="1"/>
  <c r="G98" i="20" s="1"/>
  <c r="F64" i="20"/>
  <c r="F34" i="20"/>
  <c r="I30" i="20" s="1"/>
  <c r="J84" i="20" l="1"/>
  <c r="D93" i="20" s="1"/>
  <c r="E93" i="20" s="1"/>
  <c r="F93" i="20" s="1"/>
  <c r="G93" i="20" s="1"/>
  <c r="J86" i="20"/>
  <c r="D99" i="20" s="1"/>
  <c r="E99" i="20" s="1"/>
  <c r="F99" i="20" s="1"/>
  <c r="G99" i="20" s="1"/>
  <c r="I85" i="20"/>
  <c r="D95" i="20" s="1"/>
  <c r="E95" i="20" s="1"/>
  <c r="F95" i="20" s="1"/>
  <c r="G95" i="20" s="1"/>
  <c r="I84" i="20"/>
  <c r="D125" i="20"/>
  <c r="E125" i="20" s="1"/>
  <c r="F125" i="20" s="1"/>
  <c r="G125" i="20" s="1"/>
  <c r="H117" i="20"/>
  <c r="K112" i="20"/>
  <c r="E120" i="20"/>
  <c r="F120" i="20" s="1"/>
  <c r="G120" i="20" s="1"/>
  <c r="I117" i="20"/>
  <c r="D122" i="20"/>
  <c r="E122" i="20" s="1"/>
  <c r="F122" i="20" s="1"/>
  <c r="G122" i="20" s="1"/>
  <c r="K113" i="20"/>
  <c r="E128" i="20"/>
  <c r="F128" i="20" s="1"/>
  <c r="G128" i="20" s="1"/>
  <c r="K116" i="20"/>
  <c r="K114" i="20"/>
  <c r="D124" i="20"/>
  <c r="E124" i="20" s="1"/>
  <c r="F124" i="20" s="1"/>
  <c r="G124" i="20" s="1"/>
  <c r="J88" i="20"/>
  <c r="D97" i="20"/>
  <c r="E97" i="20" s="1"/>
  <c r="F97" i="20" s="1"/>
  <c r="G97" i="20" s="1"/>
  <c r="K86" i="20"/>
  <c r="H88" i="20"/>
  <c r="D91" i="20"/>
  <c r="E91" i="20" s="1"/>
  <c r="F91" i="20" s="1"/>
  <c r="G91" i="20" s="1"/>
  <c r="K84" i="20"/>
  <c r="D94" i="20"/>
  <c r="E94" i="20" s="1"/>
  <c r="F94" i="20" s="1"/>
  <c r="G94" i="20" s="1"/>
  <c r="K85" i="20"/>
  <c r="I88" i="20"/>
  <c r="D92" i="20"/>
  <c r="E92" i="20" s="1"/>
  <c r="F92" i="20" s="1"/>
  <c r="G92" i="20" s="1"/>
  <c r="H33" i="20"/>
  <c r="D67" i="20"/>
  <c r="E67" i="20" s="1"/>
  <c r="F67" i="20" s="1"/>
  <c r="G67" i="20" s="1"/>
  <c r="I62" i="20"/>
  <c r="D72" i="20" s="1"/>
  <c r="E72" i="20" s="1"/>
  <c r="F72" i="20" s="1"/>
  <c r="G72" i="20" s="1"/>
  <c r="I32" i="20"/>
  <c r="J32" i="20"/>
  <c r="D45" i="20" s="1"/>
  <c r="E45" i="20" s="1"/>
  <c r="F45" i="20" s="1"/>
  <c r="G45" i="20" s="1"/>
  <c r="I31" i="20"/>
  <c r="D41" i="20" s="1"/>
  <c r="E41" i="20" s="1"/>
  <c r="F41" i="20" s="1"/>
  <c r="G41" i="20" s="1"/>
  <c r="H62" i="20"/>
  <c r="H30" i="20"/>
  <c r="D37" i="20" s="1"/>
  <c r="E37" i="20" s="1"/>
  <c r="F37" i="20" s="1"/>
  <c r="G37" i="20" s="1"/>
  <c r="J33" i="20"/>
  <c r="D48" i="20" s="1"/>
  <c r="E48" i="20" s="1"/>
  <c r="F48" i="20" s="1"/>
  <c r="G48" i="20" s="1"/>
  <c r="I60" i="20"/>
  <c r="K60" i="20" s="1"/>
  <c r="J30" i="20"/>
  <c r="D39" i="20" s="1"/>
  <c r="E39" i="20" s="1"/>
  <c r="F39" i="20" s="1"/>
  <c r="G39" i="20" s="1"/>
  <c r="J31" i="20"/>
  <c r="D42" i="20" s="1"/>
  <c r="E42" i="20" s="1"/>
  <c r="F42" i="20" s="1"/>
  <c r="G42" i="20" s="1"/>
  <c r="H32" i="20"/>
  <c r="D43" i="20" s="1"/>
  <c r="E43" i="20" s="1"/>
  <c r="F43" i="20" s="1"/>
  <c r="G43" i="20" s="1"/>
  <c r="I61" i="20"/>
  <c r="D70" i="20" s="1"/>
  <c r="E70" i="20" s="1"/>
  <c r="F70" i="20" s="1"/>
  <c r="G70" i="20" s="1"/>
  <c r="I33" i="20"/>
  <c r="D47" i="20" s="1"/>
  <c r="E47" i="20" s="1"/>
  <c r="F47" i="20" s="1"/>
  <c r="G47" i="20" s="1"/>
  <c r="H61" i="20"/>
  <c r="H31" i="20"/>
  <c r="D40" i="20" s="1"/>
  <c r="E40" i="20" s="1"/>
  <c r="F40" i="20" s="1"/>
  <c r="G40" i="20" s="1"/>
  <c r="D38" i="20"/>
  <c r="E38" i="20" s="1"/>
  <c r="F38" i="20" s="1"/>
  <c r="G38" i="20" s="1"/>
  <c r="G135" i="20" l="1"/>
  <c r="G136" i="20" s="1"/>
  <c r="K117" i="20"/>
  <c r="K88" i="20"/>
  <c r="G100" i="20"/>
  <c r="G105" i="20" s="1"/>
  <c r="G106" i="20" s="1"/>
  <c r="D69" i="20"/>
  <c r="E69" i="20" s="1"/>
  <c r="F69" i="20" s="1"/>
  <c r="G69" i="20" s="1"/>
  <c r="K61" i="20"/>
  <c r="K62" i="20"/>
  <c r="D71" i="20"/>
  <c r="E71" i="20" s="1"/>
  <c r="F71" i="20" s="1"/>
  <c r="G71" i="20" s="1"/>
  <c r="J64" i="20"/>
  <c r="I64" i="20"/>
  <c r="D68" i="20"/>
  <c r="E68" i="20" s="1"/>
  <c r="F68" i="20" s="1"/>
  <c r="G68" i="20" s="1"/>
  <c r="H64" i="20"/>
  <c r="K33" i="20"/>
  <c r="D46" i="20"/>
  <c r="E46" i="20" s="1"/>
  <c r="F46" i="20" s="1"/>
  <c r="G46" i="20" s="1"/>
  <c r="K32" i="20"/>
  <c r="D44" i="20"/>
  <c r="E44" i="20" s="1"/>
  <c r="F44" i="20" s="1"/>
  <c r="G44" i="20" s="1"/>
  <c r="K31" i="20"/>
  <c r="I34" i="20"/>
  <c r="J34" i="20"/>
  <c r="H34" i="20"/>
  <c r="K30" i="20"/>
  <c r="K64" i="20" l="1"/>
  <c r="G73" i="20"/>
  <c r="G78" i="20" s="1"/>
  <c r="G79" i="20" s="1"/>
  <c r="K34" i="20"/>
  <c r="G49" i="20"/>
  <c r="G54" i="20" s="1"/>
  <c r="G55" i="20" s="1"/>
  <c r="F37" i="15" l="1"/>
  <c r="E37" i="15"/>
  <c r="H37" i="15"/>
  <c r="I37" i="15" l="1"/>
  <c r="G37" i="15"/>
  <c r="C75" i="15"/>
  <c r="E82" i="15"/>
  <c r="F76" i="15"/>
  <c r="E76" i="15"/>
  <c r="D76" i="15"/>
  <c r="C76" i="15"/>
  <c r="F75" i="15"/>
  <c r="E75" i="15"/>
  <c r="D75" i="15"/>
  <c r="F74" i="15"/>
  <c r="E74" i="15"/>
  <c r="D74" i="15"/>
  <c r="C74" i="15"/>
  <c r="F68" i="15"/>
  <c r="J69" i="15" s="1"/>
  <c r="E68" i="15"/>
  <c r="I69" i="15" s="1"/>
  <c r="D68" i="15"/>
  <c r="H69" i="15" s="1"/>
  <c r="C68" i="15"/>
  <c r="G69" i="15" s="1"/>
  <c r="H33" i="15"/>
  <c r="G33" i="15"/>
  <c r="F33" i="15"/>
  <c r="E33" i="15"/>
  <c r="I29" i="15"/>
  <c r="H29" i="15"/>
  <c r="G29" i="15"/>
  <c r="N28" i="15"/>
  <c r="I28" i="15"/>
  <c r="H28" i="15"/>
  <c r="G28" i="15"/>
  <c r="J28" i="15" s="1"/>
  <c r="I27" i="15"/>
  <c r="H27" i="15"/>
  <c r="G27" i="15"/>
  <c r="N26" i="15"/>
  <c r="H26" i="15"/>
  <c r="G26" i="15"/>
  <c r="F26" i="15"/>
  <c r="E26" i="15"/>
  <c r="L37" i="15" l="1"/>
  <c r="J37" i="15"/>
  <c r="E81" i="15"/>
  <c r="L29" i="15"/>
  <c r="G70" i="15"/>
  <c r="I26" i="15"/>
  <c r="L26" i="15" s="1"/>
  <c r="G71" i="15"/>
  <c r="J26" i="15"/>
  <c r="H71" i="15"/>
  <c r="L28" i="15"/>
  <c r="H70" i="15"/>
  <c r="I33" i="15"/>
  <c r="L33" i="15" s="1"/>
  <c r="G72" i="15"/>
  <c r="H72" i="15"/>
  <c r="L27" i="15"/>
  <c r="J33" i="15"/>
  <c r="G73" i="15"/>
  <c r="H73" i="15"/>
  <c r="E80" i="15"/>
  <c r="I70" i="15"/>
  <c r="I71" i="15"/>
  <c r="I72" i="15"/>
  <c r="I73" i="15"/>
  <c r="J27" i="15"/>
  <c r="J29" i="15"/>
  <c r="J70" i="15"/>
  <c r="J71" i="15"/>
  <c r="J72" i="15"/>
  <c r="J73" i="15"/>
  <c r="E85" i="15" l="1"/>
  <c r="G75" i="15"/>
  <c r="S69" i="15" s="1"/>
  <c r="I75" i="15"/>
  <c r="U69" i="15" s="1"/>
  <c r="J75" i="15"/>
  <c r="V69" i="15" s="1"/>
  <c r="I74" i="15"/>
  <c r="M60" i="15"/>
  <c r="V70" i="15"/>
  <c r="H75" i="15"/>
  <c r="T69" i="15" s="1"/>
  <c r="V72" i="15"/>
  <c r="N25" i="15"/>
  <c r="N27" i="15"/>
  <c r="J74" i="15"/>
  <c r="G74" i="15"/>
  <c r="H74" i="15"/>
  <c r="S70" i="15" l="1"/>
  <c r="S72" i="15"/>
  <c r="S73" i="15"/>
  <c r="N71" i="15"/>
  <c r="N70" i="15"/>
  <c r="V73" i="15"/>
  <c r="O69" i="15"/>
  <c r="U70" i="15"/>
  <c r="L72" i="15"/>
  <c r="V71" i="15"/>
  <c r="R69" i="15"/>
  <c r="U71" i="15"/>
  <c r="P69" i="15"/>
  <c r="S71" i="15"/>
  <c r="U72" i="15"/>
  <c r="U73" i="15"/>
  <c r="T72" i="15"/>
  <c r="T73" i="15"/>
  <c r="T71" i="15"/>
  <c r="K70" i="15"/>
  <c r="M69" i="15"/>
  <c r="K71" i="15"/>
  <c r="M72" i="15"/>
  <c r="K73" i="15"/>
  <c r="L73" i="15"/>
  <c r="K69" i="15"/>
  <c r="N69" i="15"/>
  <c r="K72" i="15"/>
  <c r="L71" i="15"/>
  <c r="M73" i="15"/>
  <c r="L69" i="15"/>
  <c r="L70" i="15"/>
  <c r="Q69" i="15"/>
  <c r="T70" i="15"/>
  <c r="N72" i="15"/>
  <c r="N73" i="15"/>
  <c r="M70" i="15"/>
  <c r="M71" i="15"/>
  <c r="G115" i="15" l="1"/>
  <c r="J115" i="15" s="1"/>
  <c r="M115" i="15" s="1"/>
  <c r="G117" i="15"/>
  <c r="M61" i="15"/>
  <c r="G80" i="15" s="1"/>
  <c r="J80" i="15" s="1"/>
  <c r="M62" i="15"/>
  <c r="G81" i="15" s="1"/>
  <c r="J81" i="15" s="1"/>
  <c r="M80" i="15" s="1"/>
  <c r="M63" i="15"/>
  <c r="G82" i="15" s="1"/>
  <c r="E121" i="15" l="1"/>
  <c r="E119" i="15"/>
  <c r="E86" i="15"/>
  <c r="E84" i="15"/>
</calcChain>
</file>

<file path=xl/sharedStrings.xml><?xml version="1.0" encoding="utf-8"?>
<sst xmlns="http://schemas.openxmlformats.org/spreadsheetml/2006/main" count="421" uniqueCount="218">
  <si>
    <t>MEDIAN</t>
  </si>
  <si>
    <t>=</t>
  </si>
  <si>
    <t>n-1</t>
  </si>
  <si>
    <t>x</t>
  </si>
  <si>
    <t>Total</t>
  </si>
  <si>
    <t>b1</t>
  </si>
  <si>
    <t>s</t>
  </si>
  <si>
    <t>F</t>
  </si>
  <si>
    <t>Sales</t>
  </si>
  <si>
    <r>
      <t>x</t>
    </r>
    <r>
      <rPr>
        <b/>
        <sz val="18"/>
        <color theme="1"/>
        <rFont val="Calibri"/>
        <family val="2"/>
      </rPr>
      <t>̅</t>
    </r>
  </si>
  <si>
    <t>dof</t>
  </si>
  <si>
    <t>HYPOTHESIS FORMATION</t>
  </si>
  <si>
    <t>Two tailed test</t>
  </si>
  <si>
    <t>tails</t>
  </si>
  <si>
    <t>F TEST</t>
  </si>
  <si>
    <r>
      <t xml:space="preserve">Fstat is </t>
    </r>
    <r>
      <rPr>
        <b/>
        <sz val="18"/>
        <color rgb="FFFF0000"/>
        <rFont val="Calibri"/>
        <family val="2"/>
        <scheme val="minor"/>
      </rPr>
      <t>checking equality</t>
    </r>
    <r>
      <rPr>
        <sz val="18"/>
        <color theme="1"/>
        <rFont val="Calibri"/>
        <family val="2"/>
        <scheme val="minor"/>
      </rPr>
      <t xml:space="preserve"> of variance of</t>
    </r>
    <r>
      <rPr>
        <b/>
        <sz val="18"/>
        <color rgb="FFFF0000"/>
        <rFont val="Calibri"/>
        <family val="2"/>
        <scheme val="minor"/>
      </rPr>
      <t xml:space="preserve"> two samples</t>
    </r>
  </si>
  <si>
    <t>n1 = sample 1 count total</t>
  </si>
  <si>
    <t>n2 = sample 2 count total</t>
  </si>
  <si>
    <t>dof is = n-1</t>
  </si>
  <si>
    <t>Machine 1</t>
  </si>
  <si>
    <t>Machine 2</t>
  </si>
  <si>
    <t>dof_num</t>
  </si>
  <si>
    <t>dof_den</t>
  </si>
  <si>
    <t>alpha</t>
  </si>
  <si>
    <t>p_value</t>
  </si>
  <si>
    <t>alpha_req</t>
  </si>
  <si>
    <r>
      <t>F</t>
    </r>
    <r>
      <rPr>
        <b/>
        <vertAlign val="subscript"/>
        <sz val="18"/>
        <color theme="1"/>
        <rFont val="Calibri"/>
        <family val="2"/>
        <scheme val="minor"/>
      </rPr>
      <t>STAT</t>
    </r>
  </si>
  <si>
    <r>
      <t>F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</si>
  <si>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r>
      <t>Var_S1</t>
    </r>
    <r>
      <rPr>
        <b/>
        <vertAlign val="superscript"/>
        <sz val="18"/>
        <color theme="1"/>
        <rFont val="Calibri"/>
        <family val="2"/>
        <scheme val="minor"/>
      </rPr>
      <t>2</t>
    </r>
  </si>
  <si>
    <r>
      <t>Var_S2</t>
    </r>
    <r>
      <rPr>
        <b/>
        <vertAlign val="superscript"/>
        <sz val="18"/>
        <color theme="1"/>
        <rFont val="Calibri"/>
        <family val="2"/>
        <scheme val="minor"/>
      </rPr>
      <t>2</t>
    </r>
  </si>
  <si>
    <t>Var is always +VE</t>
  </si>
  <si>
    <t>Pval is already multiplied by 2 in F.DIST.RT, which is one tail</t>
  </si>
  <si>
    <t>Check for alpha</t>
  </si>
  <si>
    <t>check 0.025, 0.975 as two tail</t>
  </si>
  <si>
    <t>old</t>
  </si>
  <si>
    <t>new</t>
  </si>
  <si>
    <r>
      <t>{</t>
    </r>
    <r>
      <rPr>
        <b/>
        <sz val="18"/>
        <color theme="1"/>
        <rFont val="Calibri"/>
        <family val="2"/>
        <scheme val="minor"/>
      </rPr>
      <t>1-stats.f.</t>
    </r>
    <r>
      <rPr>
        <b/>
        <sz val="18"/>
        <color rgb="FFC00000"/>
        <rFont val="Calibri"/>
        <family val="2"/>
        <scheme val="minor"/>
      </rPr>
      <t>cdf</t>
    </r>
    <r>
      <rPr>
        <b/>
        <sz val="18"/>
        <color theme="1"/>
        <rFont val="Calibri"/>
        <family val="2"/>
        <scheme val="minor"/>
      </rPr>
      <t>(f</t>
    </r>
    <r>
      <rPr>
        <b/>
        <sz val="18"/>
        <color rgb="FF7030A0"/>
        <rFont val="Calibri"/>
        <family val="2"/>
        <scheme val="minor"/>
      </rPr>
      <t>_stat</t>
    </r>
    <r>
      <rPr>
        <b/>
        <sz val="18"/>
        <color theme="1"/>
        <rFont val="Calibri"/>
        <family val="2"/>
        <scheme val="minor"/>
      </rPr>
      <t>,</t>
    </r>
    <r>
      <rPr>
        <b/>
        <sz val="18"/>
        <color rgb="FFFF0000"/>
        <rFont val="Calibri"/>
        <family val="2"/>
        <scheme val="minor"/>
      </rPr>
      <t>dofn</t>
    </r>
    <r>
      <rPr>
        <b/>
        <sz val="18"/>
        <color theme="1"/>
        <rFont val="Calibri"/>
        <family val="2"/>
        <scheme val="minor"/>
      </rPr>
      <t>,</t>
    </r>
    <r>
      <rPr>
        <b/>
        <sz val="18"/>
        <color rgb="FFFF0000"/>
        <rFont val="Calibri"/>
        <family val="2"/>
        <scheme val="minor"/>
      </rPr>
      <t>dofd</t>
    </r>
    <r>
      <rPr>
        <b/>
        <sz val="18"/>
        <color theme="1"/>
        <rFont val="Calibri"/>
        <family val="2"/>
        <scheme val="minor"/>
      </rPr>
      <t>)</t>
    </r>
    <r>
      <rPr>
        <sz val="18"/>
        <color theme="1"/>
        <rFont val="Calibri"/>
        <family val="2"/>
        <scheme val="minor"/>
      </rPr>
      <t>} - Pval is one tailed, multiply 2 for two tailed</t>
    </r>
  </si>
  <si>
    <r>
      <t xml:space="preserve">Its always </t>
    </r>
    <r>
      <rPr>
        <b/>
        <i/>
        <sz val="18"/>
        <color rgb="FFFF0000"/>
        <rFont val="Calibri"/>
        <family val="2"/>
        <scheme val="minor"/>
      </rPr>
      <t>right tail test</t>
    </r>
    <r>
      <rPr>
        <b/>
        <i/>
        <sz val="18"/>
        <color rgb="FF00B0F0"/>
        <rFont val="Calibri"/>
        <family val="2"/>
        <scheme val="minor"/>
      </rPr>
      <t>, as both variances are +VE</t>
    </r>
  </si>
  <si>
    <r>
      <t xml:space="preserve">Use </t>
    </r>
    <r>
      <rPr>
        <b/>
        <sz val="18"/>
        <color theme="1"/>
        <rFont val="Calibri"/>
        <family val="2"/>
        <scheme val="minor"/>
      </rPr>
      <t>Levenes</t>
    </r>
    <r>
      <rPr>
        <sz val="18"/>
        <color theme="1"/>
        <rFont val="Calibri"/>
        <family val="2"/>
        <scheme val="minor"/>
      </rPr>
      <t xml:space="preserve"> test for </t>
    </r>
    <r>
      <rPr>
        <b/>
        <sz val="18"/>
        <color rgb="FFFF0000"/>
        <rFont val="Calibri"/>
        <family val="2"/>
        <scheme val="minor"/>
      </rPr>
      <t>more than TWO</t>
    </r>
    <r>
      <rPr>
        <sz val="18"/>
        <color theme="1"/>
        <rFont val="Calibri"/>
        <family val="2"/>
        <scheme val="minor"/>
      </rPr>
      <t xml:space="preserve"> Samples and</t>
    </r>
  </si>
  <si>
    <t xml:space="preserve">populations normal distribution deviate mildly </t>
  </si>
  <si>
    <t>Populations are normally distributed</t>
  </si>
  <si>
    <r>
      <t xml:space="preserve">F TEST--&gt;for </t>
    </r>
    <r>
      <rPr>
        <b/>
        <sz val="18"/>
        <color theme="1"/>
        <rFont val="Calibri"/>
        <family val="2"/>
        <scheme val="minor"/>
      </rPr>
      <t>checking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equality</t>
    </r>
    <r>
      <rPr>
        <sz val="18"/>
        <color theme="1"/>
        <rFont val="Calibri"/>
        <family val="2"/>
        <scheme val="minor"/>
      </rPr>
      <t xml:space="preserve"> of </t>
    </r>
    <r>
      <rPr>
        <b/>
        <sz val="18"/>
        <color theme="1"/>
        <rFont val="Calibri"/>
        <family val="2"/>
        <scheme val="minor"/>
      </rPr>
      <t>variances</t>
    </r>
  </si>
  <si>
    <t>…..</t>
  </si>
  <si>
    <t>In Aisle</t>
  </si>
  <si>
    <t>Front</t>
  </si>
  <si>
    <t>Kiosk</t>
  </si>
  <si>
    <t>Expert</t>
  </si>
  <si>
    <t>SSA</t>
  </si>
  <si>
    <t>MSW</t>
  </si>
  <si>
    <t>SSW</t>
  </si>
  <si>
    <t>SST</t>
  </si>
  <si>
    <t>Source</t>
  </si>
  <si>
    <t>Among Groups</t>
  </si>
  <si>
    <t>Within Groups</t>
  </si>
  <si>
    <t>sum of sqaures</t>
  </si>
  <si>
    <t>mean square(variance)</t>
  </si>
  <si>
    <t>1 to n</t>
  </si>
  <si>
    <t>1 to c</t>
  </si>
  <si>
    <r>
      <rPr>
        <b/>
        <sz val="18"/>
        <color rgb="FFFF0000"/>
        <rFont val="Calibri"/>
        <family val="2"/>
        <scheme val="minor"/>
      </rPr>
      <t>c</t>
    </r>
    <r>
      <rPr>
        <sz val="18"/>
        <color theme="1"/>
        <rFont val="Calibri"/>
        <family val="2"/>
        <scheme val="minor"/>
      </rPr>
      <t xml:space="preserve"> group or columns</t>
    </r>
  </si>
  <si>
    <r>
      <rPr>
        <b/>
        <sz val="18"/>
        <color rgb="FFFF0000"/>
        <rFont val="Calibri"/>
        <family val="2"/>
        <scheme val="minor"/>
      </rPr>
      <t>n</t>
    </r>
    <r>
      <rPr>
        <sz val="18"/>
        <color theme="1"/>
        <rFont val="Calibri"/>
        <family val="2"/>
        <scheme val="minor"/>
      </rPr>
      <t xml:space="preserve"> rows</t>
    </r>
  </si>
  <si>
    <t>c1</t>
  </si>
  <si>
    <t>c2</t>
  </si>
  <si>
    <t>Modified Levene's Test</t>
  </si>
  <si>
    <t>c-1</t>
  </si>
  <si>
    <t>n-c</t>
  </si>
  <si>
    <t>SST = SSA + SSW</t>
  </si>
  <si>
    <t xml:space="preserve">Even When populations normal distribution deviate mildly </t>
  </si>
  <si>
    <t>More than TWO Samples</t>
  </si>
  <si>
    <t>(i,j)</t>
  </si>
  <si>
    <t>̅</t>
  </si>
  <si>
    <r>
      <t>SSA = Σ n</t>
    </r>
    <r>
      <rPr>
        <vertAlign val="subscript"/>
        <sz val="18"/>
        <color theme="1"/>
        <rFont val="Calibri"/>
        <family val="2"/>
        <scheme val="minor"/>
      </rPr>
      <t xml:space="preserve">j </t>
    </r>
    <r>
      <rPr>
        <sz val="18"/>
        <color theme="1"/>
        <rFont val="Calibri"/>
        <family val="2"/>
        <scheme val="minor"/>
      </rPr>
      <t>(X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j</t>
    </r>
    <r>
      <rPr>
        <sz val="18"/>
        <color theme="1"/>
        <rFont val="Calibri"/>
        <family val="2"/>
        <scheme val="minor"/>
      </rPr>
      <t xml:space="preserve"> - XG)</t>
    </r>
    <r>
      <rPr>
        <vertAlign val="superscript"/>
        <sz val="18"/>
        <color theme="1"/>
        <rFont val="Calibri"/>
        <family val="2"/>
        <scheme val="minor"/>
      </rPr>
      <t>2</t>
    </r>
  </si>
  <si>
    <r>
      <t>SST = Σ(X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- X</t>
    </r>
    <r>
      <rPr>
        <vertAlign val="subscript"/>
        <sz val="18"/>
        <color theme="1"/>
        <rFont val="Calibri"/>
        <family val="2"/>
        <scheme val="minor"/>
      </rPr>
      <t>G</t>
    </r>
    <r>
      <rPr>
        <sz val="18"/>
        <color theme="1"/>
        <rFont val="Calibri"/>
        <family val="2"/>
        <scheme val="minor"/>
      </rPr>
      <t>)</t>
    </r>
    <r>
      <rPr>
        <vertAlign val="superscript"/>
        <sz val="18"/>
        <color theme="1"/>
        <rFont val="Calibri"/>
        <family val="2"/>
        <scheme val="minor"/>
      </rPr>
      <t>2</t>
    </r>
  </si>
  <si>
    <r>
      <t>SSW = Σ(X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- X</t>
    </r>
    <r>
      <rPr>
        <vertAlign val="subscript"/>
        <sz val="18"/>
        <color theme="1"/>
        <rFont val="Calibri"/>
        <family val="2"/>
        <scheme val="minor"/>
      </rPr>
      <t>j</t>
    </r>
    <r>
      <rPr>
        <sz val="18"/>
        <color theme="1"/>
        <rFont val="Calibri"/>
        <family val="2"/>
        <scheme val="minor"/>
      </rPr>
      <t>)^2</t>
    </r>
  </si>
  <si>
    <t xml:space="preserve">MSA </t>
  </si>
  <si>
    <t>SSA/(c-1)</t>
  </si>
  <si>
    <t>SSW/(n-c)</t>
  </si>
  <si>
    <t>MSA/MSW</t>
  </si>
  <si>
    <t>Perform one way ANOVA on (x-x_med)</t>
  </si>
  <si>
    <t>var</t>
  </si>
  <si>
    <r>
      <t>F</t>
    </r>
    <r>
      <rPr>
        <vertAlign val="subscript"/>
        <sz val="18"/>
        <color theme="1"/>
        <rFont val="Calibri"/>
        <family val="2"/>
        <scheme val="minor"/>
      </rPr>
      <t>alpha</t>
    </r>
  </si>
  <si>
    <t>one tail-0.95</t>
  </si>
  <si>
    <t>two tail - 0.975</t>
  </si>
  <si>
    <t>P_value</t>
  </si>
  <si>
    <t>one tail-P_val</t>
  </si>
  <si>
    <t>two tail - P_val x 2</t>
  </si>
  <si>
    <t xml:space="preserve">AMONG GROUPS </t>
  </si>
  <si>
    <t xml:space="preserve">WITHIN GROUPS </t>
  </si>
  <si>
    <t xml:space="preserve">TOTAL  GROUPS </t>
  </si>
  <si>
    <r>
      <t>X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= (x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- 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jMEDIAN</t>
    </r>
    <r>
      <rPr>
        <sz val="18"/>
        <color theme="1"/>
        <rFont val="Calibri"/>
        <family val="2"/>
        <scheme val="minor"/>
      </rPr>
      <t>)</t>
    </r>
  </si>
  <si>
    <r>
      <t>X</t>
    </r>
    <r>
      <rPr>
        <b/>
        <sz val="18"/>
        <color theme="1"/>
        <rFont val="Calibri"/>
        <family val="2"/>
      </rPr>
      <t>̅</t>
    </r>
    <r>
      <rPr>
        <b/>
        <vertAlign val="subscript"/>
        <sz val="18"/>
        <color theme="1"/>
        <rFont val="Calibri"/>
        <family val="2"/>
        <scheme val="minor"/>
      </rPr>
      <t>j</t>
    </r>
  </si>
  <si>
    <r>
      <t>X</t>
    </r>
    <r>
      <rPr>
        <b/>
        <vertAlign val="subscript"/>
        <sz val="18"/>
        <color theme="1"/>
        <rFont val="Calibri"/>
        <family val="2"/>
        <scheme val="minor"/>
      </rPr>
      <t>G</t>
    </r>
  </si>
  <si>
    <r>
      <t>n</t>
    </r>
    <r>
      <rPr>
        <b/>
        <vertAlign val="subscript"/>
        <sz val="18"/>
        <color theme="1"/>
        <rFont val="Calibri"/>
        <family val="2"/>
        <scheme val="minor"/>
      </rPr>
      <t>j</t>
    </r>
  </si>
  <si>
    <r>
      <t>SSA = Σ n</t>
    </r>
    <r>
      <rPr>
        <vertAlign val="subscript"/>
        <sz val="18"/>
        <color theme="1"/>
        <rFont val="Calibri"/>
        <family val="2"/>
        <scheme val="minor"/>
      </rPr>
      <t xml:space="preserve">j </t>
    </r>
    <r>
      <rPr>
        <sz val="18"/>
        <color theme="1"/>
        <rFont val="Calibri"/>
        <family val="2"/>
        <scheme val="minor"/>
      </rPr>
      <t>(X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j</t>
    </r>
    <r>
      <rPr>
        <sz val="18"/>
        <color theme="1"/>
        <rFont val="Calibri"/>
        <family val="2"/>
        <scheme val="minor"/>
      </rPr>
      <t xml:space="preserve"> - X</t>
    </r>
    <r>
      <rPr>
        <vertAlign val="subscript"/>
        <sz val="18"/>
        <color theme="1"/>
        <rFont val="Calibri"/>
        <family val="2"/>
        <scheme val="minor"/>
      </rPr>
      <t>G</t>
    </r>
    <r>
      <rPr>
        <sz val="18"/>
        <color theme="1"/>
        <rFont val="Calibri"/>
        <family val="2"/>
        <scheme val="minor"/>
      </rPr>
      <t>)</t>
    </r>
    <r>
      <rPr>
        <vertAlign val="superscript"/>
        <sz val="18"/>
        <color theme="1"/>
        <rFont val="Calibri"/>
        <family val="2"/>
        <scheme val="minor"/>
      </rPr>
      <t>2</t>
    </r>
  </si>
  <si>
    <t>EXCEL - F.DIST.RT  is one tail, multiply 2 for Two tailed</t>
  </si>
  <si>
    <t>Levene</t>
  </si>
  <si>
    <t>Atlanta</t>
  </si>
  <si>
    <r>
      <rPr>
        <b/>
        <sz val="18"/>
        <color theme="1"/>
        <rFont val="Calibri"/>
        <family val="2"/>
        <scheme val="minor"/>
      </rPr>
      <t>Levenes</t>
    </r>
    <r>
      <rPr>
        <sz val="18"/>
        <color theme="1"/>
        <rFont val="Calibri"/>
        <family val="2"/>
        <scheme val="minor"/>
      </rPr>
      <t xml:space="preserve"> test  </t>
    </r>
    <r>
      <rPr>
        <b/>
        <i/>
        <sz val="18"/>
        <color theme="1"/>
        <rFont val="Calibri"/>
        <family val="2"/>
        <scheme val="minor"/>
      </rPr>
      <t>Homogenity of variance</t>
    </r>
  </si>
  <si>
    <t>sp_front</t>
  </si>
  <si>
    <t>in_aisle</t>
  </si>
  <si>
    <t>p_val</t>
  </si>
  <si>
    <t>row drop</t>
  </si>
  <si>
    <t>Houston</t>
  </si>
  <si>
    <t>Memphis</t>
  </si>
  <si>
    <t>NewYork</t>
  </si>
  <si>
    <t>CHI SQUARE TEST</t>
  </si>
  <si>
    <t xml:space="preserve">Two pop proportion </t>
  </si>
  <si>
    <t>CHI SQUARE TEST OF INDEPENDENCE</t>
  </si>
  <si>
    <t>(r-1)(c-1)</t>
  </si>
  <si>
    <t xml:space="preserve">Golden Palm </t>
  </si>
  <si>
    <t>Palm Royale</t>
  </si>
  <si>
    <t>Palm Princess</t>
  </si>
  <si>
    <t>Amenities</t>
  </si>
  <si>
    <t>Dining Options</t>
  </si>
  <si>
    <t>Quality Room</t>
  </si>
  <si>
    <t>Staff/Service Issues</t>
  </si>
  <si>
    <r>
      <rPr>
        <b/>
        <i/>
        <sz val="18"/>
        <color theme="1"/>
        <rFont val="Calibri"/>
        <family val="2"/>
        <scheme val="minor"/>
      </rPr>
      <t>fe</t>
    </r>
    <r>
      <rPr>
        <sz val="18"/>
        <color theme="1"/>
        <rFont val="Calibri"/>
        <family val="2"/>
        <scheme val="minor"/>
      </rPr>
      <t xml:space="preserve"> value for </t>
    </r>
    <r>
      <rPr>
        <b/>
        <i/>
        <sz val="18"/>
        <color theme="1"/>
        <rFont val="Calibri"/>
        <family val="2"/>
        <scheme val="minor"/>
      </rPr>
      <t>P(Amenities and Gplden Palm)</t>
    </r>
  </si>
  <si>
    <t>Contingency Table of Expected frequencies</t>
  </si>
  <si>
    <t>Contingency Table as per data</t>
  </si>
  <si>
    <t>fe</t>
  </si>
  <si>
    <t>fo</t>
  </si>
  <si>
    <t>(fo-fe)</t>
  </si>
  <si>
    <t>(fo-fe)^2</t>
  </si>
  <si>
    <t>(fo-fe)^2/fe</t>
  </si>
  <si>
    <t>chi square</t>
  </si>
  <si>
    <t>chi_crit</t>
  </si>
  <si>
    <t>H0 : NO relation b/w reason and hotel</t>
  </si>
  <si>
    <t>Ha : there is relation b/w reason and hotel</t>
  </si>
  <si>
    <t>light</t>
  </si>
  <si>
    <t>regular</t>
  </si>
  <si>
    <t>dark</t>
  </si>
  <si>
    <t>male</t>
  </si>
  <si>
    <t>female</t>
  </si>
  <si>
    <t>H0 : NO relation b/w typr and gender</t>
  </si>
  <si>
    <t>Ha : there is relation b/w typr and gender</t>
  </si>
  <si>
    <t>Tea/Coffee</t>
  </si>
  <si>
    <t>Soft Drink</t>
  </si>
  <si>
    <t>Others</t>
  </si>
  <si>
    <t>21 - 34</t>
  </si>
  <si>
    <t>35 - 55</t>
  </si>
  <si>
    <t>&gt; 55</t>
  </si>
  <si>
    <r>
      <t xml:space="preserve">H0: ALWAYS </t>
    </r>
    <r>
      <rPr>
        <b/>
        <sz val="18"/>
        <color rgb="FF00B050"/>
        <rFont val="Calibri"/>
        <family val="2"/>
        <scheme val="minor"/>
      </rPr>
      <t>INDEPENDENT</t>
    </r>
  </si>
  <si>
    <r>
      <t xml:space="preserve">Ha: </t>
    </r>
    <r>
      <rPr>
        <b/>
        <sz val="18"/>
        <color rgb="FFFF0000"/>
        <rFont val="Calibri"/>
        <family val="2"/>
        <scheme val="minor"/>
      </rPr>
      <t>NOT INDEPENDENT</t>
    </r>
  </si>
  <si>
    <t>Male</t>
  </si>
  <si>
    <t>Female</t>
  </si>
  <si>
    <r>
      <t xml:space="preserve">SIMPLE LINEAR </t>
    </r>
    <r>
      <rPr>
        <b/>
        <u/>
        <sz val="18"/>
        <color rgb="FFFF0000"/>
        <rFont val="Calibri"/>
        <family val="2"/>
        <scheme val="minor"/>
      </rPr>
      <t>REGRESSION</t>
    </r>
  </si>
  <si>
    <r>
      <rPr>
        <b/>
        <sz val="18"/>
        <color theme="1"/>
        <rFont val="Calibri"/>
        <family val="2"/>
        <scheme val="minor"/>
      </rPr>
      <t>E(y)</t>
    </r>
    <r>
      <rPr>
        <sz val="18"/>
        <color theme="1"/>
        <rFont val="Calibri"/>
        <family val="2"/>
        <scheme val="minor"/>
      </rPr>
      <t xml:space="preserve"> expected or mean value of </t>
    </r>
    <r>
      <rPr>
        <b/>
        <sz val="18"/>
        <color rgb="FFFF0000"/>
        <rFont val="Calibri"/>
        <family val="2"/>
        <scheme val="minor"/>
      </rPr>
      <t>y</t>
    </r>
  </si>
  <si>
    <r>
      <t xml:space="preserve">Simple Linear regression </t>
    </r>
    <r>
      <rPr>
        <b/>
        <sz val="18"/>
        <color rgb="FFFF0000"/>
        <rFont val="Calibri"/>
        <family val="2"/>
        <scheme val="minor"/>
      </rPr>
      <t>Equation</t>
    </r>
  </si>
  <si>
    <r>
      <t xml:space="preserve">Simple Linear regression </t>
    </r>
    <r>
      <rPr>
        <b/>
        <sz val="18"/>
        <color rgb="FFFF0000"/>
        <rFont val="Calibri"/>
        <family val="2"/>
        <scheme val="minor"/>
      </rPr>
      <t>model</t>
    </r>
  </si>
  <si>
    <r>
      <rPr>
        <sz val="18"/>
        <color theme="1"/>
        <rFont val="Bookman Old Style"/>
        <family val="1"/>
      </rPr>
      <t>β</t>
    </r>
    <r>
      <rPr>
        <sz val="18"/>
        <color theme="1"/>
        <rFont val="Calibri"/>
        <family val="2"/>
      </rPr>
      <t>0</t>
    </r>
  </si>
  <si>
    <t>β1</t>
  </si>
  <si>
    <t>Y Intercept</t>
  </si>
  <si>
    <t>Slope</t>
  </si>
  <si>
    <r>
      <rPr>
        <b/>
        <sz val="18"/>
        <color rgb="FFFF0000"/>
        <rFont val="Calibri"/>
        <family val="2"/>
        <scheme val="minor"/>
      </rPr>
      <t>Estimated</t>
    </r>
    <r>
      <rPr>
        <b/>
        <sz val="18"/>
        <color theme="1"/>
        <rFont val="Calibri"/>
        <family val="2"/>
        <scheme val="minor"/>
      </rPr>
      <t xml:space="preserve"> Simple Linear regression </t>
    </r>
    <r>
      <rPr>
        <b/>
        <sz val="18"/>
        <color rgb="FFFF0000"/>
        <rFont val="Calibri"/>
        <family val="2"/>
        <scheme val="minor"/>
      </rPr>
      <t>Equation</t>
    </r>
  </si>
  <si>
    <t>b0 and b1 are estimated values of population β0 &amp; β1</t>
  </si>
  <si>
    <r>
      <rPr>
        <b/>
        <u/>
        <sz val="18"/>
        <color rgb="FFFF0000"/>
        <rFont val="Calibri"/>
        <family val="2"/>
        <scheme val="minor"/>
      </rPr>
      <t>LEAST</t>
    </r>
    <r>
      <rPr>
        <b/>
        <u/>
        <sz val="18"/>
        <color theme="1"/>
        <rFont val="Calibri"/>
        <family val="2"/>
        <scheme val="minor"/>
      </rPr>
      <t xml:space="preserve"> SQUARES METHOD</t>
    </r>
  </si>
  <si>
    <t xml:space="preserve">The least squares method is a procedure for using sample data to </t>
  </si>
  <si>
    <t>find the estimated regression equation</t>
  </si>
  <si>
    <t>Restaurant</t>
  </si>
  <si>
    <t>Population</t>
  </si>
  <si>
    <t>i</t>
  </si>
  <si>
    <t>xi</t>
  </si>
  <si>
    <t>yi</t>
  </si>
  <si>
    <r>
      <t>y</t>
    </r>
    <r>
      <rPr>
        <vertAlign val="subscript"/>
        <sz val="18"/>
        <color theme="1"/>
        <rFont val="Calibri"/>
        <family val="2"/>
        <scheme val="minor"/>
      </rPr>
      <t>reg</t>
    </r>
  </si>
  <si>
    <t xml:space="preserve"> </t>
  </si>
  <si>
    <r>
      <t>xi - x</t>
    </r>
    <r>
      <rPr>
        <sz val="18"/>
        <color theme="1"/>
        <rFont val="Calibri"/>
        <family val="2"/>
      </rPr>
      <t>̅</t>
    </r>
  </si>
  <si>
    <r>
      <t>yi - y</t>
    </r>
    <r>
      <rPr>
        <sz val="18"/>
        <color theme="1"/>
        <rFont val="Calibri"/>
        <family val="2"/>
      </rPr>
      <t>̅</t>
    </r>
  </si>
  <si>
    <r>
      <t>(xi - x</t>
    </r>
    <r>
      <rPr>
        <sz val="18"/>
        <color theme="1"/>
        <rFont val="Calibri"/>
        <family val="2"/>
      </rPr>
      <t>̅)</t>
    </r>
    <r>
      <rPr>
        <vertAlign val="superscript"/>
        <sz val="18"/>
        <color theme="1"/>
        <rFont val="Calibri"/>
        <family val="2"/>
      </rPr>
      <t>2</t>
    </r>
  </si>
  <si>
    <t>Σ(xi - x̅) (yi - y̅ )</t>
  </si>
  <si>
    <t>b0</t>
  </si>
  <si>
    <r>
      <t>y</t>
    </r>
    <r>
      <rPr>
        <b/>
        <sz val="18"/>
        <color theme="1"/>
        <rFont val="Calibri"/>
        <family val="2"/>
      </rPr>
      <t>̅</t>
    </r>
  </si>
  <si>
    <r>
      <t>Σ(xi - x̅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</si>
  <si>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y</t>
    </r>
    <r>
      <rPr>
        <vertAlign val="subscript"/>
        <sz val="18"/>
        <color theme="1"/>
        <rFont val="Calibri"/>
        <family val="2"/>
        <scheme val="minor"/>
      </rPr>
      <t>reg</t>
    </r>
    <r>
      <rPr>
        <sz val="18"/>
        <color theme="1"/>
        <rFont val="Calibri"/>
        <family val="2"/>
        <scheme val="minor"/>
      </rPr>
      <t xml:space="preserve"> = b0 + b1x</t>
    </r>
  </si>
  <si>
    <r>
      <t>y</t>
    </r>
    <r>
      <rPr>
        <vertAlign val="subscript"/>
        <sz val="18"/>
        <color theme="1"/>
        <rFont val="Calibri"/>
        <family val="2"/>
        <scheme val="minor"/>
      </rPr>
      <t>reg</t>
    </r>
    <r>
      <rPr>
        <sz val="18"/>
        <color theme="1"/>
        <rFont val="Calibri"/>
        <family val="2"/>
        <scheme val="minor"/>
      </rPr>
      <t xml:space="preserve"> =</t>
    </r>
  </si>
  <si>
    <r>
      <t>SSE              Σ(yi - y</t>
    </r>
    <r>
      <rPr>
        <b/>
        <vertAlign val="subscript"/>
        <sz val="20"/>
        <color theme="1"/>
        <rFont val="Calibri"/>
        <family val="2"/>
        <scheme val="minor"/>
      </rPr>
      <t>reg</t>
    </r>
    <r>
      <rPr>
        <b/>
        <sz val="20"/>
        <color theme="1"/>
        <rFont val="Calibri"/>
        <family val="2"/>
        <scheme val="minor"/>
      </rPr>
      <t xml:space="preserve">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</si>
  <si>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(yi - y</t>
    </r>
    <r>
      <rPr>
        <vertAlign val="subscript"/>
        <sz val="18"/>
        <color theme="1"/>
        <rFont val="Calibri"/>
        <family val="2"/>
        <scheme val="minor"/>
      </rPr>
      <t>reg</t>
    </r>
    <r>
      <rPr>
        <sz val="18"/>
        <color theme="1"/>
        <rFont val="Calibri"/>
        <family val="2"/>
      </rPr>
      <t>)</t>
    </r>
    <r>
      <rPr>
        <vertAlign val="superscript"/>
        <sz val="18"/>
        <color theme="1"/>
        <rFont val="Calibri"/>
        <family val="2"/>
      </rPr>
      <t>2</t>
    </r>
  </si>
  <si>
    <t>actual</t>
  </si>
  <si>
    <t>reg values</t>
  </si>
  <si>
    <r>
      <t>(yi - y</t>
    </r>
    <r>
      <rPr>
        <sz val="18"/>
        <color theme="1"/>
        <rFont val="Calibri"/>
        <family val="2"/>
      </rPr>
      <t>̅)</t>
    </r>
    <r>
      <rPr>
        <vertAlign val="superscript"/>
        <sz val="18"/>
        <color theme="1"/>
        <rFont val="Calibri"/>
        <family val="2"/>
      </rPr>
      <t>2</t>
    </r>
  </si>
  <si>
    <r>
      <t>SST         Σ(yi - y</t>
    </r>
    <r>
      <rPr>
        <b/>
        <sz val="20"/>
        <color theme="1"/>
        <rFont val="Calibri"/>
        <family val="2"/>
      </rPr>
      <t>̅</t>
    </r>
    <r>
      <rPr>
        <b/>
        <sz val="20"/>
        <color theme="1"/>
        <rFont val="Calibri"/>
        <family val="2"/>
        <scheme val="minor"/>
      </rPr>
      <t xml:space="preserve">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</si>
  <si>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SSR         Σ(y</t>
    </r>
    <r>
      <rPr>
        <b/>
        <vertAlign val="subscript"/>
        <sz val="20"/>
        <color theme="1"/>
        <rFont val="Calibri"/>
        <family val="2"/>
        <scheme val="minor"/>
      </rPr>
      <t>reg</t>
    </r>
    <r>
      <rPr>
        <b/>
        <sz val="20"/>
        <color theme="1"/>
        <rFont val="Calibri"/>
        <family val="2"/>
        <scheme val="minor"/>
      </rPr>
      <t xml:space="preserve"> - y</t>
    </r>
    <r>
      <rPr>
        <b/>
        <sz val="20"/>
        <color theme="1"/>
        <rFont val="Calibri"/>
        <family val="2"/>
      </rPr>
      <t>̅</t>
    </r>
    <r>
      <rPr>
        <b/>
        <sz val="20"/>
        <color theme="1"/>
        <rFont val="Calibri"/>
        <family val="2"/>
        <scheme val="minor"/>
      </rPr>
      <t xml:space="preserve">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</si>
  <si>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(y</t>
    </r>
    <r>
      <rPr>
        <vertAlign val="subscript"/>
        <sz val="20"/>
        <color theme="1"/>
        <rFont val="Calibri"/>
        <family val="2"/>
        <scheme val="minor"/>
      </rPr>
      <t>reg</t>
    </r>
    <r>
      <rPr>
        <sz val="20"/>
        <color theme="1"/>
        <rFont val="Calibri"/>
        <family val="2"/>
        <scheme val="minor"/>
      </rPr>
      <t xml:space="preserve"> - y</t>
    </r>
    <r>
      <rPr>
        <sz val="20"/>
        <color theme="1"/>
        <rFont val="Calibri"/>
        <family val="2"/>
      </rPr>
      <t>̅</t>
    </r>
    <r>
      <rPr>
        <sz val="20"/>
        <color theme="1"/>
        <rFont val="Calibri"/>
        <family val="2"/>
        <scheme val="minor"/>
      </rPr>
      <t xml:space="preserve"> )</t>
    </r>
    <r>
      <rPr>
        <vertAlign val="superscript"/>
        <sz val="20"/>
        <color theme="1"/>
        <rFont val="Calibri"/>
        <family val="2"/>
        <scheme val="minor"/>
      </rPr>
      <t>2</t>
    </r>
  </si>
  <si>
    <t>coeff of determination</t>
  </si>
  <si>
    <r>
      <t>r</t>
    </r>
    <r>
      <rPr>
        <b/>
        <vertAlign val="superscript"/>
        <sz val="18"/>
        <color theme="1"/>
        <rFont val="Calibri"/>
        <family val="2"/>
        <scheme val="minor"/>
      </rPr>
      <t xml:space="preserve">2 </t>
    </r>
    <r>
      <rPr>
        <b/>
        <sz val="18"/>
        <color theme="1"/>
        <rFont val="Calibri"/>
        <family val="2"/>
        <scheme val="minor"/>
      </rPr>
      <t>= SSR/SST</t>
    </r>
  </si>
  <si>
    <r>
      <rPr>
        <b/>
        <sz val="18"/>
        <color theme="1"/>
        <rFont val="Calibri"/>
        <family val="2"/>
        <scheme val="minor"/>
      </rPr>
      <t>SSR</t>
    </r>
    <r>
      <rPr>
        <sz val="18"/>
        <color theme="1"/>
        <rFont val="Calibri"/>
        <family val="2"/>
        <scheme val="minor"/>
      </rPr>
      <t xml:space="preserve"> sqrd regression</t>
    </r>
  </si>
  <si>
    <r>
      <rPr>
        <b/>
        <sz val="18"/>
        <color theme="1"/>
        <rFont val="Calibri"/>
        <family val="2"/>
        <scheme val="minor"/>
      </rPr>
      <t>SST</t>
    </r>
    <r>
      <rPr>
        <sz val="18"/>
        <color theme="1"/>
        <rFont val="Calibri"/>
        <family val="2"/>
        <scheme val="minor"/>
      </rPr>
      <t xml:space="preserve"> sqrd deviation</t>
    </r>
  </si>
  <si>
    <r>
      <rPr>
        <b/>
        <sz val="18"/>
        <color theme="1"/>
        <rFont val="Calibri"/>
        <family val="2"/>
        <scheme val="minor"/>
      </rPr>
      <t>SSE</t>
    </r>
    <r>
      <rPr>
        <sz val="18"/>
        <color theme="1"/>
        <rFont val="Calibri"/>
        <family val="2"/>
        <scheme val="minor"/>
      </rPr>
      <t xml:space="preserve"> sqrd error</t>
    </r>
  </si>
  <si>
    <r>
      <t>r</t>
    </r>
    <r>
      <rPr>
        <vertAlign val="subscript"/>
        <sz val="18"/>
        <color theme="1"/>
        <rFont val="Calibri"/>
        <family val="2"/>
        <scheme val="minor"/>
      </rPr>
      <t>xy</t>
    </r>
  </si>
  <si>
    <t>correlation coeff</t>
  </si>
  <si>
    <r>
      <t>s</t>
    </r>
    <r>
      <rPr>
        <b/>
        <vertAlign val="superscript"/>
        <sz val="20"/>
        <color theme="1"/>
        <rFont val="Calibri"/>
        <family val="2"/>
        <scheme val="minor"/>
      </rPr>
      <t>2</t>
    </r>
    <r>
      <rPr>
        <b/>
        <sz val="20"/>
        <color theme="1"/>
        <rFont val="Calibri"/>
        <family val="2"/>
        <scheme val="minor"/>
      </rPr>
      <t xml:space="preserve"> = MSE</t>
    </r>
  </si>
  <si>
    <t>The mean square error (MSE) provides the estimate of s2</t>
  </si>
  <si>
    <t xml:space="preserve">SSE, the sum of squared residuals, is a measure of the variability of the actual observations about the estimated regression line. </t>
  </si>
  <si>
    <t>error</t>
  </si>
  <si>
    <t>yreg</t>
  </si>
  <si>
    <t>y</t>
  </si>
  <si>
    <t>Chicago</t>
  </si>
  <si>
    <t>Philadelphia</t>
  </si>
  <si>
    <t>w1</t>
  </si>
  <si>
    <t>x_bar</t>
  </si>
  <si>
    <t>y_bar</t>
  </si>
  <si>
    <t>cov(x,y)</t>
  </si>
  <si>
    <t>var(x)</t>
  </si>
  <si>
    <t>w0</t>
  </si>
  <si>
    <t>Reject NULL</t>
  </si>
  <si>
    <t>OLS (Direct formula) will be very difficult for higher dimensions</t>
  </si>
  <si>
    <r>
      <rPr>
        <b/>
        <sz val="11"/>
        <color rgb="FFC00000"/>
        <rFont val="Calibri"/>
        <family val="2"/>
        <scheme val="minor"/>
      </rPr>
      <t>OLS</t>
    </r>
    <r>
      <rPr>
        <b/>
        <sz val="11"/>
        <color theme="1"/>
        <rFont val="Calibri"/>
        <family val="2"/>
        <scheme val="minor"/>
      </rPr>
      <t xml:space="preserve"> --&gt; sklearn </t>
    </r>
    <r>
      <rPr>
        <b/>
        <i/>
        <sz val="11"/>
        <color rgb="FFC00000"/>
        <rFont val="Calibri"/>
        <family val="2"/>
        <scheme val="minor"/>
      </rPr>
      <t>LinearRegression</t>
    </r>
  </si>
  <si>
    <r>
      <rPr>
        <b/>
        <sz val="11"/>
        <color rgb="FFC00000"/>
        <rFont val="Calibri"/>
        <family val="2"/>
        <scheme val="minor"/>
      </rPr>
      <t>Gradient</t>
    </r>
    <r>
      <rPr>
        <b/>
        <sz val="11"/>
        <color theme="1"/>
        <rFont val="Calibri"/>
        <family val="2"/>
        <scheme val="minor"/>
      </rPr>
      <t xml:space="preserve"> descent --&gt; sklearn </t>
    </r>
    <r>
      <rPr>
        <b/>
        <i/>
        <sz val="11"/>
        <color rgb="FFC00000"/>
        <rFont val="Calibri"/>
        <family val="2"/>
        <scheme val="minor"/>
      </rPr>
      <t>SGDRegressor</t>
    </r>
  </si>
  <si>
    <t>OLS--&gt; simple linear</t>
  </si>
  <si>
    <t>coeff should be of power 1</t>
  </si>
  <si>
    <t>error is independent of X</t>
  </si>
  <si>
    <t>number of data points &gt; number of predictors</t>
  </si>
  <si>
    <t>No multicollinearity</t>
  </si>
  <si>
    <t>Residual Plots to Detect Autocorrelation</t>
  </si>
  <si>
    <r>
      <t xml:space="preserve">No </t>
    </r>
    <r>
      <rPr>
        <b/>
        <sz val="16"/>
        <color rgb="FFC00000"/>
        <rFont val="Calibri"/>
        <family val="2"/>
        <scheme val="minor"/>
      </rPr>
      <t>auto-correlation</t>
    </r>
    <r>
      <rPr>
        <b/>
        <sz val="16"/>
        <color theme="1"/>
        <rFont val="Calibri"/>
        <family val="2"/>
        <scheme val="minor"/>
      </rPr>
      <t xml:space="preserve"> between errors</t>
    </r>
  </si>
  <si>
    <r>
      <rPr>
        <b/>
        <sz val="16"/>
        <color rgb="FFC00000"/>
        <rFont val="Calibri"/>
        <family val="2"/>
        <scheme val="minor"/>
      </rPr>
      <t>mean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C00000"/>
        <rFont val="Calibri"/>
        <family val="2"/>
        <scheme val="minor"/>
      </rPr>
      <t>error</t>
    </r>
    <r>
      <rPr>
        <b/>
        <sz val="16"/>
        <color theme="1"/>
        <rFont val="Calibri"/>
        <family val="2"/>
        <scheme val="minor"/>
      </rPr>
      <t xml:space="preserve"> should be </t>
    </r>
    <r>
      <rPr>
        <b/>
        <sz val="16"/>
        <color rgb="FFC00000"/>
        <rFont val="Calibri"/>
        <family val="2"/>
        <scheme val="minor"/>
      </rPr>
      <t>zero</t>
    </r>
  </si>
  <si>
    <r>
      <rPr>
        <b/>
        <sz val="16"/>
        <color rgb="FFC00000"/>
        <rFont val="Calibri"/>
        <family val="2"/>
        <scheme val="minor"/>
      </rPr>
      <t>error</t>
    </r>
    <r>
      <rPr>
        <b/>
        <sz val="16"/>
        <color theme="1"/>
        <rFont val="Calibri"/>
        <family val="2"/>
        <scheme val="minor"/>
      </rPr>
      <t xml:space="preserve"> should be </t>
    </r>
    <r>
      <rPr>
        <b/>
        <sz val="16"/>
        <color rgb="FFC00000"/>
        <rFont val="Calibri"/>
        <family val="2"/>
        <scheme val="minor"/>
      </rPr>
      <t>normally</t>
    </r>
    <r>
      <rPr>
        <b/>
        <sz val="16"/>
        <color theme="1"/>
        <rFont val="Calibri"/>
        <family val="2"/>
        <scheme val="minor"/>
      </rPr>
      <t xml:space="preserve"> distributed</t>
    </r>
  </si>
  <si>
    <r>
      <rPr>
        <b/>
        <sz val="16"/>
        <color rgb="FFC00000"/>
        <rFont val="Calibri"/>
        <family val="2"/>
        <scheme val="minor"/>
      </rPr>
      <t>Homoscedasticity</t>
    </r>
    <r>
      <rPr>
        <b/>
        <sz val="16"/>
        <color theme="1"/>
        <rFont val="Calibri"/>
        <family val="2"/>
        <scheme val="minor"/>
      </rPr>
      <t xml:space="preserve"> or Constant variance</t>
    </r>
  </si>
  <si>
    <t>Multivariate  regression</t>
  </si>
  <si>
    <t>Loss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</si>
</sst>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</font>
    <font>
      <vertAlign val="superscript"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8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8"/>
      <color theme="1"/>
      <name val="Calibri"/>
      <family val="2"/>
    </font>
    <font>
      <b/>
      <vertAlign val="subscript"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b/>
      <sz val="18"/>
      <color rgb="FF7030A0"/>
      <name val="Calibri"/>
      <family val="2"/>
      <scheme val="minor"/>
    </font>
    <font>
      <b/>
      <u/>
      <sz val="18"/>
      <color theme="5" tint="-0.499984740745262"/>
      <name val="Calibri"/>
      <family val="2"/>
      <scheme val="minor"/>
    </font>
    <font>
      <sz val="18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B0F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1"/>
    </font>
    <font>
      <vertAlign val="superscript"/>
      <sz val="18"/>
      <color theme="1"/>
      <name val="Calibri"/>
      <family val="2"/>
    </font>
    <font>
      <b/>
      <vertAlign val="superscript"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6" fillId="0" borderId="0" xfId="0" quotePrefix="1" applyFont="1"/>
    <xf numFmtId="0" fontId="11" fillId="0" borderId="0" xfId="0" applyFont="1"/>
    <xf numFmtId="2" fontId="6" fillId="0" borderId="0" xfId="0" applyNumberFormat="1" applyFont="1"/>
    <xf numFmtId="0" fontId="15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11" xfId="0" applyFont="1" applyBorder="1"/>
    <xf numFmtId="0" fontId="6" fillId="0" borderId="12" xfId="0" applyFont="1" applyBorder="1"/>
    <xf numFmtId="10" fontId="6" fillId="0" borderId="0" xfId="0" applyNumberFormat="1" applyFont="1"/>
    <xf numFmtId="0" fontId="6" fillId="0" borderId="10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4" fillId="0" borderId="0" xfId="0" applyFont="1"/>
    <xf numFmtId="0" fontId="6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2" borderId="1" xfId="0" applyFont="1" applyFill="1" applyBorder="1"/>
    <xf numFmtId="0" fontId="6" fillId="0" borderId="15" xfId="0" applyFont="1" applyBorder="1" applyAlignment="1">
      <alignment horizontal="center" vertical="center"/>
    </xf>
    <xf numFmtId="0" fontId="7" fillId="2" borderId="0" xfId="0" applyFont="1" applyFill="1"/>
    <xf numFmtId="0" fontId="2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5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5" fontId="8" fillId="0" borderId="21" xfId="0" applyNumberFormat="1" applyFont="1" applyBorder="1" applyAlignment="1">
      <alignment horizontal="center" vertical="center"/>
    </xf>
    <xf numFmtId="0" fontId="27" fillId="3" borderId="0" xfId="0" applyFont="1" applyFill="1"/>
    <xf numFmtId="0" fontId="27" fillId="3" borderId="0" xfId="0" applyFont="1" applyFill="1" applyAlignment="1">
      <alignment horizontal="center" vertical="center"/>
    </xf>
    <xf numFmtId="0" fontId="6" fillId="0" borderId="6" xfId="0" applyFont="1" applyBorder="1"/>
    <xf numFmtId="0" fontId="6" fillId="0" borderId="9" xfId="0" applyFont="1" applyBorder="1"/>
    <xf numFmtId="0" fontId="6" fillId="0" borderId="16" xfId="0" applyFont="1" applyBorder="1"/>
    <xf numFmtId="0" fontId="9" fillId="5" borderId="0" xfId="0" applyFont="1" applyFill="1"/>
    <xf numFmtId="0" fontId="28" fillId="5" borderId="0" xfId="0" applyFont="1" applyFill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6" fillId="0" borderId="9" xfId="0" applyNumberFormat="1" applyFont="1" applyBorder="1"/>
    <xf numFmtId="2" fontId="6" fillId="0" borderId="16" xfId="0" applyNumberFormat="1" applyFont="1" applyBorder="1"/>
    <xf numFmtId="2" fontId="6" fillId="0" borderId="10" xfId="0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165" fontId="6" fillId="0" borderId="16" xfId="0" applyNumberFormat="1" applyFont="1" applyBorder="1"/>
    <xf numFmtId="2" fontId="5" fillId="0" borderId="0" xfId="0" applyNumberFormat="1" applyFont="1"/>
    <xf numFmtId="0" fontId="5" fillId="0" borderId="9" xfId="0" applyFont="1" applyBorder="1"/>
    <xf numFmtId="2" fontId="5" fillId="0" borderId="10" xfId="0" applyNumberFormat="1" applyFont="1" applyBorder="1"/>
    <xf numFmtId="2" fontId="5" fillId="0" borderId="11" xfId="0" applyNumberFormat="1" applyFont="1" applyBorder="1"/>
    <xf numFmtId="2" fontId="5" fillId="0" borderId="12" xfId="0" applyNumberFormat="1" applyFont="1" applyBorder="1"/>
    <xf numFmtId="165" fontId="5" fillId="0" borderId="0" xfId="0" applyNumberFormat="1" applyFont="1"/>
    <xf numFmtId="0" fontId="5" fillId="6" borderId="0" xfId="0" applyFont="1" applyFill="1" applyAlignment="1">
      <alignment horizontal="center" vertical="center"/>
    </xf>
    <xf numFmtId="0" fontId="5" fillId="6" borderId="0" xfId="0" applyFont="1" applyFill="1"/>
    <xf numFmtId="0" fontId="16" fillId="6" borderId="0" xfId="0" applyFont="1" applyFill="1"/>
    <xf numFmtId="0" fontId="16" fillId="6" borderId="0" xfId="0" applyFont="1" applyFill="1" applyAlignment="1">
      <alignment horizontal="center" vertical="center"/>
    </xf>
    <xf numFmtId="0" fontId="5" fillId="0" borderId="20" xfId="0" applyFont="1" applyBorder="1"/>
    <xf numFmtId="0" fontId="5" fillId="0" borderId="25" xfId="0" applyFont="1" applyBorder="1"/>
    <xf numFmtId="0" fontId="5" fillId="0" borderId="21" xfId="0" applyFont="1" applyBorder="1"/>
    <xf numFmtId="0" fontId="6" fillId="0" borderId="20" xfId="0" applyFont="1" applyBorder="1"/>
    <xf numFmtId="0" fontId="6" fillId="0" borderId="25" xfId="0" applyFont="1" applyBorder="1"/>
    <xf numFmtId="0" fontId="6" fillId="0" borderId="21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0" fontId="5" fillId="2" borderId="2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16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23" fillId="6" borderId="0" xfId="0" applyFont="1" applyFill="1" applyAlignment="1">
      <alignment horizontal="center" vertical="center"/>
    </xf>
    <xf numFmtId="2" fontId="23" fillId="6" borderId="0" xfId="0" applyNumberFormat="1" applyFont="1" applyFill="1" applyAlignment="1">
      <alignment horizontal="center" vertical="center"/>
    </xf>
    <xf numFmtId="165" fontId="23" fillId="6" borderId="0" xfId="0" applyNumberFormat="1" applyFont="1" applyFill="1" applyAlignment="1">
      <alignment horizontal="center" vertical="center"/>
    </xf>
    <xf numFmtId="165" fontId="6" fillId="0" borderId="0" xfId="0" applyNumberFormat="1" applyFont="1"/>
    <xf numFmtId="0" fontId="5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3" fillId="0" borderId="0" xfId="0" applyFont="1" applyAlignment="1">
      <alignment horizontal="right"/>
    </xf>
    <xf numFmtId="0" fontId="6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2" fontId="6" fillId="0" borderId="14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0" fontId="30" fillId="0" borderId="0" xfId="0" applyFont="1"/>
    <xf numFmtId="0" fontId="2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164" fontId="6" fillId="0" borderId="1" xfId="0" applyNumberFormat="1" applyFont="1" applyBorder="1"/>
    <xf numFmtId="166" fontId="6" fillId="0" borderId="1" xfId="0" applyNumberFormat="1" applyFont="1" applyBorder="1"/>
    <xf numFmtId="0" fontId="2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0" fontId="5" fillId="4" borderId="6" xfId="0" applyFont="1" applyFill="1" applyBorder="1"/>
    <xf numFmtId="0" fontId="5" fillId="4" borderId="7" xfId="0" applyFont="1" applyFill="1" applyBorder="1"/>
    <xf numFmtId="0" fontId="5" fillId="0" borderId="32" xfId="0" applyFont="1" applyBorder="1"/>
    <xf numFmtId="0" fontId="5" fillId="6" borderId="0" xfId="0" applyFont="1" applyFill="1" applyAlignment="1">
      <alignment horizontal="right"/>
    </xf>
    <xf numFmtId="0" fontId="29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35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17" Type="http://schemas.openxmlformats.org/officeDocument/2006/relationships/image" Target="../media/image51.png"/><Relationship Id="rId2" Type="http://schemas.openxmlformats.org/officeDocument/2006/relationships/image" Target="../media/image36.png"/><Relationship Id="rId16" Type="http://schemas.openxmlformats.org/officeDocument/2006/relationships/image" Target="../media/image50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5" Type="http://schemas.openxmlformats.org/officeDocument/2006/relationships/image" Target="../media/image4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Relationship Id="rId14" Type="http://schemas.openxmlformats.org/officeDocument/2006/relationships/image" Target="../media/image4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png"/><Relationship Id="rId3" Type="http://schemas.openxmlformats.org/officeDocument/2006/relationships/image" Target="../media/image62.png"/><Relationship Id="rId7" Type="http://schemas.openxmlformats.org/officeDocument/2006/relationships/image" Target="../media/image66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0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Relationship Id="rId4" Type="http://schemas.openxmlformats.org/officeDocument/2006/relationships/image" Target="../media/image7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161829</xdr:colOff>
      <xdr:row>7</xdr:row>
      <xdr:rowOff>130484</xdr:rowOff>
    </xdr:from>
    <xdr:to>
      <xdr:col>2</xdr:col>
      <xdr:colOff>229967</xdr:colOff>
      <xdr:row>11</xdr:row>
      <xdr:rowOff>20443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C9F0B7-E50D-4B1E-80E0-0DD28CEC0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829" y="2210744"/>
          <a:ext cx="1554038" cy="1078679"/>
        </a:xfrm>
        <a:prstGeom prst="rect">
          <a:avLst/>
        </a:prstGeom>
      </xdr:spPr>
    </xdr:pic>
    <xdr:clientData/>
  </xdr:twoCellAnchor>
  <xdr:twoCellAnchor editAs="oneCell">
    <xdr:from>
      <xdr:col>6</xdr:col>
      <xdr:colOff>470453</xdr:colOff>
      <xdr:row>0</xdr:row>
      <xdr:rowOff>265045</xdr:rowOff>
    </xdr:from>
    <xdr:to>
      <xdr:col>10</xdr:col>
      <xdr:colOff>68296</xdr:colOff>
      <xdr:row>6</xdr:row>
      <xdr:rowOff>205259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FD182-907F-42DE-AA4B-8A14B038D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9273" y="265045"/>
          <a:ext cx="3590723" cy="172329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245166</xdr:colOff>
      <xdr:row>7</xdr:row>
      <xdr:rowOff>53009</xdr:rowOff>
    </xdr:from>
    <xdr:to>
      <xdr:col>8</xdr:col>
      <xdr:colOff>340029</xdr:colOff>
      <xdr:row>10</xdr:row>
      <xdr:rowOff>25154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6BB0AF-B674-43C7-94C7-B2F4AC23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1066" y="2133269"/>
          <a:ext cx="6404223" cy="863685"/>
        </a:xfrm>
        <a:prstGeom prst="rect">
          <a:avLst/>
        </a:prstGeom>
      </xdr:spPr>
    </xdr:pic>
    <xdr:clientData/>
  </xdr:twoCellAnchor>
  <xdr:twoCellAnchor editAs="oneCell">
    <xdr:from>
      <xdr:col>5</xdr:col>
      <xdr:colOff>980660</xdr:colOff>
      <xdr:row>54</xdr:row>
      <xdr:rowOff>59635</xdr:rowOff>
    </xdr:from>
    <xdr:to>
      <xdr:col>10</xdr:col>
      <xdr:colOff>2470</xdr:colOff>
      <xdr:row>58</xdr:row>
      <xdr:rowOff>28844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D0C33A-B57D-4A12-A7C1-5B88F4B6B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1260" y="11756335"/>
          <a:ext cx="4009772" cy="1157929"/>
        </a:xfrm>
        <a:prstGeom prst="rect">
          <a:avLst/>
        </a:prstGeom>
      </xdr:spPr>
    </xdr:pic>
    <xdr:clientData/>
  </xdr:twoCellAnchor>
  <xdr:twoCellAnchor editAs="oneCell">
    <xdr:from>
      <xdr:col>10</xdr:col>
      <xdr:colOff>143436</xdr:colOff>
      <xdr:row>53</xdr:row>
      <xdr:rowOff>44825</xdr:rowOff>
    </xdr:from>
    <xdr:to>
      <xdr:col>15</xdr:col>
      <xdr:colOff>530319</xdr:colOff>
      <xdr:row>58</xdr:row>
      <xdr:rowOff>5649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23530-97E2-76FE-D696-939DF7DFE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23930" y="11403107"/>
          <a:ext cx="5900177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791308</xdr:colOff>
      <xdr:row>43</xdr:row>
      <xdr:rowOff>35169</xdr:rowOff>
    </xdr:from>
    <xdr:to>
      <xdr:col>11</xdr:col>
      <xdr:colOff>513464</xdr:colOff>
      <xdr:row>52</xdr:row>
      <xdr:rowOff>224723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7175FB-8F5A-20F7-1EEF-071DE481A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0139" y="10884877"/>
          <a:ext cx="9018556" cy="28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739140</xdr:colOff>
      <xdr:row>1</xdr:row>
      <xdr:rowOff>281940</xdr:rowOff>
    </xdr:from>
    <xdr:to>
      <xdr:col>12</xdr:col>
      <xdr:colOff>612780</xdr:colOff>
      <xdr:row>6</xdr:row>
      <xdr:rowOff>111547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35F5C0A-314B-E654-29C6-7C3685F09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579120"/>
          <a:ext cx="5040000" cy="1315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60960</xdr:rowOff>
    </xdr:from>
    <xdr:to>
      <xdr:col>2</xdr:col>
      <xdr:colOff>477770</xdr:colOff>
      <xdr:row>4</xdr:row>
      <xdr:rowOff>74182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5AF94F-5FF7-629C-AE7B-037F86A51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140"/>
          <a:ext cx="3076190" cy="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114300</xdr:rowOff>
    </xdr:from>
    <xdr:to>
      <xdr:col>5</xdr:col>
      <xdr:colOff>441240</xdr:colOff>
      <xdr:row>6</xdr:row>
      <xdr:rowOff>102880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8126467-BFA8-3A9D-DFF7-ECE665221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03020"/>
          <a:ext cx="5760000" cy="58294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6</xdr:row>
      <xdr:rowOff>137159</xdr:rowOff>
    </xdr:from>
    <xdr:to>
      <xdr:col>12</xdr:col>
      <xdr:colOff>597540</xdr:colOff>
      <xdr:row>9</xdr:row>
      <xdr:rowOff>109967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3F51F40-6EE4-3EEF-621E-42EEA9327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920239"/>
          <a:ext cx="5040000" cy="864348"/>
        </a:xfrm>
        <a:prstGeom prst="rect">
          <a:avLst/>
        </a:prstGeom>
      </xdr:spPr>
    </xdr:pic>
    <xdr:clientData/>
  </xdr:twoCellAnchor>
  <xdr:twoCellAnchor>
    <xdr:from>
      <xdr:col>4</xdr:col>
      <xdr:colOff>1181100</xdr:colOff>
      <xdr:row>9</xdr:row>
      <xdr:rowOff>129540</xdr:rowOff>
    </xdr:from>
    <xdr:to>
      <xdr:col>13</xdr:col>
      <xdr:colOff>239400</xdr:colOff>
      <xdr:row>13</xdr:row>
      <xdr:rowOff>150420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A8EE9DB-E1E0-D220-CE57-4E9877F9B9D4}"/>
            </a:ext>
          </a:extLst>
        </xdr:cNvPr>
        <xdr:cNvGrpSpPr/>
      </xdr:nvGrpSpPr>
      <xdr:grpSpPr>
        <a:xfrm>
          <a:off x="5317415" y="2792058"/>
          <a:ext cx="7167773" cy="1204221"/>
          <a:chOff x="3489960" y="2834640"/>
          <a:chExt cx="7447920" cy="1209600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DE3C969-018A-BBDA-217B-D58148B9C9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897880" y="2834640"/>
            <a:ext cx="5040000" cy="1209600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D9A97E45-9D5C-894D-7F3B-08FF3AADAE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489960" y="3093720"/>
            <a:ext cx="2600000" cy="685714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624392</xdr:colOff>
      <xdr:row>3</xdr:row>
      <xdr:rowOff>168537</xdr:rowOff>
    </xdr:from>
    <xdr:to>
      <xdr:col>15</xdr:col>
      <xdr:colOff>307831</xdr:colOff>
      <xdr:row>5</xdr:row>
      <xdr:rowOff>46617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31FA4A7-1DAA-983F-B6F7-F761B38AED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55310"/>
        <a:stretch/>
      </xdr:blipFill>
      <xdr:spPr>
        <a:xfrm>
          <a:off x="12009568" y="1056043"/>
          <a:ext cx="2650757" cy="4697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462688</xdr:colOff>
      <xdr:row>9</xdr:row>
      <xdr:rowOff>110402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0DD4FE-ABE6-23DF-5EBF-A2AA5CBA8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080260"/>
          <a:ext cx="1819048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277770</xdr:colOff>
      <xdr:row>19</xdr:row>
      <xdr:rowOff>70365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57EAC23-A602-D2BF-39FA-9C8E55DB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754880"/>
          <a:ext cx="2876190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15</xdr:row>
      <xdr:rowOff>220980</xdr:rowOff>
    </xdr:from>
    <xdr:to>
      <xdr:col>6</xdr:col>
      <xdr:colOff>727322</xdr:colOff>
      <xdr:row>18</xdr:row>
      <xdr:rowOff>243726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CE64F1F-C471-B8BB-B819-7766BD879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68040" y="4678680"/>
          <a:ext cx="3104762" cy="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7</xdr:col>
      <xdr:colOff>522924</xdr:colOff>
      <xdr:row>23</xdr:row>
      <xdr:rowOff>15178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477E682-4B0B-967F-C09A-10ADEB0E2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355080"/>
          <a:ext cx="7609524" cy="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624840</xdr:colOff>
      <xdr:row>23</xdr:row>
      <xdr:rowOff>0</xdr:rowOff>
    </xdr:from>
    <xdr:to>
      <xdr:col>9</xdr:col>
      <xdr:colOff>753928</xdr:colOff>
      <xdr:row>26</xdr:row>
      <xdr:rowOff>41793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AF81508-615E-F3E1-07DA-A2FD2AE0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63540" y="6835140"/>
          <a:ext cx="3619048" cy="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281940</xdr:rowOff>
    </xdr:from>
    <xdr:to>
      <xdr:col>2</xdr:col>
      <xdr:colOff>277770</xdr:colOff>
      <xdr:row>52</xdr:row>
      <xdr:rowOff>55125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4725010-1CA9-447E-8A34-BEE27129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71420"/>
          <a:ext cx="2876190" cy="96190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72</xdr:row>
      <xdr:rowOff>281940</xdr:rowOff>
    </xdr:from>
    <xdr:ext cx="2876190" cy="961905"/>
    <xdr:pic>
      <xdr:nvPicPr>
        <xdr:cNvPr id="27" name="Picture 26">
          <a:extLst>
            <a:ext uri="{FF2B5EF4-FFF2-40B4-BE49-F238E27FC236}">
              <a16:creationId xmlns:a16="http://schemas.microsoft.com/office/drawing/2014/main" id="{08BDE5F5-FE23-449D-8035-CDD2B8E1B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71420"/>
          <a:ext cx="2876190" cy="9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99</xdr:row>
      <xdr:rowOff>281940</xdr:rowOff>
    </xdr:from>
    <xdr:ext cx="2882425" cy="936967"/>
    <xdr:pic>
      <xdr:nvPicPr>
        <xdr:cNvPr id="28" name="Picture 27">
          <a:extLst>
            <a:ext uri="{FF2B5EF4-FFF2-40B4-BE49-F238E27FC236}">
              <a16:creationId xmlns:a16="http://schemas.microsoft.com/office/drawing/2014/main" id="{FC26C281-C83C-4C9C-BF7E-44100B587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898485"/>
          <a:ext cx="2882425" cy="936967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18</xdr:row>
      <xdr:rowOff>209550</xdr:rowOff>
    </xdr:from>
    <xdr:to>
      <xdr:col>19</xdr:col>
      <xdr:colOff>846686</xdr:colOff>
      <xdr:row>38</xdr:row>
      <xdr:rowOff>189667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5BC8AD9-B699-4A36-C2FC-47E1E1744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25200" y="5695950"/>
          <a:ext cx="8314286" cy="66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706582</xdr:colOff>
      <xdr:row>39</xdr:row>
      <xdr:rowOff>55419</xdr:rowOff>
    </xdr:from>
    <xdr:to>
      <xdr:col>19</xdr:col>
      <xdr:colOff>647567</xdr:colOff>
      <xdr:row>59</xdr:row>
      <xdr:rowOff>60712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BAD795C-282C-FEB9-2F62-6E9838BF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208327" y="12053455"/>
          <a:ext cx="7990476" cy="61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900545</xdr:colOff>
      <xdr:row>38</xdr:row>
      <xdr:rowOff>277091</xdr:rowOff>
    </xdr:from>
    <xdr:to>
      <xdr:col>33</xdr:col>
      <xdr:colOff>81255</xdr:colOff>
      <xdr:row>62</xdr:row>
      <xdr:rowOff>166222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AA76488-A740-4923-3526-4EBB712ED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51781" y="11984182"/>
          <a:ext cx="8047619" cy="719047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129</xdr:row>
      <xdr:rowOff>281940</xdr:rowOff>
    </xdr:from>
    <xdr:ext cx="2876190" cy="961905"/>
    <xdr:pic>
      <xdr:nvPicPr>
        <xdr:cNvPr id="33" name="Picture 32">
          <a:extLst>
            <a:ext uri="{FF2B5EF4-FFF2-40B4-BE49-F238E27FC236}">
              <a16:creationId xmlns:a16="http://schemas.microsoft.com/office/drawing/2014/main" id="{7E8FFA1B-DDC5-4FE8-A807-76E1E628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71420"/>
          <a:ext cx="2876190" cy="9619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27</xdr:row>
      <xdr:rowOff>0</xdr:rowOff>
    </xdr:from>
    <xdr:to>
      <xdr:col>20</xdr:col>
      <xdr:colOff>105960</xdr:colOff>
      <xdr:row>48</xdr:row>
      <xdr:rowOff>174722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C3566-0684-9752-0B3F-456039CB3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7960" y="0"/>
          <a:ext cx="5760000" cy="4015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10</xdr:col>
      <xdr:colOff>384000</xdr:colOff>
      <xdr:row>55</xdr:row>
      <xdr:rowOff>163957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0E4EBA-F91B-39EB-834B-2AA319BD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480000" cy="52845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</xdr:rowOff>
    </xdr:from>
    <xdr:to>
      <xdr:col>10</xdr:col>
      <xdr:colOff>384000</xdr:colOff>
      <xdr:row>82</xdr:row>
      <xdr:rowOff>164590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0DEA0-B5AD-9574-434B-BF600D5FE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63492"/>
          <a:ext cx="6480000" cy="4307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10</xdr:col>
      <xdr:colOff>384000</xdr:colOff>
      <xdr:row>108</xdr:row>
      <xdr:rowOff>56585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565E90-0332-410B-3AAF-2C2AA0036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720754"/>
          <a:ext cx="6480000" cy="40541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70338</xdr:rowOff>
    </xdr:from>
    <xdr:to>
      <xdr:col>10</xdr:col>
      <xdr:colOff>114369</xdr:colOff>
      <xdr:row>127</xdr:row>
      <xdr:rowOff>41153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BFE270-CB25-20D0-E1C7-12A26FF190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61" t="3789"/>
        <a:stretch/>
      </xdr:blipFill>
      <xdr:spPr>
        <a:xfrm>
          <a:off x="0" y="14788661"/>
          <a:ext cx="6210369" cy="34232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502020</xdr:colOff>
      <xdr:row>23</xdr:row>
      <xdr:rowOff>22316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ECE0A9-F280-4FC2-BF54-88076D151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7207620" cy="4146081"/>
        </a:xfrm>
        <a:prstGeom prst="rect">
          <a:avLst/>
        </a:prstGeom>
      </xdr:spPr>
    </xdr:pic>
    <xdr:clientData/>
  </xdr:twoCellAnchor>
  <xdr:twoCellAnchor>
    <xdr:from>
      <xdr:col>25</xdr:col>
      <xdr:colOff>83127</xdr:colOff>
      <xdr:row>0</xdr:row>
      <xdr:rowOff>152400</xdr:rowOff>
    </xdr:from>
    <xdr:to>
      <xdr:col>33</xdr:col>
      <xdr:colOff>526307</xdr:colOff>
      <xdr:row>17</xdr:row>
      <xdr:rowOff>165562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D6C2C4E-02C3-4573-8E8D-BA9A5F4FD276}"/>
            </a:ext>
          </a:extLst>
        </xdr:cNvPr>
        <xdr:cNvGrpSpPr/>
      </xdr:nvGrpSpPr>
      <xdr:grpSpPr>
        <a:xfrm>
          <a:off x="15323127" y="152400"/>
          <a:ext cx="5319980" cy="3075017"/>
          <a:chOff x="38100" y="1706880"/>
          <a:chExt cx="5319980" cy="3017520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F3E9193-C3B3-E237-14E6-30E419C6BDC1}"/>
              </a:ext>
            </a:extLst>
          </xdr:cNvPr>
          <xdr:cNvSpPr txBox="1"/>
        </xdr:nvSpPr>
        <xdr:spPr>
          <a:xfrm>
            <a:off x="922020" y="1706880"/>
            <a:ext cx="1158240" cy="56388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400"/>
              <a:t>DATA</a:t>
            </a: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C8DEA35-9DA7-1709-678D-508009232F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8100" y="2293620"/>
            <a:ext cx="5319980" cy="2430780"/>
          </a:xfrm>
          <a:prstGeom prst="rect">
            <a:avLst/>
          </a:prstGeom>
          <a:ln>
            <a:solidFill>
              <a:schemeClr val="accent1"/>
            </a:solidFill>
          </a:ln>
        </xdr:spPr>
      </xdr:pic>
    </xdr:grpSp>
    <xdr:clientData/>
  </xdr:twoCellAnchor>
  <xdr:twoCellAnchor editAs="oneCell">
    <xdr:from>
      <xdr:col>24</xdr:col>
      <xdr:colOff>595744</xdr:colOff>
      <xdr:row>19</xdr:row>
      <xdr:rowOff>0</xdr:rowOff>
    </xdr:from>
    <xdr:to>
      <xdr:col>33</xdr:col>
      <xdr:colOff>509344</xdr:colOff>
      <xdr:row>34</xdr:row>
      <xdr:rowOff>86290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12850D-B04E-41FB-9C93-D965521B8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144" y="3422073"/>
          <a:ext cx="5400000" cy="2787926"/>
        </a:xfrm>
        <a:prstGeom prst="rect">
          <a:avLst/>
        </a:prstGeom>
      </xdr:spPr>
    </xdr:pic>
    <xdr:clientData/>
  </xdr:twoCellAnchor>
  <xdr:twoCellAnchor editAs="oneCell">
    <xdr:from>
      <xdr:col>25</xdr:col>
      <xdr:colOff>263236</xdr:colOff>
      <xdr:row>34</xdr:row>
      <xdr:rowOff>96982</xdr:rowOff>
    </xdr:from>
    <xdr:to>
      <xdr:col>34</xdr:col>
      <xdr:colOff>176836</xdr:colOff>
      <xdr:row>54</xdr:row>
      <xdr:rowOff>43769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5885C95-CAF1-4957-B207-0FF0E574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03236" y="6220691"/>
          <a:ext cx="5400000" cy="3548969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55</xdr:row>
      <xdr:rowOff>0</xdr:rowOff>
    </xdr:from>
    <xdr:to>
      <xdr:col>35</xdr:col>
      <xdr:colOff>389207</xdr:colOff>
      <xdr:row>63</xdr:row>
      <xdr:rowOff>148601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F0D578E-C803-4D89-AC27-D12E66C1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00" y="9906000"/>
          <a:ext cx="6485207" cy="1589474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0</xdr:row>
      <xdr:rowOff>160020</xdr:rowOff>
    </xdr:from>
    <xdr:to>
      <xdr:col>22</xdr:col>
      <xdr:colOff>345900</xdr:colOff>
      <xdr:row>15</xdr:row>
      <xdr:rowOff>43159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9616BC-298A-55BB-3C00-89C4904C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77100" y="160020"/>
          <a:ext cx="6480000" cy="2626339"/>
        </a:xfrm>
        <a:prstGeom prst="rect">
          <a:avLst/>
        </a:prstGeom>
      </xdr:spPr>
    </xdr:pic>
    <xdr:clientData/>
  </xdr:twoCellAnchor>
  <xdr:twoCellAnchor editAs="oneCell">
    <xdr:from>
      <xdr:col>35</xdr:col>
      <xdr:colOff>541020</xdr:colOff>
      <xdr:row>1</xdr:row>
      <xdr:rowOff>38100</xdr:rowOff>
    </xdr:from>
    <xdr:to>
      <xdr:col>54</xdr:col>
      <xdr:colOff>320525</xdr:colOff>
      <xdr:row>31</xdr:row>
      <xdr:rowOff>46938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72FE44-C7A7-7E83-0ACD-00B883304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877020" y="220980"/>
          <a:ext cx="11361905" cy="5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69</xdr:row>
      <xdr:rowOff>0</xdr:rowOff>
    </xdr:from>
    <xdr:to>
      <xdr:col>26</xdr:col>
      <xdr:colOff>332343</xdr:colOff>
      <xdr:row>98</xdr:row>
      <xdr:rowOff>176836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1CFF12-C5A4-632D-65FD-80D4C3700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24800" y="12427527"/>
          <a:ext cx="8257143" cy="5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220980</xdr:rowOff>
    </xdr:from>
    <xdr:to>
      <xdr:col>1</xdr:col>
      <xdr:colOff>809376</xdr:colOff>
      <xdr:row>3</xdr:row>
      <xdr:rowOff>64715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76DA7F7-B365-70D1-6AA3-CB0BE388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18160"/>
          <a:ext cx="1990476" cy="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3</xdr:row>
      <xdr:rowOff>243840</xdr:rowOff>
    </xdr:from>
    <xdr:to>
      <xdr:col>1</xdr:col>
      <xdr:colOff>668437</xdr:colOff>
      <xdr:row>5</xdr:row>
      <xdr:rowOff>163766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B44FD8F-4D79-2F1D-E3E5-164B7F78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1135380"/>
          <a:ext cx="1742857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502920</xdr:colOff>
      <xdr:row>6</xdr:row>
      <xdr:rowOff>22860</xdr:rowOff>
    </xdr:from>
    <xdr:to>
      <xdr:col>1</xdr:col>
      <xdr:colOff>556084</xdr:colOff>
      <xdr:row>7</xdr:row>
      <xdr:rowOff>135204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A4DFFE8-235D-CD79-958E-B2909ADAE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920" y="1805940"/>
          <a:ext cx="1409524" cy="4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578891</xdr:colOff>
      <xdr:row>0</xdr:row>
      <xdr:rowOff>0</xdr:rowOff>
    </xdr:from>
    <xdr:to>
      <xdr:col>22</xdr:col>
      <xdr:colOff>51536</xdr:colOff>
      <xdr:row>19</xdr:row>
      <xdr:rowOff>74457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D2445D3-37F5-9FB2-1F8C-0A0E01D52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52291" y="0"/>
          <a:ext cx="7038216" cy="5713257"/>
        </a:xfrm>
        <a:prstGeom prst="rect">
          <a:avLst/>
        </a:prstGeom>
      </xdr:spPr>
    </xdr:pic>
    <xdr:clientData/>
  </xdr:twoCellAnchor>
  <xdr:twoCellAnchor editAs="oneCell">
    <xdr:from>
      <xdr:col>0</xdr:col>
      <xdr:colOff>53789</xdr:colOff>
      <xdr:row>12</xdr:row>
      <xdr:rowOff>80683</xdr:rowOff>
    </xdr:from>
    <xdr:to>
      <xdr:col>2</xdr:col>
      <xdr:colOff>44500</xdr:colOff>
      <xdr:row>17</xdr:row>
      <xdr:rowOff>39601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D536E06-34E1-1B8D-0F65-667660284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789" y="3675530"/>
          <a:ext cx="2590476" cy="1438095"/>
        </a:xfrm>
        <a:prstGeom prst="rect">
          <a:avLst/>
        </a:prstGeom>
      </xdr:spPr>
    </xdr:pic>
    <xdr:clientData/>
  </xdr:twoCellAnchor>
  <xdr:twoCellAnchor>
    <xdr:from>
      <xdr:col>9</xdr:col>
      <xdr:colOff>41624</xdr:colOff>
      <xdr:row>0</xdr:row>
      <xdr:rowOff>161367</xdr:rowOff>
    </xdr:from>
    <xdr:to>
      <xdr:col>14</xdr:col>
      <xdr:colOff>45160</xdr:colOff>
      <xdr:row>11</xdr:row>
      <xdr:rowOff>88994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9C658DD-7523-733C-D35C-3F730AE5EEEB}"/>
            </a:ext>
          </a:extLst>
        </xdr:cNvPr>
        <xdr:cNvGrpSpPr/>
      </xdr:nvGrpSpPr>
      <xdr:grpSpPr>
        <a:xfrm>
          <a:off x="9947624" y="161367"/>
          <a:ext cx="5005027" cy="3183445"/>
          <a:chOff x="7521389" y="2814919"/>
          <a:chExt cx="5008404" cy="3226639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7CB1B764-F9E0-A35D-1909-020631A7ECE9}"/>
              </a:ext>
            </a:extLst>
          </xdr:cNvPr>
          <xdr:cNvGrpSpPr/>
        </xdr:nvGrpSpPr>
        <xdr:grpSpPr>
          <a:xfrm>
            <a:off x="7539317" y="2814919"/>
            <a:ext cx="4990476" cy="2443895"/>
            <a:chOff x="4464423" y="3603813"/>
            <a:chExt cx="4990476" cy="2443895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4E8D377-7C6D-249A-D288-B4D918783752}"/>
                </a:ext>
              </a:extLst>
            </xdr:cNvPr>
            <xdr:cNvGrpSpPr/>
          </xdr:nvGrpSpPr>
          <xdr:grpSpPr>
            <a:xfrm>
              <a:off x="4464423" y="3603813"/>
              <a:ext cx="4990476" cy="1624192"/>
              <a:chOff x="4464423" y="3603813"/>
              <a:chExt cx="4990476" cy="1624192"/>
            </a:xfrm>
          </xdr:grpSpPr>
          <xdr:pic>
            <xdr:nvPicPr>
              <xdr:cNvPr id="30" name="Picture 29">
                <a:extLst>
                  <a:ext uri="{FF2B5EF4-FFF2-40B4-BE49-F238E27FC236}">
                    <a16:creationId xmlns:a16="http://schemas.microsoft.com/office/drawing/2014/main" id="{D332B046-6563-9672-8C36-2DE27FC03D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464424" y="4437529"/>
                <a:ext cx="4966448" cy="790476"/>
              </a:xfrm>
              <a:prstGeom prst="rect">
                <a:avLst/>
              </a:prstGeom>
            </xdr:spPr>
          </xdr:pic>
          <xdr:pic>
            <xdr:nvPicPr>
              <xdr:cNvPr id="31" name="Picture 30">
                <a:extLst>
                  <a:ext uri="{FF2B5EF4-FFF2-40B4-BE49-F238E27FC236}">
                    <a16:creationId xmlns:a16="http://schemas.microsoft.com/office/drawing/2014/main" id="{0521EAA0-18AB-6393-8DD6-4516FCEF7C3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4464423" y="3603813"/>
                <a:ext cx="4990476" cy="838095"/>
              </a:xfrm>
              <a:prstGeom prst="rect">
                <a:avLst/>
              </a:prstGeom>
            </xdr:spPr>
          </xdr:pic>
        </xdr:grpSp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243F5974-AA67-998A-D171-0AE12396F6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464424" y="5190565"/>
              <a:ext cx="4952381" cy="857143"/>
            </a:xfrm>
            <a:prstGeom prst="rect">
              <a:avLst/>
            </a:prstGeom>
          </xdr:spPr>
        </xdr:pic>
      </xdr:grp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5A139CFF-2365-9103-86E2-99932D2A85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521389" y="5289177"/>
            <a:ext cx="4914286" cy="75238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16</xdr:row>
      <xdr:rowOff>185056</xdr:rowOff>
    </xdr:from>
    <xdr:to>
      <xdr:col>5</xdr:col>
      <xdr:colOff>585939</xdr:colOff>
      <xdr:row>20</xdr:row>
      <xdr:rowOff>136970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2011EF3-63C0-7DAA-45D4-EEBC3EE6F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42113"/>
          <a:ext cx="6159425" cy="1127571"/>
        </a:xfrm>
        <a:prstGeom prst="rect">
          <a:avLst/>
        </a:prstGeom>
      </xdr:spPr>
    </xdr:pic>
    <xdr:clientData/>
  </xdr:twoCellAnchor>
  <xdr:twoCellAnchor editAs="oneCell">
    <xdr:from>
      <xdr:col>2</xdr:col>
      <xdr:colOff>44824</xdr:colOff>
      <xdr:row>13</xdr:row>
      <xdr:rowOff>26895</xdr:rowOff>
    </xdr:from>
    <xdr:to>
      <xdr:col>6</xdr:col>
      <xdr:colOff>499794</xdr:colOff>
      <xdr:row>16</xdr:row>
      <xdr:rowOff>215579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55DF2FD-E9FD-F9B7-F137-AABFCC03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44589" y="3917577"/>
          <a:ext cx="4390476" cy="10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522515</xdr:colOff>
      <xdr:row>13</xdr:row>
      <xdr:rowOff>10886</xdr:rowOff>
    </xdr:from>
    <xdr:to>
      <xdr:col>10</xdr:col>
      <xdr:colOff>965477</xdr:colOff>
      <xdr:row>17</xdr:row>
      <xdr:rowOff>35229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1EDD516-2DFF-FAE9-2F41-F9B18BD3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64829" y="3886200"/>
          <a:ext cx="5047619" cy="1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435429</xdr:colOff>
      <xdr:row>17</xdr:row>
      <xdr:rowOff>10885</xdr:rowOff>
    </xdr:from>
    <xdr:to>
      <xdr:col>10</xdr:col>
      <xdr:colOff>1002201</xdr:colOff>
      <xdr:row>21</xdr:row>
      <xdr:rowOff>6656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DBA02C1-1E31-7D3A-62B4-2ACBA830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77743" y="5061856"/>
          <a:ext cx="5171429" cy="1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11</xdr:col>
      <xdr:colOff>589462</xdr:colOff>
      <xdr:row>45</xdr:row>
      <xdr:rowOff>70959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69F08-3837-81A8-92D8-C52EF28E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39055" y="13896109"/>
          <a:ext cx="1780952" cy="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27709</xdr:colOff>
      <xdr:row>44</xdr:row>
      <xdr:rowOff>41564</xdr:rowOff>
    </xdr:from>
    <xdr:to>
      <xdr:col>13</xdr:col>
      <xdr:colOff>625870</xdr:colOff>
      <xdr:row>46</xdr:row>
      <xdr:rowOff>97768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C62DC-D5F3-8662-62F3-28987476B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17236" y="13937673"/>
          <a:ext cx="1457143" cy="638095"/>
        </a:xfrm>
        <a:prstGeom prst="rect">
          <a:avLst/>
        </a:prstGeom>
      </xdr:spPr>
    </xdr:pic>
    <xdr:clientData/>
  </xdr:twoCellAnchor>
  <xdr:twoCellAnchor>
    <xdr:from>
      <xdr:col>11</xdr:col>
      <xdr:colOff>221672</xdr:colOff>
      <xdr:row>12</xdr:row>
      <xdr:rowOff>249382</xdr:rowOff>
    </xdr:from>
    <xdr:to>
      <xdr:col>15</xdr:col>
      <xdr:colOff>235527</xdr:colOff>
      <xdr:row>20</xdr:row>
      <xdr:rowOff>138546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5BA3D7-CD1F-CB77-18B6-3B3D3B214026}"/>
            </a:ext>
          </a:extLst>
        </xdr:cNvPr>
        <xdr:cNvGrpSpPr/>
      </xdr:nvGrpSpPr>
      <xdr:grpSpPr>
        <a:xfrm>
          <a:off x="12552217" y="3796146"/>
          <a:ext cx="3449783" cy="2216727"/>
          <a:chOff x="12704617" y="3976255"/>
          <a:chExt cx="2923310" cy="184342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3D76BAB-EF50-232C-6DE1-E7E8956902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2718472" y="3976255"/>
            <a:ext cx="2895238" cy="105714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92662509-8A70-04DB-94C1-E2A6E250B4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2704617" y="5029200"/>
            <a:ext cx="2923310" cy="7904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423</xdr:colOff>
      <xdr:row>18</xdr:row>
      <xdr:rowOff>15511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4E78E-0ADB-8087-7975-E2FA2CD82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877223" cy="3124471"/>
        </a:xfrm>
        <a:prstGeom prst="rect">
          <a:avLst/>
        </a:prstGeom>
      </xdr:spPr>
    </xdr:pic>
    <xdr:clientData/>
  </xdr:twoCellAnchor>
  <xdr:twoCellAnchor>
    <xdr:from>
      <xdr:col>8</xdr:col>
      <xdr:colOff>541021</xdr:colOff>
      <xdr:row>10</xdr:row>
      <xdr:rowOff>76200</xdr:rowOff>
    </xdr:from>
    <xdr:to>
      <xdr:col>12</xdr:col>
      <xdr:colOff>440811</xdr:colOff>
      <xdr:row>20</xdr:row>
      <xdr:rowOff>129540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7737B6B7-7325-2E16-39F0-DCADE43A33E1}"/>
            </a:ext>
          </a:extLst>
        </xdr:cNvPr>
        <xdr:cNvGrpSpPr/>
      </xdr:nvGrpSpPr>
      <xdr:grpSpPr>
        <a:xfrm>
          <a:off x="5417821" y="1905000"/>
          <a:ext cx="2338190" cy="1882140"/>
          <a:chOff x="5417821" y="1905000"/>
          <a:chExt cx="2338190" cy="18821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9DF9F9AD-D9E0-8BDE-95E6-8B261D92C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425441" y="2476500"/>
            <a:ext cx="1698000" cy="76200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14DE3B0-F235-3F93-88E9-3E3A5E0B53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417821" y="3192780"/>
            <a:ext cx="2338190" cy="59436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394F8640-986F-5136-2E2F-C4B99525A0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33060" y="1905000"/>
            <a:ext cx="1645920" cy="556308"/>
          </a:xfrm>
          <a:prstGeom prst="rect">
            <a:avLst/>
          </a:prstGeom>
          <a:ln>
            <a:solidFill>
              <a:srgbClr val="C00000"/>
            </a:solidFill>
          </a:ln>
        </xdr:spPr>
      </xdr:pic>
    </xdr:grpSp>
    <xdr:clientData/>
  </xdr:twoCellAnchor>
  <xdr:twoCellAnchor>
    <xdr:from>
      <xdr:col>12</xdr:col>
      <xdr:colOff>495300</xdr:colOff>
      <xdr:row>8</xdr:row>
      <xdr:rowOff>106681</xdr:rowOff>
    </xdr:from>
    <xdr:to>
      <xdr:col>17</xdr:col>
      <xdr:colOff>12837</xdr:colOff>
      <xdr:row>14</xdr:row>
      <xdr:rowOff>175310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BBE46BE-8192-C908-F80C-7D3E43E43B71}"/>
            </a:ext>
          </a:extLst>
        </xdr:cNvPr>
        <xdr:cNvGrpSpPr/>
      </xdr:nvGrpSpPr>
      <xdr:grpSpPr>
        <a:xfrm>
          <a:off x="7810500" y="1569721"/>
          <a:ext cx="2565537" cy="1165909"/>
          <a:chOff x="7810500" y="1569721"/>
          <a:chExt cx="2565537" cy="11659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9E6905-7F28-18FC-C4B6-8BFB9F68A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18120" y="2156460"/>
            <a:ext cx="1524132" cy="57917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5E157233-E395-7637-A0EC-3CEB8425A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810500" y="1569721"/>
            <a:ext cx="2565537" cy="571500"/>
          </a:xfrm>
          <a:prstGeom prst="rect">
            <a:avLst/>
          </a:prstGeom>
          <a:ln>
            <a:solidFill>
              <a:srgbClr val="C00000"/>
            </a:solidFill>
          </a:ln>
        </xdr:spPr>
      </xdr:pic>
    </xdr:grpSp>
    <xdr:clientData/>
  </xdr:twoCellAnchor>
  <xdr:twoCellAnchor>
    <xdr:from>
      <xdr:col>17</xdr:col>
      <xdr:colOff>509460</xdr:colOff>
      <xdr:row>8</xdr:row>
      <xdr:rowOff>91441</xdr:rowOff>
    </xdr:from>
    <xdr:to>
      <xdr:col>22</xdr:col>
      <xdr:colOff>594675</xdr:colOff>
      <xdr:row>18</xdr:row>
      <xdr:rowOff>30481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8DE5979-9FD0-57B0-4459-44524CD4E35C}"/>
            </a:ext>
          </a:extLst>
        </xdr:cNvPr>
        <xdr:cNvGrpSpPr/>
      </xdr:nvGrpSpPr>
      <xdr:grpSpPr>
        <a:xfrm>
          <a:off x="10872660" y="1554481"/>
          <a:ext cx="3133215" cy="1767840"/>
          <a:chOff x="10872660" y="1554481"/>
          <a:chExt cx="3133215" cy="176784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1873B98-52C8-4A23-BD38-BFA5536F32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873741" y="2171701"/>
            <a:ext cx="2021710" cy="115062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AABEC607-3C5F-496A-A775-A9A1560379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0872660" y="1554481"/>
            <a:ext cx="3133215" cy="609600"/>
          </a:xfrm>
          <a:prstGeom prst="rect">
            <a:avLst/>
          </a:prstGeom>
          <a:ln>
            <a:solidFill>
              <a:srgbClr val="C00000"/>
            </a:solidFill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5</xdr:row>
      <xdr:rowOff>53340</xdr:rowOff>
    </xdr:from>
    <xdr:to>
      <xdr:col>6</xdr:col>
      <xdr:colOff>304083</xdr:colOff>
      <xdr:row>9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4BDFC-44C1-7874-BA9F-E61B5C41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1386840"/>
          <a:ext cx="3085382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502920</xdr:colOff>
      <xdr:row>2</xdr:row>
      <xdr:rowOff>129540</xdr:rowOff>
    </xdr:from>
    <xdr:to>
      <xdr:col>6</xdr:col>
      <xdr:colOff>297426</xdr:colOff>
      <xdr:row>4</xdr:row>
      <xdr:rowOff>144828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0AE94E-921D-785F-3D2F-52911898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2520" y="495300"/>
          <a:ext cx="2842506" cy="548688"/>
        </a:xfrm>
        <a:prstGeom prst="rect">
          <a:avLst/>
        </a:prstGeom>
      </xdr:spPr>
    </xdr:pic>
    <xdr:clientData/>
  </xdr:twoCellAnchor>
  <xdr:twoCellAnchor editAs="oneCell">
    <xdr:from>
      <xdr:col>1</xdr:col>
      <xdr:colOff>289560</xdr:colOff>
      <xdr:row>9</xdr:row>
      <xdr:rowOff>162755</xdr:rowOff>
    </xdr:from>
    <xdr:to>
      <xdr:col>6</xdr:col>
      <xdr:colOff>314694</xdr:colOff>
      <xdr:row>14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6E1FD5-FF48-98B3-ABA0-2FF0AB1C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" y="2563055"/>
          <a:ext cx="3073134" cy="1208846"/>
        </a:xfrm>
        <a:prstGeom prst="rect">
          <a:avLst/>
        </a:prstGeom>
      </xdr:spPr>
    </xdr:pic>
    <xdr:clientData/>
  </xdr:twoCellAnchor>
  <xdr:twoCellAnchor editAs="oneCell">
    <xdr:from>
      <xdr:col>9</xdr:col>
      <xdr:colOff>130664</xdr:colOff>
      <xdr:row>5</xdr:row>
      <xdr:rowOff>236220</xdr:rowOff>
    </xdr:from>
    <xdr:to>
      <xdr:col>11</xdr:col>
      <xdr:colOff>259233</xdr:colOff>
      <xdr:row>8</xdr:row>
      <xdr:rowOff>144861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EE2778-0D2D-E7A0-BD42-4A75468E0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7064" y="1569720"/>
          <a:ext cx="1347769" cy="70874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510540</xdr:colOff>
      <xdr:row>2</xdr:row>
      <xdr:rowOff>220980</xdr:rowOff>
    </xdr:from>
    <xdr:to>
      <xdr:col>19</xdr:col>
      <xdr:colOff>86677</xdr:colOff>
      <xdr:row>5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D61299-370B-0B48-4CD4-67DF0B41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35340" y="754380"/>
          <a:ext cx="3233737" cy="746760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403861</xdr:colOff>
      <xdr:row>6</xdr:row>
      <xdr:rowOff>25037</xdr:rowOff>
    </xdr:from>
    <xdr:to>
      <xdr:col>19</xdr:col>
      <xdr:colOff>198121</xdr:colOff>
      <xdr:row>13</xdr:row>
      <xdr:rowOff>60182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CB4B39-E578-B210-1FF0-6382AABD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28661" y="1625237"/>
          <a:ext cx="3451860" cy="1902045"/>
        </a:xfrm>
        <a:prstGeom prst="rect">
          <a:avLst/>
        </a:prstGeom>
      </xdr:spPr>
    </xdr:pic>
    <xdr:clientData/>
  </xdr:twoCellAnchor>
  <xdr:twoCellAnchor editAs="oneCell">
    <xdr:from>
      <xdr:col>19</xdr:col>
      <xdr:colOff>384711</xdr:colOff>
      <xdr:row>6</xdr:row>
      <xdr:rowOff>1843</xdr:rowOff>
    </xdr:from>
    <xdr:to>
      <xdr:col>24</xdr:col>
      <xdr:colOff>572043</xdr:colOff>
      <xdr:row>13</xdr:row>
      <xdr:rowOff>53341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745E0D-2175-5237-61A2-B372A04A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67111" y="1602043"/>
          <a:ext cx="3235332" cy="1918398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9</xdr:row>
      <xdr:rowOff>213360</xdr:rowOff>
    </xdr:from>
    <xdr:to>
      <xdr:col>12</xdr:col>
      <xdr:colOff>434572</xdr:colOff>
      <xdr:row>12</xdr:row>
      <xdr:rowOff>198188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F49AF1-D559-46E9-BB0E-E5778C5C5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74920" y="2613660"/>
          <a:ext cx="2674852" cy="784928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43158</xdr:rowOff>
    </xdr:from>
    <xdr:to>
      <xdr:col>10</xdr:col>
      <xdr:colOff>388254</xdr:colOff>
      <xdr:row>17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B1BDC-DBFC-FA65-D6C1-AD498DE3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43158"/>
          <a:ext cx="6415674" cy="314200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68580</xdr:colOff>
      <xdr:row>17</xdr:row>
      <xdr:rowOff>167639</xdr:rowOff>
    </xdr:from>
    <xdr:to>
      <xdr:col>10</xdr:col>
      <xdr:colOff>397089</xdr:colOff>
      <xdr:row>38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86C72-3F1A-E528-AEDF-A0BB97545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3276599"/>
          <a:ext cx="6424509" cy="375666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243840</xdr:colOff>
      <xdr:row>0</xdr:row>
      <xdr:rowOff>53340</xdr:rowOff>
    </xdr:from>
    <xdr:to>
      <xdr:col>21</xdr:col>
      <xdr:colOff>563880</xdr:colOff>
      <xdr:row>20</xdr:row>
      <xdr:rowOff>4422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7D792B-EBAD-5959-F60E-C5146F9E3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49440" y="53340"/>
          <a:ext cx="6416040" cy="3608682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236220</xdr:colOff>
      <xdr:row>20</xdr:row>
      <xdr:rowOff>59432</xdr:rowOff>
    </xdr:from>
    <xdr:to>
      <xdr:col>21</xdr:col>
      <xdr:colOff>563880</xdr:colOff>
      <xdr:row>38</xdr:row>
      <xdr:rowOff>73963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BE3CB0-8C93-5484-E057-52B2E769B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41820" y="3717032"/>
          <a:ext cx="6423660" cy="330637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17316</xdr:colOff>
      <xdr:row>1</xdr:row>
      <xdr:rowOff>91441</xdr:rowOff>
    </xdr:from>
    <xdr:to>
      <xdr:col>19</xdr:col>
      <xdr:colOff>343410</xdr:colOff>
      <xdr:row>7</xdr:row>
      <xdr:rowOff>228601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7AC1E-89B4-7A28-3790-82D9F81B0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2516" y="358141"/>
          <a:ext cx="4593294" cy="1737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2CC2-FC7B-4A89-B918-259BC367C51C}">
  <dimension ref="A2:BU128"/>
  <sheetViews>
    <sheetView topLeftCell="A22" zoomScale="55" zoomScaleNormal="55" workbookViewId="0">
      <selection activeCell="O48" sqref="O48"/>
    </sheetView>
  </sheetViews>
  <sheetFormatPr defaultRowHeight="23.4" x14ac:dyDescent="0.45"/>
  <cols>
    <col min="1" max="1" width="8.88671875" style="2"/>
    <col min="2" max="2" width="12.77734375" style="2" customWidth="1"/>
    <col min="3" max="3" width="15" style="2" customWidth="1"/>
    <col min="4" max="4" width="16.21875" style="2" customWidth="1"/>
    <col min="5" max="5" width="17.109375" style="2" customWidth="1"/>
    <col min="6" max="8" width="14.5546875" style="2" customWidth="1"/>
    <col min="9" max="11" width="14.5546875" style="3" customWidth="1"/>
    <col min="12" max="12" width="17.44140625" style="3" customWidth="1"/>
    <col min="13" max="13" width="14.5546875" style="2" customWidth="1"/>
    <col min="14" max="14" width="19.5546875" style="2" customWidth="1"/>
    <col min="15" max="15" width="14.33203125" style="2" customWidth="1"/>
    <col min="16" max="16" width="15.33203125" style="2" bestFit="1" customWidth="1"/>
    <col min="17" max="18" width="15.21875" style="2" customWidth="1"/>
    <col min="19" max="22" width="12.44140625" style="2" customWidth="1"/>
    <col min="23" max="16384" width="8.88671875" style="2"/>
  </cols>
  <sheetData>
    <row r="2" spans="1:11" x14ac:dyDescent="0.45">
      <c r="A2" s="22" t="s">
        <v>11</v>
      </c>
    </row>
    <row r="4" spans="1:11" x14ac:dyDescent="0.45">
      <c r="B4" s="138" t="s">
        <v>12</v>
      </c>
      <c r="C4" s="138"/>
      <c r="D4" s="138"/>
      <c r="E4" s="138"/>
      <c r="F4" s="138"/>
      <c r="I4" s="2"/>
      <c r="J4" s="2"/>
      <c r="K4" s="2"/>
    </row>
    <row r="5" spans="1:11" x14ac:dyDescent="0.45">
      <c r="C5" s="11"/>
      <c r="D5" s="8"/>
      <c r="H5" s="11"/>
      <c r="I5" s="23"/>
      <c r="J5" s="23"/>
    </row>
    <row r="6" spans="1:11" x14ac:dyDescent="0.45">
      <c r="A6" s="9" t="s">
        <v>14</v>
      </c>
      <c r="C6" s="11"/>
      <c r="D6" s="8"/>
      <c r="H6" s="11"/>
      <c r="I6" s="23"/>
      <c r="J6" s="23"/>
    </row>
    <row r="7" spans="1:11" x14ac:dyDescent="0.45">
      <c r="B7" s="2" t="s">
        <v>15</v>
      </c>
      <c r="C7" s="11"/>
      <c r="D7" s="8"/>
      <c r="H7" s="11"/>
      <c r="I7" s="24"/>
      <c r="J7" s="24"/>
    </row>
    <row r="11" spans="1:11" x14ac:dyDescent="0.45">
      <c r="H11" s="2" t="s">
        <v>96</v>
      </c>
    </row>
    <row r="12" spans="1:11" x14ac:dyDescent="0.45">
      <c r="H12" s="2" t="s">
        <v>38</v>
      </c>
    </row>
    <row r="13" spans="1:11" x14ac:dyDescent="0.45">
      <c r="H13" s="2" t="s">
        <v>39</v>
      </c>
    </row>
    <row r="15" spans="1:11" x14ac:dyDescent="0.45">
      <c r="H15" s="2" t="s">
        <v>41</v>
      </c>
    </row>
    <row r="16" spans="1:11" x14ac:dyDescent="0.45">
      <c r="H16" s="2" t="s">
        <v>40</v>
      </c>
    </row>
    <row r="17" spans="2:73" x14ac:dyDescent="0.45">
      <c r="B17" s="2" t="s">
        <v>16</v>
      </c>
      <c r="H17" s="46" t="s">
        <v>37</v>
      </c>
      <c r="I17" s="47"/>
      <c r="J17" s="47"/>
      <c r="K17" s="47"/>
      <c r="L17" s="47"/>
      <c r="M17" s="46"/>
    </row>
    <row r="18" spans="2:73" x14ac:dyDescent="0.45">
      <c r="B18" s="2" t="s">
        <v>17</v>
      </c>
      <c r="H18" s="2" t="s">
        <v>93</v>
      </c>
    </row>
    <row r="19" spans="2:73" x14ac:dyDescent="0.45">
      <c r="B19" s="2" t="s">
        <v>18</v>
      </c>
      <c r="H19" s="2" t="s">
        <v>36</v>
      </c>
    </row>
    <row r="22" spans="2:73" x14ac:dyDescent="0.45">
      <c r="C22" s="2" t="s">
        <v>19</v>
      </c>
      <c r="D22" s="2">
        <v>2.95</v>
      </c>
      <c r="E22" s="2">
        <v>3.45</v>
      </c>
      <c r="F22" s="2">
        <v>3.5</v>
      </c>
      <c r="G22" s="2">
        <v>3.75</v>
      </c>
      <c r="H22" s="2">
        <v>3.48</v>
      </c>
      <c r="I22" s="3">
        <v>3.26</v>
      </c>
      <c r="J22" s="3">
        <v>3.33</v>
      </c>
      <c r="K22" s="3">
        <v>3.2</v>
      </c>
      <c r="L22" s="3">
        <v>3.16</v>
      </c>
      <c r="M22" s="2">
        <v>3.2</v>
      </c>
      <c r="N22" s="2">
        <v>3.22</v>
      </c>
      <c r="O22" s="2">
        <v>3.38</v>
      </c>
      <c r="P22" s="2">
        <v>3.9</v>
      </c>
      <c r="Q22" s="2">
        <v>3.36</v>
      </c>
      <c r="R22" s="2">
        <v>3.25</v>
      </c>
      <c r="S22" s="2">
        <v>3.28</v>
      </c>
      <c r="T22" s="2">
        <v>3.2</v>
      </c>
      <c r="U22" s="2">
        <v>3.22</v>
      </c>
      <c r="V22" s="2">
        <v>2.98</v>
      </c>
      <c r="W22" s="2">
        <v>3.45</v>
      </c>
      <c r="X22" s="2">
        <v>3.7</v>
      </c>
      <c r="Y22" s="2">
        <v>3.34</v>
      </c>
      <c r="Z22" s="2">
        <v>3.18</v>
      </c>
      <c r="AA22" s="2">
        <v>3.35</v>
      </c>
      <c r="AB22" s="2">
        <v>3.12</v>
      </c>
    </row>
    <row r="23" spans="2:73" x14ac:dyDescent="0.45">
      <c r="C23" s="2" t="s">
        <v>20</v>
      </c>
      <c r="D23" s="2">
        <v>3.22</v>
      </c>
      <c r="E23" s="2">
        <v>3.3</v>
      </c>
      <c r="F23" s="2">
        <v>3.34</v>
      </c>
      <c r="G23" s="2">
        <v>3.28</v>
      </c>
      <c r="H23" s="2">
        <v>3.29</v>
      </c>
      <c r="I23" s="3">
        <v>3.25</v>
      </c>
      <c r="J23" s="3">
        <v>3.3</v>
      </c>
      <c r="K23" s="3">
        <v>3.27</v>
      </c>
      <c r="L23" s="3">
        <v>3.38</v>
      </c>
      <c r="M23" s="2">
        <v>3.34</v>
      </c>
      <c r="N23" s="2">
        <v>3.35</v>
      </c>
      <c r="O23" s="2">
        <v>3.19</v>
      </c>
      <c r="P23" s="2">
        <v>3.35</v>
      </c>
      <c r="Q23" s="2">
        <v>3.05</v>
      </c>
      <c r="R23" s="2">
        <v>3.36</v>
      </c>
      <c r="S23" s="2">
        <v>3.28</v>
      </c>
      <c r="T23" s="2">
        <v>3.3</v>
      </c>
      <c r="U23" s="2">
        <v>3.28</v>
      </c>
      <c r="V23" s="2">
        <v>3.3</v>
      </c>
      <c r="W23" s="2">
        <v>3.2</v>
      </c>
      <c r="X23" s="2">
        <v>3.16</v>
      </c>
      <c r="Y23" s="2">
        <v>3.33</v>
      </c>
    </row>
    <row r="24" spans="2:73" ht="94.2" thickBot="1" x14ac:dyDescent="0.5">
      <c r="D24" s="29" t="s">
        <v>33</v>
      </c>
      <c r="E24" s="139" t="s">
        <v>30</v>
      </c>
      <c r="F24" s="139"/>
      <c r="K24" s="21" t="s">
        <v>32</v>
      </c>
      <c r="L24" s="140" t="s">
        <v>31</v>
      </c>
      <c r="M24" s="140"/>
      <c r="N24" s="140"/>
    </row>
    <row r="25" spans="2:73" ht="27.6" thickBot="1" x14ac:dyDescent="0.5">
      <c r="C25" s="19" t="s">
        <v>13</v>
      </c>
      <c r="D25" s="19" t="s">
        <v>23</v>
      </c>
      <c r="E25" s="19" t="s">
        <v>28</v>
      </c>
      <c r="F25" s="19" t="s">
        <v>29</v>
      </c>
      <c r="G25" s="19" t="s">
        <v>21</v>
      </c>
      <c r="H25" s="35" t="s">
        <v>22</v>
      </c>
      <c r="I25" s="36" t="s">
        <v>26</v>
      </c>
      <c r="J25" s="37" t="s">
        <v>27</v>
      </c>
      <c r="K25" s="41" t="s">
        <v>25</v>
      </c>
      <c r="L25" s="42" t="s">
        <v>24</v>
      </c>
      <c r="N25" s="3">
        <f>_xlfn.F.DIST(I26,G26,H26,0)</f>
        <v>2.4586394892937926E-6</v>
      </c>
    </row>
    <row r="26" spans="2:73" ht="24" thickBot="1" x14ac:dyDescent="0.5">
      <c r="B26" s="2" t="s">
        <v>100</v>
      </c>
      <c r="C26" s="25">
        <v>2</v>
      </c>
      <c r="D26" s="18">
        <v>0.97499999999999998</v>
      </c>
      <c r="E26" s="43">
        <f>MAX(_xlfn.VAR.S(D22:Y22),_xlfn.VAR.S(D23:Y23))</f>
        <v>5.2490909090909067E-2</v>
      </c>
      <c r="F26" s="43">
        <f>MIN(_xlfn.VAR.S(D22:Y22),_xlfn.VAR.S(D23:Y23))</f>
        <v>5.9012987012986972E-3</v>
      </c>
      <c r="G26" s="18">
        <f>MIN(COUNT(D22:AB22),COUNT(D23:Y23))-1</f>
        <v>21</v>
      </c>
      <c r="H26" s="26">
        <f>MIN(COUNT(D22:AB22),COUNT(D23:Y23))-1</f>
        <v>21</v>
      </c>
      <c r="I26" s="32">
        <f>E26/F26</f>
        <v>8.8948063380281717</v>
      </c>
      <c r="J26" s="33">
        <f>_xlfn.F.INV(D26,G26,H26)</f>
        <v>2.4085894815647269</v>
      </c>
      <c r="K26" s="34">
        <v>0.05</v>
      </c>
      <c r="L26" s="44">
        <f>_xlfn.F.DIST.RT(I26,G26,H26)*C26</f>
        <v>5.0992829687466821E-6</v>
      </c>
      <c r="N26" s="3">
        <f>_xlfn.F.TEST(D22:Y22,D23:Y23)</f>
        <v>5.0992829687466821E-6</v>
      </c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</row>
    <row r="27" spans="2:73" ht="24" thickBot="1" x14ac:dyDescent="0.5">
      <c r="C27" s="25">
        <v>2</v>
      </c>
      <c r="D27" s="18">
        <v>0.97499999999999998</v>
      </c>
      <c r="E27" s="43">
        <v>48</v>
      </c>
      <c r="F27" s="43">
        <v>20</v>
      </c>
      <c r="G27" s="18">
        <f>26-1</f>
        <v>25</v>
      </c>
      <c r="H27" s="26">
        <f>16-1</f>
        <v>15</v>
      </c>
      <c r="I27" s="32">
        <f>E27/F27</f>
        <v>2.4</v>
      </c>
      <c r="J27" s="33">
        <f>_xlfn.F.INV(D27,G27,H27)</f>
        <v>2.689395596918545</v>
      </c>
      <c r="K27" s="34">
        <v>0.05</v>
      </c>
      <c r="L27" s="45">
        <f>_xlfn.F.DIST.RT(I27,G27,H27)*C27</f>
        <v>8.1198268612887703E-2</v>
      </c>
      <c r="N27" s="3">
        <f>_xlfn.F.DIST.RT(I26,G26,H26)*2</f>
        <v>5.0992829687466821E-6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</row>
    <row r="28" spans="2:73" ht="24" thickBot="1" x14ac:dyDescent="0.5">
      <c r="C28" s="25">
        <v>2</v>
      </c>
      <c r="D28" s="18">
        <v>0.97499999999999998</v>
      </c>
      <c r="E28" s="43">
        <v>1809.8222000000001</v>
      </c>
      <c r="F28" s="43">
        <v>1058.0110999999999</v>
      </c>
      <c r="G28" s="18">
        <f>10-1</f>
        <v>9</v>
      </c>
      <c r="H28" s="26">
        <f>10-1</f>
        <v>9</v>
      </c>
      <c r="I28" s="32">
        <f>E28/F28</f>
        <v>1.7105890476952466</v>
      </c>
      <c r="J28" s="33">
        <f>_xlfn.F.INV(D28,G28,H28)</f>
        <v>4.0259941582829777</v>
      </c>
      <c r="K28" s="34">
        <v>0.05</v>
      </c>
      <c r="L28" s="45">
        <f>_xlfn.F.DIST.RT(I28,G28,H28)*C28</f>
        <v>0.43612860712467716</v>
      </c>
      <c r="N28" s="3">
        <f>FTEST(D22:Y22,D23:Y23)</f>
        <v>5.0992829687466821E-6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</row>
    <row r="29" spans="2:73" ht="24" thickBot="1" x14ac:dyDescent="0.5">
      <c r="C29" s="25">
        <v>1</v>
      </c>
      <c r="D29" s="18">
        <v>0.95</v>
      </c>
      <c r="E29" s="43">
        <v>4.4000000000000004</v>
      </c>
      <c r="F29" s="43">
        <v>1.9</v>
      </c>
      <c r="G29" s="18">
        <f>25-1</f>
        <v>24</v>
      </c>
      <c r="H29" s="26">
        <f>21-1</f>
        <v>20</v>
      </c>
      <c r="I29" s="32">
        <f>E29/F29</f>
        <v>2.3157894736842106</v>
      </c>
      <c r="J29" s="33">
        <f>_xlfn.F.INV(D29,G29,H29)</f>
        <v>2.0824537182164784</v>
      </c>
      <c r="K29" s="34">
        <v>0.05</v>
      </c>
      <c r="L29" s="45">
        <f>_xlfn.F.DIST.RT(I29,G29,H29)*C29</f>
        <v>3.0322853331634435E-2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</row>
    <row r="30" spans="2:73" x14ac:dyDescent="0.45"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</row>
    <row r="31" spans="2:73" x14ac:dyDescent="0.45">
      <c r="C31" s="2" t="s">
        <v>34</v>
      </c>
      <c r="D31" s="2">
        <v>43</v>
      </c>
      <c r="E31" s="2">
        <v>40</v>
      </c>
      <c r="F31" s="2">
        <v>32</v>
      </c>
      <c r="G31" s="2">
        <v>38</v>
      </c>
      <c r="H31" s="2">
        <v>32</v>
      </c>
      <c r="I31" s="3">
        <v>34</v>
      </c>
      <c r="J31" s="3">
        <v>46</v>
      </c>
      <c r="K31" s="3">
        <v>33</v>
      </c>
      <c r="L31" s="3">
        <v>39</v>
      </c>
      <c r="M31" s="2">
        <v>34</v>
      </c>
      <c r="N31" s="2">
        <v>48</v>
      </c>
      <c r="O31" s="2">
        <v>42</v>
      </c>
      <c r="P31" s="2">
        <v>9</v>
      </c>
      <c r="Q31" s="2">
        <v>49</v>
      </c>
      <c r="R31" s="2">
        <v>40</v>
      </c>
      <c r="S31" s="2">
        <v>40</v>
      </c>
      <c r="T31" s="2">
        <v>35</v>
      </c>
      <c r="U31" s="2">
        <v>40</v>
      </c>
      <c r="V31" s="2">
        <v>40</v>
      </c>
      <c r="W31" s="2">
        <v>39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</row>
    <row r="32" spans="2:73" ht="24" thickBot="1" x14ac:dyDescent="0.5">
      <c r="C32" s="2" t="s">
        <v>35</v>
      </c>
      <c r="D32" s="2">
        <v>50</v>
      </c>
      <c r="E32" s="2">
        <v>45</v>
      </c>
      <c r="F32" s="2">
        <v>47</v>
      </c>
      <c r="G32" s="2">
        <v>52</v>
      </c>
      <c r="H32" s="2">
        <v>42</v>
      </c>
      <c r="I32" s="3">
        <v>41</v>
      </c>
      <c r="J32" s="3">
        <v>44</v>
      </c>
      <c r="K32" s="3">
        <v>43</v>
      </c>
      <c r="L32" s="3">
        <v>55</v>
      </c>
      <c r="M32" s="2">
        <v>54</v>
      </c>
      <c r="N32" s="2">
        <v>54</v>
      </c>
      <c r="O32" s="2">
        <v>53</v>
      </c>
      <c r="P32" s="2">
        <v>46</v>
      </c>
      <c r="Q32" s="2">
        <v>56</v>
      </c>
      <c r="R32" s="2">
        <v>39</v>
      </c>
      <c r="S32" s="3">
        <v>55</v>
      </c>
      <c r="T32" s="3">
        <v>44</v>
      </c>
      <c r="U32" s="3">
        <v>51</v>
      </c>
      <c r="V32" s="3">
        <v>39</v>
      </c>
      <c r="W32" s="2">
        <v>40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</row>
    <row r="33" spans="1:73" ht="24" thickBot="1" x14ac:dyDescent="0.5">
      <c r="C33" s="25">
        <v>2</v>
      </c>
      <c r="D33" s="18">
        <v>0.97499999999999998</v>
      </c>
      <c r="E33" s="43">
        <f>MAX(_xlfn.VAR.S(D31:Y31),_xlfn.VAR.S(D32:Y32))</f>
        <v>69.71315789473681</v>
      </c>
      <c r="F33" s="43">
        <f>MIN(_xlfn.VAR.S(D31:Y31),_xlfn.VAR.S(D32:Y32))</f>
        <v>35</v>
      </c>
      <c r="G33" s="18">
        <f>MAX(COUNT(D31:AB31),COUNT(D32:Y32))-1</f>
        <v>19</v>
      </c>
      <c r="H33" s="26">
        <f>MIN(COUNT(D31:AB31),COUNT(D32:Y32))-1</f>
        <v>19</v>
      </c>
      <c r="I33" s="32">
        <f>E33/F33</f>
        <v>1.9918045112781946</v>
      </c>
      <c r="J33" s="33">
        <f>_xlfn.F.INV(D33,G33,H33)</f>
        <v>2.5264509335792589</v>
      </c>
      <c r="K33" s="34">
        <v>0.05</v>
      </c>
      <c r="L33" s="45">
        <f>_xlfn.F.DIST.RT(I33,G33,H33)*C33</f>
        <v>0.14209874402826617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</row>
    <row r="34" spans="1:73" x14ac:dyDescent="0.45"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</row>
    <row r="35" spans="1:73" x14ac:dyDescent="0.45">
      <c r="C35" s="2" t="s">
        <v>97</v>
      </c>
      <c r="D35" s="2">
        <v>224</v>
      </c>
      <c r="E35" s="2">
        <v>189</v>
      </c>
      <c r="F35" s="2">
        <v>248</v>
      </c>
      <c r="G35" s="2">
        <v>285</v>
      </c>
      <c r="H35" s="2">
        <v>273</v>
      </c>
      <c r="I35" s="2">
        <v>190</v>
      </c>
      <c r="J35" s="3">
        <v>243</v>
      </c>
      <c r="K35" s="3">
        <v>215</v>
      </c>
      <c r="L35" s="3">
        <v>280</v>
      </c>
      <c r="M35" s="2">
        <v>317</v>
      </c>
      <c r="N35" s="3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</row>
    <row r="36" spans="1:73" ht="24" thickBot="1" x14ac:dyDescent="0.5">
      <c r="C36" s="2" t="s">
        <v>98</v>
      </c>
      <c r="D36" s="2">
        <v>192</v>
      </c>
      <c r="E36" s="2">
        <v>236</v>
      </c>
      <c r="F36" s="2">
        <v>164</v>
      </c>
      <c r="G36" s="2">
        <v>154</v>
      </c>
      <c r="H36" s="2">
        <v>189</v>
      </c>
      <c r="I36" s="2">
        <v>220</v>
      </c>
      <c r="J36" s="3">
        <v>261</v>
      </c>
      <c r="K36" s="3">
        <v>186</v>
      </c>
      <c r="L36" s="3">
        <v>219</v>
      </c>
      <c r="M36" s="2">
        <v>202</v>
      </c>
      <c r="N36" s="3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</row>
    <row r="37" spans="1:73" ht="24" thickBot="1" x14ac:dyDescent="0.5">
      <c r="C37" s="25">
        <v>2</v>
      </c>
      <c r="D37" s="18">
        <v>0.97499999999999998</v>
      </c>
      <c r="E37" s="43">
        <f>MAX(_xlfn.VAR.S(D35:Y35),_xlfn.VAR.S(D36:Y36))</f>
        <v>1809.8222222222248</v>
      </c>
      <c r="F37" s="43">
        <f>MIN(_xlfn.VAR.S(D35:Y35),_xlfn.VAR.S(D36:Y36))</f>
        <v>1058.0111111111084</v>
      </c>
      <c r="G37" s="18">
        <f>MAX(COUNT(D35:AB35),COUNT(D36:Y36))-1</f>
        <v>9</v>
      </c>
      <c r="H37" s="26">
        <f>MIN(COUNT(D35:AB35),COUNT(D36:Y36))-1</f>
        <v>9</v>
      </c>
      <c r="I37" s="32">
        <f>E37/F37</f>
        <v>1.7105890507346135</v>
      </c>
      <c r="J37" s="33">
        <f>_xlfn.F.INV(D37,G37,H37)</f>
        <v>4.0259941582829777</v>
      </c>
      <c r="K37" s="34">
        <v>0.05</v>
      </c>
      <c r="L37" s="45">
        <f>_xlfn.F.DIST.RT(I37,G37,H37)*C37</f>
        <v>0.43612860562332711</v>
      </c>
      <c r="N37" s="3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</row>
    <row r="38" spans="1:73" x14ac:dyDescent="0.45">
      <c r="I38" s="2"/>
      <c r="N38" s="3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45">
      <c r="C39" s="2" t="s">
        <v>175</v>
      </c>
      <c r="D39" s="2">
        <v>58</v>
      </c>
      <c r="E39" s="2">
        <v>105</v>
      </c>
      <c r="F39" s="2">
        <v>88</v>
      </c>
      <c r="G39" s="2">
        <v>118</v>
      </c>
      <c r="H39" s="2">
        <v>117</v>
      </c>
      <c r="I39" s="2">
        <v>137</v>
      </c>
      <c r="J39" s="3">
        <v>157</v>
      </c>
      <c r="K39" s="3">
        <v>169</v>
      </c>
      <c r="L39" s="3">
        <v>149</v>
      </c>
      <c r="M39" s="2">
        <v>202</v>
      </c>
      <c r="N39" s="3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ht="24" thickBot="1" x14ac:dyDescent="0.5">
      <c r="C40" s="2" t="s">
        <v>176</v>
      </c>
      <c r="D40" s="2">
        <v>70</v>
      </c>
      <c r="E40" s="2">
        <v>90</v>
      </c>
      <c r="F40" s="2">
        <v>100</v>
      </c>
      <c r="G40" s="2">
        <v>100</v>
      </c>
      <c r="H40" s="2">
        <v>120</v>
      </c>
      <c r="I40" s="2">
        <v>140</v>
      </c>
      <c r="J40" s="3">
        <v>160</v>
      </c>
      <c r="K40" s="3">
        <v>160</v>
      </c>
      <c r="L40" s="3">
        <v>170</v>
      </c>
      <c r="M40" s="2">
        <v>190</v>
      </c>
      <c r="N40" s="3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ht="24" thickBot="1" x14ac:dyDescent="0.5">
      <c r="C41" s="25">
        <v>2</v>
      </c>
      <c r="D41" s="18">
        <v>0.97499999999999998</v>
      </c>
      <c r="E41" s="43">
        <f>MAX(_xlfn.VAR.S(D39:Y39),_xlfn.VAR.S(D40:Y40))</f>
        <v>1747.7777777777778</v>
      </c>
      <c r="F41" s="43">
        <f>MIN(_xlfn.VAR.S(D39:Y39),_xlfn.VAR.S(D40:Y40))</f>
        <v>1577.7777777777778</v>
      </c>
      <c r="G41" s="18">
        <f>MAX(COUNT(D39:AB39),COUNT(D40:Y40))-1</f>
        <v>9</v>
      </c>
      <c r="H41" s="26">
        <f>MIN(COUNT(D39:AB39),COUNT(D40:Y40))-1</f>
        <v>9</v>
      </c>
      <c r="I41" s="32">
        <f>E41/F41</f>
        <v>1.1077464788732394</v>
      </c>
      <c r="J41" s="33">
        <f>_xlfn.F.INV(D41,G41,H41)</f>
        <v>4.0259941582829777</v>
      </c>
      <c r="K41" s="34">
        <v>0.05</v>
      </c>
      <c r="L41" s="45">
        <f>_xlfn.F.DIST.RT(I41,G41,H41)*C41</f>
        <v>0.88134574904283702</v>
      </c>
      <c r="N41" s="3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45">
      <c r="I42" s="2"/>
      <c r="N42" s="3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45"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45"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1:73" x14ac:dyDescent="0.45">
      <c r="A45" s="9" t="s">
        <v>62</v>
      </c>
      <c r="S45" s="3"/>
      <c r="T45" s="3"/>
      <c r="U45" s="3"/>
      <c r="V45" s="3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1:73" x14ac:dyDescent="0.45">
      <c r="A46" s="9"/>
      <c r="S46" s="3"/>
      <c r="T46" s="3"/>
      <c r="U46" s="3"/>
      <c r="V46" s="3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</row>
    <row r="47" spans="1:73" x14ac:dyDescent="0.45">
      <c r="A47" s="9"/>
      <c r="S47" s="3"/>
      <c r="T47" s="3"/>
      <c r="U47" s="3"/>
      <c r="V47" s="3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</row>
    <row r="48" spans="1:73" x14ac:dyDescent="0.45">
      <c r="A48" s="9"/>
      <c r="S48" s="3"/>
      <c r="T48" s="3"/>
      <c r="U48" s="3"/>
      <c r="V48" s="3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</row>
    <row r="49" spans="1:73" x14ac:dyDescent="0.45">
      <c r="A49" s="9"/>
      <c r="S49" s="3"/>
      <c r="T49" s="3"/>
      <c r="U49" s="3"/>
      <c r="V49" s="3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</row>
    <row r="50" spans="1:73" x14ac:dyDescent="0.45">
      <c r="A50" s="9"/>
      <c r="S50" s="3"/>
      <c r="T50" s="3"/>
      <c r="U50" s="3"/>
      <c r="V50" s="3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</row>
    <row r="51" spans="1:73" x14ac:dyDescent="0.45">
      <c r="A51" s="9"/>
      <c r="S51" s="3"/>
      <c r="T51" s="3"/>
      <c r="U51" s="3"/>
      <c r="V51" s="3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x14ac:dyDescent="0.45">
      <c r="A52" s="9"/>
      <c r="S52" s="3"/>
      <c r="T52" s="3"/>
      <c r="U52" s="3"/>
      <c r="V52" s="3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x14ac:dyDescent="0.45">
      <c r="A53" s="9"/>
      <c r="S53" s="3"/>
      <c r="T53" s="3"/>
      <c r="U53" s="3"/>
      <c r="V53" s="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</row>
    <row r="54" spans="1:73" x14ac:dyDescent="0.45">
      <c r="A54" s="9"/>
      <c r="D54" s="2" t="s">
        <v>66</v>
      </c>
      <c r="S54" s="3"/>
      <c r="T54" s="3"/>
      <c r="U54" s="3"/>
      <c r="V54" s="3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</row>
    <row r="55" spans="1:73" x14ac:dyDescent="0.45">
      <c r="A55" s="9"/>
      <c r="D55" s="2" t="s">
        <v>67</v>
      </c>
      <c r="S55" s="3"/>
      <c r="T55" s="3"/>
      <c r="U55" s="3"/>
      <c r="V55" s="3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</row>
    <row r="56" spans="1:73" x14ac:dyDescent="0.45">
      <c r="A56" s="9"/>
      <c r="S56" s="3"/>
      <c r="T56" s="3"/>
      <c r="U56" s="3"/>
      <c r="V56" s="3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</row>
    <row r="57" spans="1:73" x14ac:dyDescent="0.45">
      <c r="D57" s="2" t="s">
        <v>57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</row>
    <row r="58" spans="1:73" x14ac:dyDescent="0.45">
      <c r="C58" s="2" t="s">
        <v>59</v>
      </c>
      <c r="D58" s="2" t="s">
        <v>58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</row>
    <row r="59" spans="1:73" ht="24" thickBot="1" x14ac:dyDescent="0.5"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</row>
    <row r="60" spans="1:73" ht="27.6" thickBot="1" x14ac:dyDescent="0.65">
      <c r="D60" s="2" t="s">
        <v>60</v>
      </c>
      <c r="E60" s="2" t="s">
        <v>61</v>
      </c>
      <c r="F60" s="2" t="s">
        <v>42</v>
      </c>
      <c r="J60" s="84" t="s">
        <v>90</v>
      </c>
      <c r="M60" s="2">
        <f>SUM(G69:J73)/COUNT(G69:J73)</f>
        <v>0.23099999999999987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</row>
    <row r="61" spans="1:73" ht="28.2" x14ac:dyDescent="0.6">
      <c r="B61" s="2" t="s">
        <v>56</v>
      </c>
      <c r="C61" s="2">
        <v>1</v>
      </c>
      <c r="J61" s="49" t="s">
        <v>70</v>
      </c>
      <c r="K61" s="2"/>
      <c r="L61" s="2"/>
      <c r="M61" s="50">
        <f>SUM(O69:R69)</f>
        <v>0.59266000000000119</v>
      </c>
    </row>
    <row r="62" spans="1:73" ht="27" x14ac:dyDescent="0.6">
      <c r="C62" s="2">
        <v>2</v>
      </c>
      <c r="J62" s="49" t="s">
        <v>72</v>
      </c>
      <c r="K62" s="2"/>
      <c r="L62" s="2"/>
      <c r="M62" s="50">
        <f>SUM(S69:V73)</f>
        <v>4.0273200000000156</v>
      </c>
      <c r="O62" s="10"/>
    </row>
    <row r="63" spans="1:73" ht="28.2" x14ac:dyDescent="0.6">
      <c r="F63" s="1"/>
      <c r="J63" s="56" t="s">
        <v>71</v>
      </c>
      <c r="K63" s="10"/>
      <c r="L63" s="10"/>
      <c r="M63" s="61">
        <f>SUM(K69:N73)</f>
        <v>4.6199800000000169</v>
      </c>
    </row>
    <row r="64" spans="1:73" x14ac:dyDescent="0.45">
      <c r="J64" s="2"/>
      <c r="K64" s="2"/>
      <c r="L64" s="2"/>
    </row>
    <row r="65" spans="1:22" ht="24" thickBot="1" x14ac:dyDescent="0.5">
      <c r="J65" s="2"/>
      <c r="K65" s="2"/>
      <c r="L65" s="2"/>
    </row>
    <row r="66" spans="1:22" ht="24" thickBot="1" x14ac:dyDescent="0.5">
      <c r="G66" s="141" t="s">
        <v>77</v>
      </c>
      <c r="H66" s="142"/>
      <c r="I66" s="142"/>
      <c r="J66" s="142"/>
      <c r="K66" s="149" t="s">
        <v>87</v>
      </c>
      <c r="L66" s="149"/>
      <c r="M66" s="149"/>
      <c r="N66" s="149"/>
      <c r="O66" s="149" t="s">
        <v>85</v>
      </c>
      <c r="P66" s="149"/>
      <c r="Q66" s="149"/>
      <c r="R66" s="149"/>
      <c r="S66" s="149" t="s">
        <v>86</v>
      </c>
      <c r="T66" s="149"/>
      <c r="U66" s="149"/>
      <c r="V66" s="149"/>
    </row>
    <row r="67" spans="1:22" ht="24" thickBot="1" x14ac:dyDescent="0.5">
      <c r="B67" s="2" t="s">
        <v>68</v>
      </c>
      <c r="C67" s="75" t="s">
        <v>43</v>
      </c>
      <c r="D67" s="76" t="s">
        <v>44</v>
      </c>
      <c r="E67" s="76" t="s">
        <v>45</v>
      </c>
      <c r="F67" s="77" t="s">
        <v>46</v>
      </c>
      <c r="G67" s="78" t="s">
        <v>43</v>
      </c>
      <c r="H67" s="79" t="s">
        <v>44</v>
      </c>
      <c r="I67" s="79" t="s">
        <v>45</v>
      </c>
      <c r="J67" s="80" t="s">
        <v>46</v>
      </c>
      <c r="K67" s="81" t="s">
        <v>43</v>
      </c>
      <c r="L67" s="82" t="s">
        <v>44</v>
      </c>
      <c r="M67" s="82" t="s">
        <v>45</v>
      </c>
      <c r="N67" s="83" t="s">
        <v>46</v>
      </c>
      <c r="O67" s="78" t="s">
        <v>43</v>
      </c>
      <c r="P67" s="79" t="s">
        <v>44</v>
      </c>
      <c r="Q67" s="79" t="s">
        <v>45</v>
      </c>
      <c r="R67" s="80" t="s">
        <v>46</v>
      </c>
      <c r="S67" s="78" t="s">
        <v>43</v>
      </c>
      <c r="T67" s="79" t="s">
        <v>44</v>
      </c>
      <c r="U67" s="79" t="s">
        <v>45</v>
      </c>
      <c r="V67" s="80" t="s">
        <v>46</v>
      </c>
    </row>
    <row r="68" spans="1:22" ht="37.200000000000003" customHeight="1" thickBot="1" x14ac:dyDescent="0.65">
      <c r="A68" s="11" t="s">
        <v>69</v>
      </c>
      <c r="B68" s="2" t="s">
        <v>0</v>
      </c>
      <c r="C68" s="72">
        <f>MEDIAN(C69:C73)</f>
        <v>29.96</v>
      </c>
      <c r="D68" s="73">
        <f>MEDIAN(D69:D73)</f>
        <v>32.130000000000003</v>
      </c>
      <c r="E68" s="73">
        <f>MEDIAN(E69:E73)</f>
        <v>30.91</v>
      </c>
      <c r="F68" s="74">
        <f>MEDIAN(F69:F73)</f>
        <v>30.29</v>
      </c>
      <c r="G68" s="143" t="s">
        <v>88</v>
      </c>
      <c r="H68" s="144"/>
      <c r="I68" s="144"/>
      <c r="J68" s="145"/>
      <c r="K68" s="146" t="s">
        <v>71</v>
      </c>
      <c r="L68" s="147"/>
      <c r="M68" s="147"/>
      <c r="N68" s="148"/>
      <c r="O68" s="143" t="s">
        <v>92</v>
      </c>
      <c r="P68" s="144"/>
      <c r="Q68" s="144"/>
      <c r="R68" s="145"/>
      <c r="S68" s="143" t="s">
        <v>72</v>
      </c>
      <c r="T68" s="144"/>
      <c r="U68" s="144"/>
      <c r="V68" s="145"/>
    </row>
    <row r="69" spans="1:22" x14ac:dyDescent="0.45">
      <c r="C69" s="48">
        <v>30.06</v>
      </c>
      <c r="D69" s="12">
        <v>32.22</v>
      </c>
      <c r="E69" s="12">
        <v>30.78</v>
      </c>
      <c r="F69" s="13">
        <v>30.33</v>
      </c>
      <c r="G69" s="85">
        <f>ABS(C69-C68)</f>
        <v>9.9999999999997868E-2</v>
      </c>
      <c r="H69" s="86">
        <f>ABS(D69-D68)</f>
        <v>8.9999999999996305E-2</v>
      </c>
      <c r="I69" s="86">
        <f>ABS(E69-E68)</f>
        <v>0.12999999999999901</v>
      </c>
      <c r="J69" s="87">
        <f>ABS(F69-F68)</f>
        <v>3.9999999999999147E-2</v>
      </c>
      <c r="K69" s="53">
        <f>(G69-$M$60)^2</f>
        <v>1.7161000000000527E-2</v>
      </c>
      <c r="L69" s="54">
        <f t="shared" ref="L69:N73" si="0">(H69-$M$60)^2</f>
        <v>1.9881000000001006E-2</v>
      </c>
      <c r="M69" s="54">
        <f t="shared" si="0"/>
        <v>1.0201000000000175E-2</v>
      </c>
      <c r="N69" s="55">
        <f t="shared" si="0"/>
        <v>3.6481000000000277E-2</v>
      </c>
      <c r="O69" s="48">
        <f>G74*(G75-$M$60)^2</f>
        <v>0.38920500000000069</v>
      </c>
      <c r="P69" s="12">
        <f>H74*(H75-$M$60)^2</f>
        <v>1.2500000000000301E-4</v>
      </c>
      <c r="Q69" s="12">
        <f>I74*(I75-$M$60)^2</f>
        <v>8.3205000000000362E-2</v>
      </c>
      <c r="R69" s="13">
        <f>J74*(J75-$M$60)^2</f>
        <v>0.12012500000000012</v>
      </c>
      <c r="S69" s="48">
        <f>(G69-G75)^2</f>
        <v>0.16810000000000186</v>
      </c>
      <c r="T69" s="12">
        <f>(H69-H75)^2</f>
        <v>2.131600000000106E-2</v>
      </c>
      <c r="U69" s="12">
        <f>(I69-I75)^2</f>
        <v>7.8399999999996647E-4</v>
      </c>
      <c r="V69" s="13">
        <f>(J69-J75)^2</f>
        <v>1.2960000000000473E-3</v>
      </c>
    </row>
    <row r="70" spans="1:22" x14ac:dyDescent="0.45">
      <c r="C70" s="49">
        <v>29.96</v>
      </c>
      <c r="D70" s="2">
        <v>31.47</v>
      </c>
      <c r="E70" s="2">
        <v>30.91</v>
      </c>
      <c r="F70" s="50">
        <v>30.29</v>
      </c>
      <c r="G70" s="88">
        <f>ABS(C70-C68)</f>
        <v>0</v>
      </c>
      <c r="H70" s="7">
        <f>ABS(D70-D68)</f>
        <v>0.66000000000000369</v>
      </c>
      <c r="I70" s="7">
        <f>ABS(E70-E68)</f>
        <v>0</v>
      </c>
      <c r="J70" s="89">
        <f>ABS(F70-F68)</f>
        <v>0</v>
      </c>
      <c r="K70" s="56">
        <f>(G70-$M$60)^2</f>
        <v>5.3360999999999943E-2</v>
      </c>
      <c r="L70" s="10">
        <f t="shared" si="0"/>
        <v>0.18404100000000329</v>
      </c>
      <c r="M70" s="10">
        <f t="shared" si="0"/>
        <v>5.3360999999999943E-2</v>
      </c>
      <c r="N70" s="57">
        <f t="shared" si="0"/>
        <v>5.3360999999999943E-2</v>
      </c>
      <c r="O70" s="49"/>
      <c r="R70" s="50"/>
      <c r="S70" s="49">
        <f>(G70-G75)^2</f>
        <v>0.26010000000000011</v>
      </c>
      <c r="T70" s="2">
        <f>(H70-H75)^2</f>
        <v>0.17977600000000318</v>
      </c>
      <c r="U70" s="2">
        <f>(I70-I75)^2</f>
        <v>1.040399999999992E-2</v>
      </c>
      <c r="V70" s="50">
        <f>(J70-J75)^2</f>
        <v>5.7759999999999704E-3</v>
      </c>
    </row>
    <row r="71" spans="1:22" x14ac:dyDescent="0.45">
      <c r="C71" s="49">
        <v>30.19</v>
      </c>
      <c r="D71" s="2">
        <v>32.130000000000003</v>
      </c>
      <c r="E71" s="2">
        <v>30.79</v>
      </c>
      <c r="F71" s="50">
        <v>30.25</v>
      </c>
      <c r="G71" s="88">
        <f>ABS(C71-C68)</f>
        <v>0.23000000000000043</v>
      </c>
      <c r="H71" s="7">
        <f>ABS(D71-D68)</f>
        <v>0</v>
      </c>
      <c r="I71" s="7">
        <f>ABS(E71-E68)</f>
        <v>0.12000000000000099</v>
      </c>
      <c r="J71" s="89">
        <f>ABS(F71-F68)</f>
        <v>3.9999999999999147E-2</v>
      </c>
      <c r="K71" s="56">
        <f>(G71-$M$60)^2</f>
        <v>9.9999999999889161E-7</v>
      </c>
      <c r="L71" s="10">
        <f t="shared" si="0"/>
        <v>5.3360999999999943E-2</v>
      </c>
      <c r="M71" s="10">
        <f t="shared" si="0"/>
        <v>1.2320999999999751E-2</v>
      </c>
      <c r="N71" s="57">
        <f t="shared" si="0"/>
        <v>3.6481000000000277E-2</v>
      </c>
      <c r="O71" s="49"/>
      <c r="R71" s="50"/>
      <c r="S71" s="49">
        <f>(G71-G75)^2</f>
        <v>7.8399999999999831E-2</v>
      </c>
      <c r="T71" s="2">
        <f>(H71-H75)^2</f>
        <v>5.5695999999999968E-2</v>
      </c>
      <c r="U71" s="2">
        <f>(I71-I75)^2</f>
        <v>3.2400000000005005E-4</v>
      </c>
      <c r="V71" s="50">
        <f>(J71-J75)^2</f>
        <v>1.2960000000000473E-3</v>
      </c>
    </row>
    <row r="72" spans="1:22" x14ac:dyDescent="0.45">
      <c r="C72" s="49">
        <v>29.96</v>
      </c>
      <c r="D72" s="2">
        <v>31.86</v>
      </c>
      <c r="E72" s="2">
        <v>30.95</v>
      </c>
      <c r="F72" s="50">
        <v>30.25</v>
      </c>
      <c r="G72" s="88">
        <f>ABS(C72-C68)</f>
        <v>0</v>
      </c>
      <c r="H72" s="7">
        <f>ABS(D72-D68)</f>
        <v>0.27000000000000313</v>
      </c>
      <c r="I72" s="7">
        <f>ABS(E72-E68)</f>
        <v>3.9999999999999147E-2</v>
      </c>
      <c r="J72" s="89">
        <f>ABS(F72-F68)</f>
        <v>3.9999999999999147E-2</v>
      </c>
      <c r="K72" s="56">
        <f>(G72-$M$60)^2</f>
        <v>5.3360999999999943E-2</v>
      </c>
      <c r="L72" s="10">
        <f t="shared" si="0"/>
        <v>1.5210000000002539E-3</v>
      </c>
      <c r="M72" s="10">
        <f t="shared" si="0"/>
        <v>3.6481000000000277E-2</v>
      </c>
      <c r="N72" s="57">
        <f t="shared" si="0"/>
        <v>3.6481000000000277E-2</v>
      </c>
      <c r="O72" s="49"/>
      <c r="R72" s="50"/>
      <c r="S72" s="49">
        <f>(G72-G75)^2</f>
        <v>0.26010000000000011</v>
      </c>
      <c r="T72" s="2">
        <f>(H72-H75)^2</f>
        <v>1.1560000000002172E-3</v>
      </c>
      <c r="U72" s="2">
        <f>(I72-I75)^2</f>
        <v>3.8440000000000566E-3</v>
      </c>
      <c r="V72" s="50">
        <f>(J72-J75)^2</f>
        <v>1.2960000000000473E-3</v>
      </c>
    </row>
    <row r="73" spans="1:22" ht="24" thickBot="1" x14ac:dyDescent="0.5">
      <c r="C73" s="17">
        <v>27.74</v>
      </c>
      <c r="D73" s="14">
        <v>32.29</v>
      </c>
      <c r="E73" s="14">
        <v>31.13</v>
      </c>
      <c r="F73" s="15">
        <v>30.55</v>
      </c>
      <c r="G73" s="90">
        <f>ABS(C73-C68)</f>
        <v>2.2200000000000024</v>
      </c>
      <c r="H73" s="91">
        <f>ABS(D73-D68)</f>
        <v>0.15999999999999659</v>
      </c>
      <c r="I73" s="91">
        <f>ABS(E73-E68)</f>
        <v>0.21999999999999886</v>
      </c>
      <c r="J73" s="92">
        <f>ABS(F73-F68)</f>
        <v>0.26000000000000156</v>
      </c>
      <c r="K73" s="58">
        <f>(G73-$M$60)^2</f>
        <v>3.9561210000000102</v>
      </c>
      <c r="L73" s="59">
        <f t="shared" si="0"/>
        <v>5.0410000000004661E-3</v>
      </c>
      <c r="M73" s="59">
        <f t="shared" si="0"/>
        <v>1.210000000000222E-4</v>
      </c>
      <c r="N73" s="60">
        <f>(J73-$M$60)^2</f>
        <v>8.4100000000009807E-4</v>
      </c>
      <c r="O73" s="17"/>
      <c r="P73" s="14"/>
      <c r="Q73" s="14"/>
      <c r="R73" s="15"/>
      <c r="S73" s="17">
        <f>(G73-G75)^2</f>
        <v>2.9241000000000077</v>
      </c>
      <c r="T73" s="14">
        <f>(H73-H75)^2</f>
        <v>5.7760000000005082E-3</v>
      </c>
      <c r="U73" s="14">
        <f>(I73-I75)^2</f>
        <v>1.3923999999999825E-2</v>
      </c>
      <c r="V73" s="15">
        <f>(J73-J75)^2</f>
        <v>3.3856000000000649E-2</v>
      </c>
    </row>
    <row r="74" spans="1:22" ht="27.6" thickBot="1" x14ac:dyDescent="0.65">
      <c r="B74" s="84" t="s">
        <v>91</v>
      </c>
      <c r="C74" s="63">
        <f t="shared" ref="C74:J74" si="1">COUNT(C69:C73)</f>
        <v>5</v>
      </c>
      <c r="D74" s="1">
        <f t="shared" si="1"/>
        <v>5</v>
      </c>
      <c r="E74" s="1">
        <f t="shared" si="1"/>
        <v>5</v>
      </c>
      <c r="F74" s="1">
        <f t="shared" si="1"/>
        <v>5</v>
      </c>
      <c r="G74" s="96">
        <f t="shared" si="1"/>
        <v>5</v>
      </c>
      <c r="H74" s="97">
        <f t="shared" si="1"/>
        <v>5</v>
      </c>
      <c r="I74" s="97">
        <f t="shared" si="1"/>
        <v>5</v>
      </c>
      <c r="J74" s="98">
        <f t="shared" si="1"/>
        <v>5</v>
      </c>
    </row>
    <row r="75" spans="1:22" ht="27.6" thickBot="1" x14ac:dyDescent="0.65">
      <c r="B75" s="84" t="s">
        <v>89</v>
      </c>
      <c r="C75" s="63">
        <f t="shared" ref="C75:J75" si="2">AVERAGE(C69:C73)</f>
        <v>29.582000000000001</v>
      </c>
      <c r="D75" s="1">
        <f t="shared" si="2"/>
        <v>31.994</v>
      </c>
      <c r="E75" s="1">
        <f t="shared" si="2"/>
        <v>30.911999999999999</v>
      </c>
      <c r="F75" s="1">
        <f t="shared" si="2"/>
        <v>30.334000000000003</v>
      </c>
      <c r="G75" s="93">
        <f t="shared" si="2"/>
        <v>0.51000000000000012</v>
      </c>
      <c r="H75" s="94">
        <f t="shared" si="2"/>
        <v>0.23599999999999993</v>
      </c>
      <c r="I75" s="94">
        <f t="shared" si="2"/>
        <v>0.1019999999999996</v>
      </c>
      <c r="J75" s="95">
        <f t="shared" si="2"/>
        <v>7.5999999999999804E-2</v>
      </c>
    </row>
    <row r="76" spans="1:22" ht="24" thickBot="1" x14ac:dyDescent="0.5">
      <c r="B76" s="2" t="s">
        <v>78</v>
      </c>
      <c r="C76" s="64">
        <f>_xlfn.VAR.S(C69:C73)</f>
        <v>1.0692200000000018</v>
      </c>
      <c r="D76" s="65">
        <f>_xlfn.VAR.S(D69:D73)</f>
        <v>0.11243000000000024</v>
      </c>
      <c r="E76" s="65">
        <f>_xlfn.VAR.S(E69:E73)</f>
        <v>2.0319999999999856E-2</v>
      </c>
      <c r="F76" s="66">
        <f>_xlfn.VAR.S(F69:F73)</f>
        <v>1.56800000000001E-2</v>
      </c>
      <c r="G76" s="62"/>
      <c r="I76" s="2"/>
      <c r="J76" s="2"/>
      <c r="K76" s="2"/>
      <c r="L76" s="2"/>
    </row>
    <row r="78" spans="1:22" x14ac:dyDescent="0.45">
      <c r="F78" s="51" t="s">
        <v>65</v>
      </c>
      <c r="G78" s="52"/>
    </row>
    <row r="79" spans="1:22" ht="75.599999999999994" customHeight="1" x14ac:dyDescent="0.45">
      <c r="B79" s="137" t="s">
        <v>51</v>
      </c>
      <c r="C79" s="137"/>
      <c r="D79" s="137" t="s">
        <v>10</v>
      </c>
      <c r="E79" s="137"/>
      <c r="F79" s="137" t="s">
        <v>54</v>
      </c>
      <c r="G79" s="137"/>
      <c r="H79" s="137" t="s">
        <v>55</v>
      </c>
      <c r="I79" s="137"/>
      <c r="J79" s="137"/>
      <c r="K79" s="137" t="s">
        <v>7</v>
      </c>
      <c r="L79" s="137"/>
      <c r="M79" s="137"/>
    </row>
    <row r="80" spans="1:22" ht="27" x14ac:dyDescent="0.45">
      <c r="B80" s="136" t="s">
        <v>52</v>
      </c>
      <c r="C80" s="136"/>
      <c r="D80" s="68" t="s">
        <v>63</v>
      </c>
      <c r="E80" s="99">
        <f>COUNT(C75:F75)-1</f>
        <v>3</v>
      </c>
      <c r="F80" s="69" t="s">
        <v>47</v>
      </c>
      <c r="G80" s="100">
        <f>M61</f>
        <v>0.59266000000000119</v>
      </c>
      <c r="H80" s="69" t="s">
        <v>73</v>
      </c>
      <c r="I80" s="70" t="s">
        <v>74</v>
      </c>
      <c r="J80" s="100">
        <f>G80/E80</f>
        <v>0.19755333333333372</v>
      </c>
      <c r="K80" s="68" t="s">
        <v>26</v>
      </c>
      <c r="L80" s="71" t="s">
        <v>76</v>
      </c>
      <c r="M80" s="101">
        <f>J80/J81</f>
        <v>0.78485278878592402</v>
      </c>
    </row>
    <row r="81" spans="2:73" x14ac:dyDescent="0.45">
      <c r="B81" s="136" t="s">
        <v>53</v>
      </c>
      <c r="C81" s="136"/>
      <c r="D81" s="68" t="s">
        <v>64</v>
      </c>
      <c r="E81" s="99">
        <f>COUNT(C69:F73)-COUNT(C75:F75)</f>
        <v>16</v>
      </c>
      <c r="F81" s="69" t="s">
        <v>49</v>
      </c>
      <c r="G81" s="100">
        <f>M62</f>
        <v>4.0273200000000156</v>
      </c>
      <c r="H81" s="69" t="s">
        <v>48</v>
      </c>
      <c r="I81" s="70" t="s">
        <v>75</v>
      </c>
      <c r="J81" s="100">
        <f>G81/E81</f>
        <v>0.25170750000000097</v>
      </c>
    </row>
    <row r="82" spans="2:73" x14ac:dyDescent="0.45">
      <c r="B82" s="136" t="s">
        <v>4</v>
      </c>
      <c r="C82" s="136"/>
      <c r="D82" s="68" t="s">
        <v>2</v>
      </c>
      <c r="E82" s="99">
        <f>COUNT(C69:F73)-1</f>
        <v>19</v>
      </c>
      <c r="F82" s="69" t="s">
        <v>50</v>
      </c>
      <c r="G82" s="100">
        <f>M63</f>
        <v>4.6199800000000169</v>
      </c>
    </row>
    <row r="84" spans="2:73" ht="27" x14ac:dyDescent="0.45">
      <c r="B84" s="1" t="s">
        <v>94</v>
      </c>
      <c r="C84" s="4" t="s">
        <v>26</v>
      </c>
      <c r="D84" s="1"/>
      <c r="E84" s="67">
        <f>M80</f>
        <v>0.78485278878592402</v>
      </c>
    </row>
    <row r="85" spans="2:73" ht="27" x14ac:dyDescent="0.45">
      <c r="C85" s="3" t="s">
        <v>79</v>
      </c>
      <c r="D85" s="3">
        <v>0.95</v>
      </c>
      <c r="E85" s="67">
        <f>_xlfn.F.INV(D85,E80,E81)</f>
        <v>3.238871517453584</v>
      </c>
      <c r="F85" s="2" t="s">
        <v>80</v>
      </c>
      <c r="H85" s="2" t="s">
        <v>81</v>
      </c>
    </row>
    <row r="86" spans="2:73" x14ac:dyDescent="0.45">
      <c r="C86" s="3" t="s">
        <v>82</v>
      </c>
      <c r="D86" s="3">
        <v>0.05</v>
      </c>
      <c r="E86" s="102">
        <f>_xlfn.F.DIST.RT(M80,E80,E81)</f>
        <v>0.51969340024216937</v>
      </c>
      <c r="F86" s="2" t="s">
        <v>83</v>
      </c>
      <c r="H86" s="2" t="s">
        <v>84</v>
      </c>
    </row>
    <row r="90" spans="2:73" ht="24" thickBot="1" x14ac:dyDescent="0.5"/>
    <row r="91" spans="2:73" ht="27.6" thickBot="1" x14ac:dyDescent="0.65">
      <c r="D91" s="2" t="s">
        <v>60</v>
      </c>
      <c r="E91" s="2" t="s">
        <v>61</v>
      </c>
      <c r="F91" s="2" t="s">
        <v>42</v>
      </c>
      <c r="J91" s="84" t="s">
        <v>90</v>
      </c>
      <c r="M91" s="2">
        <f>SUM(I100:N108)/COUNT(I100:N108)</f>
        <v>0.46555555555555556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</row>
    <row r="92" spans="2:73" ht="28.2" x14ac:dyDescent="0.6">
      <c r="B92" s="2" t="s">
        <v>56</v>
      </c>
      <c r="C92" s="2">
        <v>1</v>
      </c>
      <c r="J92" s="49" t="s">
        <v>70</v>
      </c>
      <c r="K92" s="2"/>
      <c r="L92" s="2"/>
      <c r="M92" s="50">
        <f>SUM(U100:Z100)</f>
        <v>1.3929333333333336</v>
      </c>
    </row>
    <row r="93" spans="2:73" ht="27" x14ac:dyDescent="0.6">
      <c r="C93" s="2">
        <v>2</v>
      </c>
      <c r="J93" s="49" t="s">
        <v>72</v>
      </c>
      <c r="K93" s="2"/>
      <c r="L93" s="2"/>
      <c r="M93" s="50">
        <f>SUM(AA100:AF108)</f>
        <v>10.449200000000003</v>
      </c>
      <c r="O93" s="10"/>
    </row>
    <row r="94" spans="2:73" ht="28.2" x14ac:dyDescent="0.6">
      <c r="F94" s="1"/>
      <c r="J94" s="56" t="s">
        <v>71</v>
      </c>
      <c r="K94" s="10"/>
      <c r="L94" s="10"/>
      <c r="M94" s="61">
        <f>SUM(O100:T108)</f>
        <v>11.842133333333331</v>
      </c>
    </row>
    <row r="95" spans="2:73" x14ac:dyDescent="0.45">
      <c r="J95" s="2"/>
      <c r="K95" s="2"/>
      <c r="L95" s="2"/>
    </row>
    <row r="96" spans="2:73" ht="24" thickBot="1" x14ac:dyDescent="0.5">
      <c r="J96" s="2"/>
      <c r="K96" s="2"/>
      <c r="L96" s="2"/>
    </row>
    <row r="97" spans="1:32" x14ac:dyDescent="0.45">
      <c r="I97" s="133" t="s">
        <v>77</v>
      </c>
      <c r="J97" s="134"/>
      <c r="K97" s="134"/>
      <c r="L97" s="134"/>
      <c r="O97" s="132" t="s">
        <v>87</v>
      </c>
      <c r="P97" s="132"/>
      <c r="Q97" s="132"/>
      <c r="R97" s="132"/>
      <c r="U97" s="132" t="s">
        <v>85</v>
      </c>
      <c r="V97" s="132"/>
      <c r="W97" s="132"/>
      <c r="X97" s="132"/>
      <c r="AA97" s="132" t="s">
        <v>86</v>
      </c>
      <c r="AB97" s="132"/>
      <c r="AC97" s="132"/>
      <c r="AD97" s="132"/>
    </row>
    <row r="98" spans="1:32" ht="70.2" x14ac:dyDescent="0.45">
      <c r="B98" s="2" t="s">
        <v>68</v>
      </c>
      <c r="C98" s="128" t="s">
        <v>95</v>
      </c>
      <c r="D98" s="128" t="s">
        <v>194</v>
      </c>
      <c r="E98" s="128" t="s">
        <v>101</v>
      </c>
      <c r="F98" s="128" t="s">
        <v>102</v>
      </c>
      <c r="G98" s="128" t="s">
        <v>103</v>
      </c>
      <c r="H98" s="128" t="s">
        <v>195</v>
      </c>
      <c r="I98" s="128" t="s">
        <v>95</v>
      </c>
      <c r="J98" s="128" t="s">
        <v>194</v>
      </c>
      <c r="K98" s="128" t="s">
        <v>101</v>
      </c>
      <c r="L98" s="128" t="s">
        <v>102</v>
      </c>
      <c r="M98" s="128" t="s">
        <v>103</v>
      </c>
      <c r="N98" s="128" t="s">
        <v>195</v>
      </c>
      <c r="O98" s="128" t="s">
        <v>95</v>
      </c>
      <c r="P98" s="128" t="s">
        <v>194</v>
      </c>
      <c r="Q98" s="128" t="s">
        <v>101</v>
      </c>
      <c r="R98" s="128" t="s">
        <v>102</v>
      </c>
      <c r="S98" s="128" t="s">
        <v>103</v>
      </c>
      <c r="T98" s="128" t="s">
        <v>195</v>
      </c>
      <c r="U98" s="128" t="s">
        <v>95</v>
      </c>
      <c r="V98" s="128" t="s">
        <v>194</v>
      </c>
      <c r="W98" s="128" t="s">
        <v>101</v>
      </c>
      <c r="X98" s="128" t="s">
        <v>102</v>
      </c>
      <c r="Y98" s="128" t="s">
        <v>103</v>
      </c>
      <c r="Z98" s="128" t="s">
        <v>195</v>
      </c>
      <c r="AA98" s="128" t="s">
        <v>95</v>
      </c>
      <c r="AB98" s="128" t="s">
        <v>194</v>
      </c>
      <c r="AC98" s="128" t="s">
        <v>101</v>
      </c>
      <c r="AD98" s="128" t="s">
        <v>102</v>
      </c>
      <c r="AE98" s="128" t="s">
        <v>103</v>
      </c>
      <c r="AF98" s="128" t="s">
        <v>195</v>
      </c>
    </row>
    <row r="99" spans="1:32" ht="37.200000000000003" customHeight="1" thickBot="1" x14ac:dyDescent="0.65">
      <c r="A99" s="11" t="s">
        <v>69</v>
      </c>
      <c r="B99" s="2" t="s">
        <v>0</v>
      </c>
      <c r="C99" s="135">
        <f t="shared" ref="C99:H99" si="3">MEDIAN(C100:C108)</f>
        <v>13</v>
      </c>
      <c r="D99" s="135">
        <f t="shared" si="3"/>
        <v>12.5</v>
      </c>
      <c r="E99" s="135">
        <f t="shared" si="3"/>
        <v>13.5</v>
      </c>
      <c r="F99" s="135">
        <f t="shared" si="3"/>
        <v>13.25</v>
      </c>
      <c r="G99" s="135">
        <f t="shared" si="3"/>
        <v>13.75</v>
      </c>
      <c r="H99" s="135">
        <f t="shared" si="3"/>
        <v>12</v>
      </c>
      <c r="I99" s="17" t="s">
        <v>88</v>
      </c>
      <c r="J99" s="14"/>
      <c r="K99" s="14"/>
      <c r="L99" s="15"/>
      <c r="O99" s="58" t="s">
        <v>71</v>
      </c>
      <c r="P99" s="59"/>
      <c r="Q99" s="59"/>
      <c r="R99" s="60"/>
      <c r="U99" s="17" t="s">
        <v>92</v>
      </c>
      <c r="V99" s="14"/>
      <c r="W99" s="14"/>
      <c r="X99" s="15"/>
      <c r="AA99" s="17" t="s">
        <v>72</v>
      </c>
      <c r="AB99" s="14"/>
      <c r="AC99" s="14"/>
      <c r="AD99" s="15"/>
    </row>
    <row r="100" spans="1:32" ht="24" thickBot="1" x14ac:dyDescent="0.5">
      <c r="C100" s="2">
        <v>13.75</v>
      </c>
      <c r="D100" s="2">
        <v>14.25</v>
      </c>
      <c r="E100" s="2">
        <v>14</v>
      </c>
      <c r="F100" s="2">
        <v>15</v>
      </c>
      <c r="G100" s="2">
        <v>14.5</v>
      </c>
      <c r="H100" s="2">
        <v>13.5</v>
      </c>
      <c r="I100" s="85">
        <f>ABS(C100-C99)</f>
        <v>0.75</v>
      </c>
      <c r="J100" s="86">
        <f>ABS(D100-D99)</f>
        <v>1.75</v>
      </c>
      <c r="K100" s="86">
        <f>ABS(E100-E$99)</f>
        <v>0.5</v>
      </c>
      <c r="L100" s="86">
        <f t="shared" ref="L100:N108" si="4">ABS(F100-F$99)</f>
        <v>1.75</v>
      </c>
      <c r="M100" s="86">
        <f t="shared" si="4"/>
        <v>0.75</v>
      </c>
      <c r="N100" s="86">
        <f t="shared" si="4"/>
        <v>1.5</v>
      </c>
      <c r="O100" s="53">
        <f>(I100-$M$91)^2</f>
        <v>8.0908641975308643E-2</v>
      </c>
      <c r="P100" s="53">
        <f t="shared" ref="P100:T108" si="5">(J100-$M$91)^2</f>
        <v>1.6497975308641977</v>
      </c>
      <c r="Q100" s="53">
        <f t="shared" si="5"/>
        <v>1.1864197530864198E-3</v>
      </c>
      <c r="R100" s="53">
        <f t="shared" si="5"/>
        <v>1.6497975308641977</v>
      </c>
      <c r="S100" s="53">
        <f t="shared" si="5"/>
        <v>8.0908641975308643E-2</v>
      </c>
      <c r="T100" s="53">
        <f t="shared" si="5"/>
        <v>1.0700753086419754</v>
      </c>
      <c r="U100" s="48">
        <f t="shared" ref="U100:Z100" si="6">I109*(I110-$M$91)^2</f>
        <v>9.817777777777778E-2</v>
      </c>
      <c r="V100" s="48">
        <f t="shared" si="6"/>
        <v>4.011111111111184E-3</v>
      </c>
      <c r="W100" s="48">
        <f t="shared" si="6"/>
        <v>2.0544444444444469E-2</v>
      </c>
      <c r="X100" s="48">
        <f t="shared" si="6"/>
        <v>0.71684444444444373</v>
      </c>
      <c r="Y100" s="48">
        <f t="shared" si="6"/>
        <v>0.11334444444444479</v>
      </c>
      <c r="Z100" s="48">
        <f t="shared" si="6"/>
        <v>0.44001111111111146</v>
      </c>
      <c r="AA100" s="48">
        <f>(I100-I$110)^2</f>
        <v>0.15123456790123457</v>
      </c>
      <c r="AB100" s="48">
        <f t="shared" ref="AB100:AF108" si="7">(J100-J$110)^2</f>
        <v>1.7044753086419759</v>
      </c>
      <c r="AC100" s="48">
        <f t="shared" si="7"/>
        <v>6.7604938271604983E-3</v>
      </c>
      <c r="AD100" s="48">
        <f t="shared" si="7"/>
        <v>1.0044493827160497</v>
      </c>
      <c r="AE100" s="48">
        <f t="shared" si="7"/>
        <v>2.9660493827160437E-2</v>
      </c>
      <c r="AF100" s="48">
        <f t="shared" si="7"/>
        <v>1.5764197530864197</v>
      </c>
    </row>
    <row r="101" spans="1:32" ht="24" thickBot="1" x14ac:dyDescent="0.5">
      <c r="C101" s="2">
        <v>13.75</v>
      </c>
      <c r="D101" s="2">
        <v>13</v>
      </c>
      <c r="E101" s="2">
        <v>14</v>
      </c>
      <c r="F101" s="2">
        <v>14</v>
      </c>
      <c r="G101" s="2">
        <v>14</v>
      </c>
      <c r="H101" s="2">
        <v>12.25</v>
      </c>
      <c r="I101" s="88">
        <f>ABS(C101-C99)</f>
        <v>0.75</v>
      </c>
      <c r="J101" s="7">
        <f>ABS(D101-D99)</f>
        <v>0.5</v>
      </c>
      <c r="K101" s="86">
        <f t="shared" ref="K101:K108" si="8">ABS(E101-E$99)</f>
        <v>0.5</v>
      </c>
      <c r="L101" s="86">
        <f t="shared" si="4"/>
        <v>0.75</v>
      </c>
      <c r="M101" s="86">
        <f t="shared" si="4"/>
        <v>0.25</v>
      </c>
      <c r="N101" s="86">
        <f t="shared" si="4"/>
        <v>0.25</v>
      </c>
      <c r="O101" s="53">
        <f t="shared" ref="O101:O108" si="9">(I101-$M$91)^2</f>
        <v>8.0908641975308643E-2</v>
      </c>
      <c r="P101" s="53">
        <f t="shared" si="5"/>
        <v>1.1864197530864198E-3</v>
      </c>
      <c r="Q101" s="53">
        <f t="shared" si="5"/>
        <v>1.1864197530864198E-3</v>
      </c>
      <c r="R101" s="53">
        <f t="shared" si="5"/>
        <v>8.0908641975308643E-2</v>
      </c>
      <c r="S101" s="53">
        <f t="shared" si="5"/>
        <v>4.6464197530864199E-2</v>
      </c>
      <c r="T101" s="53">
        <f t="shared" si="5"/>
        <v>4.6464197530864199E-2</v>
      </c>
      <c r="U101" s="49"/>
      <c r="X101" s="50"/>
      <c r="AA101" s="48">
        <f t="shared" ref="AA101:AA108" si="10">(I101-I$110)^2</f>
        <v>0.15123456790123457</v>
      </c>
      <c r="AB101" s="48">
        <f t="shared" si="7"/>
        <v>3.0864197530864408E-3</v>
      </c>
      <c r="AC101" s="48">
        <f t="shared" si="7"/>
        <v>6.7604938271604983E-3</v>
      </c>
      <c r="AD101" s="48">
        <f t="shared" si="7"/>
        <v>4.938271604938829E-6</v>
      </c>
      <c r="AE101" s="48">
        <f t="shared" si="7"/>
        <v>0.10743827160493838</v>
      </c>
      <c r="AF101" s="48">
        <f t="shared" si="7"/>
        <v>3.0864197530865215E-5</v>
      </c>
    </row>
    <row r="102" spans="1:32" ht="24" thickBot="1" x14ac:dyDescent="0.5">
      <c r="C102" s="2">
        <v>13.5</v>
      </c>
      <c r="D102" s="2">
        <v>12.75</v>
      </c>
      <c r="E102" s="2">
        <v>13.51</v>
      </c>
      <c r="F102" s="2">
        <v>13.75</v>
      </c>
      <c r="G102" s="2">
        <v>14</v>
      </c>
      <c r="H102" s="2">
        <v>12.25</v>
      </c>
      <c r="I102" s="88">
        <f>ABS(C102-C99)</f>
        <v>0.5</v>
      </c>
      <c r="J102" s="7">
        <f>ABS(D102-D99)</f>
        <v>0.25</v>
      </c>
      <c r="K102" s="86">
        <f t="shared" si="8"/>
        <v>9.9999999999997868E-3</v>
      </c>
      <c r="L102" s="86">
        <f t="shared" si="4"/>
        <v>0.5</v>
      </c>
      <c r="M102" s="86">
        <f t="shared" si="4"/>
        <v>0.25</v>
      </c>
      <c r="N102" s="86">
        <f t="shared" si="4"/>
        <v>0.25</v>
      </c>
      <c r="O102" s="53">
        <f t="shared" si="9"/>
        <v>1.1864197530864198E-3</v>
      </c>
      <c r="P102" s="53">
        <f t="shared" si="5"/>
        <v>4.6464197530864199E-2</v>
      </c>
      <c r="Q102" s="53">
        <f t="shared" si="5"/>
        <v>0.20753086419753106</v>
      </c>
      <c r="R102" s="53">
        <f t="shared" si="5"/>
        <v>1.1864197530864198E-3</v>
      </c>
      <c r="S102" s="53">
        <f t="shared" si="5"/>
        <v>4.6464197530864199E-2</v>
      </c>
      <c r="T102" s="53">
        <f t="shared" si="5"/>
        <v>4.6464197530864199E-2</v>
      </c>
      <c r="U102" s="49"/>
      <c r="X102" s="50"/>
      <c r="AA102" s="48">
        <f t="shared" si="10"/>
        <v>1.9290123456790126E-2</v>
      </c>
      <c r="AB102" s="48">
        <f t="shared" si="7"/>
        <v>3.7808641975308567E-2</v>
      </c>
      <c r="AC102" s="48">
        <f t="shared" si="7"/>
        <v>0.16628271604938286</v>
      </c>
      <c r="AD102" s="48">
        <f t="shared" si="7"/>
        <v>6.1393827160493762E-2</v>
      </c>
      <c r="AE102" s="48">
        <f t="shared" si="7"/>
        <v>0.10743827160493838</v>
      </c>
      <c r="AF102" s="48">
        <f t="shared" si="7"/>
        <v>3.0864197530865215E-5</v>
      </c>
    </row>
    <row r="103" spans="1:32" ht="24" thickBot="1" x14ac:dyDescent="0.5">
      <c r="C103" s="2">
        <v>13.5</v>
      </c>
      <c r="D103" s="2">
        <v>12.5</v>
      </c>
      <c r="E103" s="2">
        <v>13.5</v>
      </c>
      <c r="F103" s="2">
        <v>13.59</v>
      </c>
      <c r="G103" s="2">
        <v>13.9</v>
      </c>
      <c r="H103" s="2">
        <v>12</v>
      </c>
      <c r="I103" s="88">
        <f t="shared" ref="I103:J108" si="11">ABS(C103-C$99)</f>
        <v>0.5</v>
      </c>
      <c r="J103" s="7">
        <f t="shared" si="11"/>
        <v>0</v>
      </c>
      <c r="K103" s="86">
        <f t="shared" si="8"/>
        <v>0</v>
      </c>
      <c r="L103" s="86">
        <f t="shared" si="4"/>
        <v>0.33999999999999986</v>
      </c>
      <c r="M103" s="86">
        <f t="shared" si="4"/>
        <v>0.15000000000000036</v>
      </c>
      <c r="N103" s="86">
        <f t="shared" si="4"/>
        <v>0</v>
      </c>
      <c r="O103" s="53">
        <f t="shared" si="9"/>
        <v>1.1864197530864198E-3</v>
      </c>
      <c r="P103" s="53">
        <f t="shared" si="5"/>
        <v>0.21674197530864198</v>
      </c>
      <c r="Q103" s="53">
        <f t="shared" si="5"/>
        <v>0.21674197530864198</v>
      </c>
      <c r="R103" s="53">
        <f t="shared" si="5"/>
        <v>1.5764197530864232E-2</v>
      </c>
      <c r="S103" s="53">
        <f t="shared" si="5"/>
        <v>9.9575308641975085E-2</v>
      </c>
      <c r="T103" s="53">
        <f t="shared" si="5"/>
        <v>0.21674197530864198</v>
      </c>
      <c r="U103" s="49"/>
      <c r="X103" s="50"/>
      <c r="AA103" s="48">
        <f t="shared" si="10"/>
        <v>1.9290123456790126E-2</v>
      </c>
      <c r="AB103" s="48">
        <f t="shared" si="7"/>
        <v>0.19753086419753069</v>
      </c>
      <c r="AC103" s="48">
        <f t="shared" si="7"/>
        <v>0.17453827160493823</v>
      </c>
      <c r="AD103" s="48">
        <f t="shared" si="7"/>
        <v>0.16628271604938272</v>
      </c>
      <c r="AE103" s="48">
        <f t="shared" si="7"/>
        <v>0.18299382716049367</v>
      </c>
      <c r="AF103" s="48">
        <f t="shared" si="7"/>
        <v>5.9753086419753042E-2</v>
      </c>
    </row>
    <row r="104" spans="1:32" ht="24" thickBot="1" x14ac:dyDescent="0.5">
      <c r="C104" s="2">
        <v>13</v>
      </c>
      <c r="D104" s="2">
        <v>12.5</v>
      </c>
      <c r="E104" s="2">
        <v>13.5</v>
      </c>
      <c r="F104" s="2">
        <v>13.25</v>
      </c>
      <c r="G104" s="2">
        <v>13.75</v>
      </c>
      <c r="H104" s="2">
        <v>12</v>
      </c>
      <c r="I104" s="88">
        <f t="shared" si="11"/>
        <v>0</v>
      </c>
      <c r="J104" s="7">
        <f t="shared" si="11"/>
        <v>0</v>
      </c>
      <c r="K104" s="86">
        <f t="shared" si="8"/>
        <v>0</v>
      </c>
      <c r="L104" s="86">
        <f t="shared" si="4"/>
        <v>0</v>
      </c>
      <c r="M104" s="86">
        <f t="shared" si="4"/>
        <v>0</v>
      </c>
      <c r="N104" s="86">
        <f t="shared" si="4"/>
        <v>0</v>
      </c>
      <c r="O104" s="53">
        <f t="shared" si="9"/>
        <v>0.21674197530864198</v>
      </c>
      <c r="P104" s="53">
        <f t="shared" si="5"/>
        <v>0.21674197530864198</v>
      </c>
      <c r="Q104" s="53">
        <f t="shared" si="5"/>
        <v>0.21674197530864198</v>
      </c>
      <c r="R104" s="53">
        <f t="shared" si="5"/>
        <v>0.21674197530864198</v>
      </c>
      <c r="S104" s="53">
        <f t="shared" si="5"/>
        <v>0.21674197530864198</v>
      </c>
      <c r="T104" s="53">
        <f t="shared" si="5"/>
        <v>0.21674197530864198</v>
      </c>
      <c r="U104" s="49"/>
      <c r="X104" s="50"/>
      <c r="AA104" s="48">
        <f t="shared" si="10"/>
        <v>0.13040123456790123</v>
      </c>
      <c r="AB104" s="48">
        <f t="shared" si="7"/>
        <v>0.19753086419753069</v>
      </c>
      <c r="AC104" s="48">
        <f t="shared" si="7"/>
        <v>0.17453827160493823</v>
      </c>
      <c r="AD104" s="48">
        <f t="shared" si="7"/>
        <v>0.55917160493827145</v>
      </c>
      <c r="AE104" s="48">
        <f t="shared" si="7"/>
        <v>0.33382716049382738</v>
      </c>
      <c r="AF104" s="48">
        <f t="shared" si="7"/>
        <v>5.9753086419753042E-2</v>
      </c>
    </row>
    <row r="105" spans="1:32" ht="24" thickBot="1" x14ac:dyDescent="0.5">
      <c r="C105" s="2">
        <v>13</v>
      </c>
      <c r="D105" s="2">
        <v>12.4</v>
      </c>
      <c r="E105" s="2">
        <v>13.25</v>
      </c>
      <c r="F105" s="2">
        <v>12.97</v>
      </c>
      <c r="G105" s="2">
        <v>13.25</v>
      </c>
      <c r="H105" s="2">
        <v>12</v>
      </c>
      <c r="I105" s="88">
        <f t="shared" si="11"/>
        <v>0</v>
      </c>
      <c r="J105" s="7">
        <f t="shared" si="11"/>
        <v>9.9999999999999645E-2</v>
      </c>
      <c r="K105" s="86">
        <f t="shared" si="8"/>
        <v>0.25</v>
      </c>
      <c r="L105" s="86">
        <f t="shared" si="4"/>
        <v>0.27999999999999936</v>
      </c>
      <c r="M105" s="86">
        <f t="shared" si="4"/>
        <v>0.5</v>
      </c>
      <c r="N105" s="86">
        <f t="shared" si="4"/>
        <v>0</v>
      </c>
      <c r="O105" s="53">
        <f t="shared" si="9"/>
        <v>0.21674197530864198</v>
      </c>
      <c r="P105" s="53">
        <f t="shared" si="5"/>
        <v>0.13363086419753112</v>
      </c>
      <c r="Q105" s="53">
        <f t="shared" si="5"/>
        <v>4.6464197530864199E-2</v>
      </c>
      <c r="R105" s="53">
        <f t="shared" si="5"/>
        <v>3.4430864197531101E-2</v>
      </c>
      <c r="S105" s="53">
        <f t="shared" si="5"/>
        <v>1.1864197530864198E-3</v>
      </c>
      <c r="T105" s="53">
        <f t="shared" si="5"/>
        <v>0.21674197530864198</v>
      </c>
      <c r="U105" s="49"/>
      <c r="X105" s="50"/>
      <c r="AA105" s="48">
        <f t="shared" si="10"/>
        <v>0.13040123456790123</v>
      </c>
      <c r="AB105" s="48">
        <f t="shared" si="7"/>
        <v>0.11864197530864209</v>
      </c>
      <c r="AC105" s="48">
        <f t="shared" si="7"/>
        <v>2.8149382716049373E-2</v>
      </c>
      <c r="AD105" s="48">
        <f t="shared" si="7"/>
        <v>0.21881604938271654</v>
      </c>
      <c r="AE105" s="48">
        <f t="shared" si="7"/>
        <v>6.0493827160494089E-3</v>
      </c>
      <c r="AF105" s="48">
        <f t="shared" si="7"/>
        <v>5.9753086419753042E-2</v>
      </c>
    </row>
    <row r="106" spans="1:32" ht="24" thickBot="1" x14ac:dyDescent="0.5">
      <c r="C106" s="2">
        <v>13</v>
      </c>
      <c r="D106" s="2">
        <v>12.3</v>
      </c>
      <c r="E106" s="2">
        <v>13</v>
      </c>
      <c r="F106" s="2">
        <v>12.5</v>
      </c>
      <c r="G106" s="2">
        <v>13</v>
      </c>
      <c r="H106" s="2">
        <v>12</v>
      </c>
      <c r="I106" s="88">
        <f t="shared" si="11"/>
        <v>0</v>
      </c>
      <c r="J106" s="7">
        <f t="shared" si="11"/>
        <v>0.19999999999999929</v>
      </c>
      <c r="K106" s="86">
        <f t="shared" si="8"/>
        <v>0.5</v>
      </c>
      <c r="L106" s="86">
        <f t="shared" si="4"/>
        <v>0.75</v>
      </c>
      <c r="M106" s="86">
        <f t="shared" si="4"/>
        <v>0.75</v>
      </c>
      <c r="N106" s="86">
        <f t="shared" si="4"/>
        <v>0</v>
      </c>
      <c r="O106" s="53">
        <f t="shared" si="9"/>
        <v>0.21674197530864198</v>
      </c>
      <c r="P106" s="53">
        <f t="shared" si="5"/>
        <v>7.0519753086420126E-2</v>
      </c>
      <c r="Q106" s="53">
        <f t="shared" si="5"/>
        <v>1.1864197530864198E-3</v>
      </c>
      <c r="R106" s="53">
        <f t="shared" si="5"/>
        <v>8.0908641975308643E-2</v>
      </c>
      <c r="S106" s="53">
        <f t="shared" si="5"/>
        <v>8.0908641975308643E-2</v>
      </c>
      <c r="T106" s="53">
        <f t="shared" si="5"/>
        <v>0.21674197530864198</v>
      </c>
      <c r="U106" s="49"/>
      <c r="X106" s="50"/>
      <c r="AA106" s="48">
        <f t="shared" si="10"/>
        <v>0.13040123456790123</v>
      </c>
      <c r="AB106" s="48">
        <f t="shared" si="7"/>
        <v>5.975308641975334E-2</v>
      </c>
      <c r="AC106" s="48">
        <f t="shared" si="7"/>
        <v>6.7604938271604983E-3</v>
      </c>
      <c r="AD106" s="48">
        <f t="shared" si="7"/>
        <v>4.938271604938829E-6</v>
      </c>
      <c r="AE106" s="48">
        <f t="shared" si="7"/>
        <v>2.9660493827160437E-2</v>
      </c>
      <c r="AF106" s="48">
        <f t="shared" si="7"/>
        <v>5.9753086419753042E-2</v>
      </c>
    </row>
    <row r="107" spans="1:32" ht="24" thickBot="1" x14ac:dyDescent="0.5">
      <c r="C107" s="2">
        <v>12.75</v>
      </c>
      <c r="D107" s="2">
        <v>11.9</v>
      </c>
      <c r="E107" s="2">
        <v>12.5</v>
      </c>
      <c r="F107" s="2">
        <v>12.25</v>
      </c>
      <c r="G107" s="2">
        <v>12.5</v>
      </c>
      <c r="H107" s="2">
        <v>11.9</v>
      </c>
      <c r="I107" s="88">
        <f t="shared" si="11"/>
        <v>0.25</v>
      </c>
      <c r="J107" s="7">
        <f t="shared" si="11"/>
        <v>0.59999999999999964</v>
      </c>
      <c r="K107" s="86">
        <f t="shared" si="8"/>
        <v>1</v>
      </c>
      <c r="L107" s="86">
        <f t="shared" si="4"/>
        <v>1</v>
      </c>
      <c r="M107" s="86">
        <f t="shared" si="4"/>
        <v>1.25</v>
      </c>
      <c r="N107" s="86">
        <f t="shared" si="4"/>
        <v>9.9999999999999645E-2</v>
      </c>
      <c r="O107" s="53">
        <f t="shared" si="9"/>
        <v>4.6464197530864199E-2</v>
      </c>
      <c r="P107" s="53">
        <f t="shared" si="5"/>
        <v>1.8075308641975214E-2</v>
      </c>
      <c r="Q107" s="53">
        <f t="shared" si="5"/>
        <v>0.28563086419753092</v>
      </c>
      <c r="R107" s="53">
        <f t="shared" si="5"/>
        <v>0.28563086419753092</v>
      </c>
      <c r="S107" s="53">
        <f t="shared" si="5"/>
        <v>0.61535308641975317</v>
      </c>
      <c r="T107" s="53">
        <f t="shared" si="5"/>
        <v>0.13363086419753112</v>
      </c>
      <c r="U107" s="49"/>
      <c r="X107" s="50"/>
      <c r="AA107" s="48">
        <f t="shared" si="10"/>
        <v>1.2345679012345678E-2</v>
      </c>
      <c r="AB107" s="48">
        <f t="shared" si="7"/>
        <v>2.4197530864197479E-2</v>
      </c>
      <c r="AC107" s="48">
        <f t="shared" si="7"/>
        <v>0.33898271604938268</v>
      </c>
      <c r="AD107" s="48">
        <f t="shared" si="7"/>
        <v>6.3616049382716117E-2</v>
      </c>
      <c r="AE107" s="48">
        <f t="shared" si="7"/>
        <v>0.45188271604938252</v>
      </c>
      <c r="AF107" s="48">
        <f t="shared" si="7"/>
        <v>2.0864197530864274E-2</v>
      </c>
    </row>
    <row r="108" spans="1:32" ht="24" thickBot="1" x14ac:dyDescent="0.5">
      <c r="C108" s="2">
        <v>12.5</v>
      </c>
      <c r="D108" s="2">
        <v>11.9</v>
      </c>
      <c r="E108" s="2">
        <v>12.5</v>
      </c>
      <c r="F108" s="2">
        <v>11.89</v>
      </c>
      <c r="G108" s="2">
        <v>12.45</v>
      </c>
      <c r="H108" s="2">
        <v>11.9</v>
      </c>
      <c r="I108" s="88">
        <f t="shared" si="11"/>
        <v>0.5</v>
      </c>
      <c r="J108" s="7">
        <f t="shared" si="11"/>
        <v>0.59999999999999964</v>
      </c>
      <c r="K108" s="86">
        <f t="shared" si="8"/>
        <v>1</v>
      </c>
      <c r="L108" s="86">
        <f t="shared" si="4"/>
        <v>1.3599999999999994</v>
      </c>
      <c r="M108" s="86">
        <f t="shared" si="4"/>
        <v>1.3000000000000007</v>
      </c>
      <c r="N108" s="86">
        <f t="shared" si="4"/>
        <v>9.9999999999999645E-2</v>
      </c>
      <c r="O108" s="53">
        <f t="shared" si="9"/>
        <v>1.1864197530864198E-3</v>
      </c>
      <c r="P108" s="53">
        <f t="shared" si="5"/>
        <v>1.8075308641975214E-2</v>
      </c>
      <c r="Q108" s="53">
        <f t="shared" si="5"/>
        <v>0.28563086419753092</v>
      </c>
      <c r="R108" s="53">
        <f t="shared" si="5"/>
        <v>0.80003086419753</v>
      </c>
      <c r="S108" s="53">
        <f t="shared" si="5"/>
        <v>0.69629753086419877</v>
      </c>
      <c r="T108" s="53">
        <f t="shared" si="5"/>
        <v>0.13363086419753112</v>
      </c>
      <c r="U108" s="17"/>
      <c r="V108" s="14"/>
      <c r="W108" s="14"/>
      <c r="X108" s="15"/>
      <c r="AA108" s="48">
        <f t="shared" si="10"/>
        <v>1.9290123456790126E-2</v>
      </c>
      <c r="AB108" s="48">
        <f t="shared" si="7"/>
        <v>2.4197530864197479E-2</v>
      </c>
      <c r="AC108" s="48">
        <f t="shared" si="7"/>
        <v>0.33898271604938268</v>
      </c>
      <c r="AD108" s="48">
        <f t="shared" si="7"/>
        <v>0.37481604938271551</v>
      </c>
      <c r="AE108" s="48">
        <f t="shared" si="7"/>
        <v>0.5216049382716057</v>
      </c>
      <c r="AF108" s="48">
        <f t="shared" si="7"/>
        <v>2.0864197530864274E-2</v>
      </c>
    </row>
    <row r="109" spans="1:32" ht="27.6" thickBot="1" x14ac:dyDescent="0.65">
      <c r="B109" s="84" t="s">
        <v>91</v>
      </c>
      <c r="C109" s="63">
        <f t="shared" ref="C109:N109" si="12">COUNT(C100:C108)</f>
        <v>9</v>
      </c>
      <c r="D109" s="63">
        <f t="shared" si="12"/>
        <v>9</v>
      </c>
      <c r="E109" s="63">
        <f t="shared" si="12"/>
        <v>9</v>
      </c>
      <c r="F109" s="63">
        <f t="shared" si="12"/>
        <v>9</v>
      </c>
      <c r="G109" s="63">
        <f t="shared" si="12"/>
        <v>9</v>
      </c>
      <c r="H109" s="63">
        <f t="shared" si="12"/>
        <v>9</v>
      </c>
      <c r="I109" s="96">
        <f t="shared" si="12"/>
        <v>9</v>
      </c>
      <c r="J109" s="97">
        <f t="shared" si="12"/>
        <v>9</v>
      </c>
      <c r="K109" s="97">
        <f t="shared" si="12"/>
        <v>9</v>
      </c>
      <c r="L109" s="98">
        <f t="shared" si="12"/>
        <v>9</v>
      </c>
      <c r="M109" s="98">
        <f t="shared" si="12"/>
        <v>9</v>
      </c>
      <c r="N109" s="98">
        <f t="shared" si="12"/>
        <v>9</v>
      </c>
      <c r="O109" s="3"/>
      <c r="P109" s="3"/>
    </row>
    <row r="110" spans="1:32" ht="27.6" thickBot="1" x14ac:dyDescent="0.65">
      <c r="B110" s="84" t="s">
        <v>89</v>
      </c>
      <c r="C110" s="63">
        <f t="shared" ref="C110:N110" si="13">AVERAGE(C100:C108)</f>
        <v>13.194444444444445</v>
      </c>
      <c r="D110" s="63">
        <f t="shared" si="13"/>
        <v>12.611111111111112</v>
      </c>
      <c r="E110" s="63">
        <f t="shared" si="13"/>
        <v>13.306666666666665</v>
      </c>
      <c r="F110" s="63">
        <f t="shared" si="13"/>
        <v>13.244444444444445</v>
      </c>
      <c r="G110" s="63">
        <f t="shared" si="13"/>
        <v>13.483333333333334</v>
      </c>
      <c r="H110" s="63">
        <f t="shared" si="13"/>
        <v>12.200000000000001</v>
      </c>
      <c r="I110" s="93">
        <f t="shared" si="13"/>
        <v>0.3611111111111111</v>
      </c>
      <c r="J110" s="94">
        <f t="shared" si="13"/>
        <v>0.44444444444444425</v>
      </c>
      <c r="K110" s="94">
        <f t="shared" si="13"/>
        <v>0.41777777777777775</v>
      </c>
      <c r="L110" s="95">
        <f t="shared" si="13"/>
        <v>0.74777777777777765</v>
      </c>
      <c r="M110" s="95">
        <f t="shared" si="13"/>
        <v>0.57777777777777795</v>
      </c>
      <c r="N110" s="95">
        <f t="shared" si="13"/>
        <v>0.24444444444444435</v>
      </c>
    </row>
    <row r="111" spans="1:32" ht="24" thickBot="1" x14ac:dyDescent="0.5">
      <c r="B111" s="2" t="s">
        <v>78</v>
      </c>
      <c r="C111" s="64">
        <f t="shared" ref="C111:H111" si="14">_xlfn.VAR.S(C100:C108)</f>
        <v>0.19965277777777779</v>
      </c>
      <c r="D111" s="64">
        <f t="shared" si="14"/>
        <v>0.50423611111111111</v>
      </c>
      <c r="E111" s="64">
        <f t="shared" si="14"/>
        <v>0.30952499999999994</v>
      </c>
      <c r="F111" s="64">
        <f t="shared" si="14"/>
        <v>0.93510277777777762</v>
      </c>
      <c r="G111" s="64">
        <f t="shared" si="14"/>
        <v>0.51687500000000031</v>
      </c>
      <c r="H111" s="64">
        <f t="shared" si="14"/>
        <v>0.25437500000000002</v>
      </c>
      <c r="I111" s="2"/>
      <c r="J111" s="2"/>
      <c r="K111" s="2"/>
      <c r="L111" s="2"/>
    </row>
    <row r="113" spans="2:22" x14ac:dyDescent="0.45">
      <c r="F113" s="51" t="s">
        <v>65</v>
      </c>
      <c r="G113" s="52"/>
    </row>
    <row r="114" spans="2:22" ht="75.599999999999994" customHeight="1" x14ac:dyDescent="0.45">
      <c r="B114" s="137" t="s">
        <v>51</v>
      </c>
      <c r="C114" s="137"/>
      <c r="D114" s="137" t="s">
        <v>10</v>
      </c>
      <c r="E114" s="137"/>
      <c r="F114" s="137" t="s">
        <v>54</v>
      </c>
      <c r="G114" s="137"/>
      <c r="H114" s="137" t="s">
        <v>55</v>
      </c>
      <c r="I114" s="137"/>
      <c r="J114" s="137"/>
      <c r="K114" s="137" t="s">
        <v>7</v>
      </c>
      <c r="L114" s="137"/>
      <c r="M114" s="137"/>
    </row>
    <row r="115" spans="2:22" ht="27" x14ac:dyDescent="0.45">
      <c r="B115" s="136" t="s">
        <v>52</v>
      </c>
      <c r="C115" s="136"/>
      <c r="D115" s="68" t="s">
        <v>63</v>
      </c>
      <c r="E115" s="99">
        <f>COUNT(C110:H110)-1</f>
        <v>5</v>
      </c>
      <c r="F115" s="69" t="s">
        <v>47</v>
      </c>
      <c r="G115" s="100">
        <f>M92</f>
        <v>1.3929333333333336</v>
      </c>
      <c r="H115" s="69" t="s">
        <v>73</v>
      </c>
      <c r="I115" s="70" t="s">
        <v>74</v>
      </c>
      <c r="J115" s="100">
        <f>G115/E115</f>
        <v>0.2785866666666667</v>
      </c>
      <c r="K115" s="68" t="s">
        <v>26</v>
      </c>
      <c r="L115" s="71" t="s">
        <v>76</v>
      </c>
      <c r="M115" s="101">
        <f>J115/J116</f>
        <v>1.2797305056846455</v>
      </c>
    </row>
    <row r="116" spans="2:22" x14ac:dyDescent="0.45">
      <c r="B116" s="136" t="s">
        <v>53</v>
      </c>
      <c r="C116" s="136"/>
      <c r="D116" s="68" t="s">
        <v>64</v>
      </c>
      <c r="E116" s="99">
        <f>COUNT(C100:H108)-COUNT(C110:H110)</f>
        <v>48</v>
      </c>
      <c r="F116" s="69" t="s">
        <v>49</v>
      </c>
      <c r="G116" s="100">
        <f>M93</f>
        <v>10.449200000000003</v>
      </c>
      <c r="H116" s="69" t="s">
        <v>48</v>
      </c>
      <c r="I116" s="70" t="s">
        <v>75</v>
      </c>
      <c r="J116" s="100">
        <f>G116/E116</f>
        <v>0.21769166666666673</v>
      </c>
    </row>
    <row r="117" spans="2:22" x14ac:dyDescent="0.45">
      <c r="B117" s="136" t="s">
        <v>4</v>
      </c>
      <c r="C117" s="136"/>
      <c r="D117" s="68" t="s">
        <v>2</v>
      </c>
      <c r="E117" s="99">
        <f>COUNT(C100:H108)-1</f>
        <v>53</v>
      </c>
      <c r="F117" s="69" t="s">
        <v>50</v>
      </c>
      <c r="G117" s="100">
        <f>M94</f>
        <v>11.842133333333331</v>
      </c>
    </row>
    <row r="119" spans="2:22" ht="27" x14ac:dyDescent="0.45">
      <c r="B119" s="1" t="s">
        <v>94</v>
      </c>
      <c r="C119" s="4" t="s">
        <v>26</v>
      </c>
      <c r="D119" s="1"/>
      <c r="E119" s="67">
        <f>M115</f>
        <v>1.2797305056846455</v>
      </c>
      <c r="Q119" s="2" t="s">
        <v>95</v>
      </c>
      <c r="R119" s="2" t="s">
        <v>194</v>
      </c>
      <c r="S119" s="2" t="s">
        <v>101</v>
      </c>
      <c r="T119" s="2" t="s">
        <v>102</v>
      </c>
      <c r="U119" s="2" t="s">
        <v>103</v>
      </c>
      <c r="V119" s="2" t="s">
        <v>195</v>
      </c>
    </row>
    <row r="120" spans="2:22" ht="27" x14ac:dyDescent="0.45">
      <c r="C120" s="3" t="s">
        <v>79</v>
      </c>
      <c r="D120" s="3">
        <v>0.95</v>
      </c>
      <c r="E120" s="67">
        <f>_xlfn.F.INV(D120,E115,E116)</f>
        <v>2.4085141194993356</v>
      </c>
      <c r="F120" s="2" t="s">
        <v>80</v>
      </c>
      <c r="H120" s="2" t="s">
        <v>81</v>
      </c>
      <c r="P120" s="2">
        <v>0</v>
      </c>
      <c r="Q120" s="2">
        <v>13.75</v>
      </c>
      <c r="R120" s="2">
        <v>14.25</v>
      </c>
      <c r="S120" s="2">
        <v>14</v>
      </c>
      <c r="T120" s="2">
        <v>15</v>
      </c>
      <c r="U120" s="2">
        <v>14.5</v>
      </c>
      <c r="V120" s="2">
        <v>13.5</v>
      </c>
    </row>
    <row r="121" spans="2:22" x14ac:dyDescent="0.45">
      <c r="C121" s="3" t="s">
        <v>82</v>
      </c>
      <c r="D121" s="3">
        <v>0.05</v>
      </c>
      <c r="E121" s="102">
        <f>_xlfn.F.DIST.RT(M115,E115,E116)</f>
        <v>0.28815100971489682</v>
      </c>
      <c r="F121" s="2" t="s">
        <v>83</v>
      </c>
      <c r="H121" s="2" t="s">
        <v>84</v>
      </c>
      <c r="P121" s="2">
        <v>1</v>
      </c>
      <c r="Q121" s="2">
        <v>13.75</v>
      </c>
      <c r="R121" s="2">
        <v>13</v>
      </c>
      <c r="S121" s="2">
        <v>14</v>
      </c>
      <c r="T121" s="2">
        <v>14</v>
      </c>
      <c r="U121" s="2">
        <v>14</v>
      </c>
      <c r="V121" s="2">
        <v>12.25</v>
      </c>
    </row>
    <row r="122" spans="2:22" x14ac:dyDescent="0.45">
      <c r="P122" s="2">
        <v>2</v>
      </c>
      <c r="Q122" s="2">
        <v>13.5</v>
      </c>
      <c r="R122" s="2">
        <v>12.75</v>
      </c>
      <c r="S122" s="2">
        <v>13.51</v>
      </c>
      <c r="T122" s="2">
        <v>13.75</v>
      </c>
      <c r="U122" s="2">
        <v>14</v>
      </c>
      <c r="V122" s="2">
        <v>12.25</v>
      </c>
    </row>
    <row r="123" spans="2:22" x14ac:dyDescent="0.45">
      <c r="P123" s="2">
        <v>3</v>
      </c>
      <c r="Q123" s="2">
        <v>13.5</v>
      </c>
      <c r="R123" s="2">
        <v>12.5</v>
      </c>
      <c r="S123" s="2">
        <v>13.5</v>
      </c>
      <c r="T123" s="2">
        <v>13.59</v>
      </c>
      <c r="U123" s="2">
        <v>13.9</v>
      </c>
      <c r="V123" s="2">
        <v>12</v>
      </c>
    </row>
    <row r="124" spans="2:22" x14ac:dyDescent="0.45">
      <c r="P124" s="2">
        <v>4</v>
      </c>
      <c r="Q124" s="2">
        <v>13</v>
      </c>
      <c r="R124" s="2">
        <v>12.5</v>
      </c>
      <c r="S124" s="2">
        <v>13.5</v>
      </c>
      <c r="T124" s="2">
        <v>13.25</v>
      </c>
      <c r="U124" s="2">
        <v>13.75</v>
      </c>
      <c r="V124" s="2">
        <v>12</v>
      </c>
    </row>
    <row r="125" spans="2:22" x14ac:dyDescent="0.45">
      <c r="P125" s="2">
        <v>5</v>
      </c>
      <c r="Q125" s="2">
        <v>13</v>
      </c>
      <c r="R125" s="2">
        <v>12.4</v>
      </c>
      <c r="S125" s="2">
        <v>13.25</v>
      </c>
      <c r="T125" s="2">
        <v>12.97</v>
      </c>
      <c r="U125" s="2">
        <v>13.25</v>
      </c>
      <c r="V125" s="2">
        <v>12</v>
      </c>
    </row>
    <row r="126" spans="2:22" x14ac:dyDescent="0.45">
      <c r="P126" s="2">
        <v>6</v>
      </c>
      <c r="Q126" s="2">
        <v>13</v>
      </c>
      <c r="R126" s="2">
        <v>12.3</v>
      </c>
      <c r="S126" s="2">
        <v>13</v>
      </c>
      <c r="T126" s="2">
        <v>12.5</v>
      </c>
      <c r="U126" s="2">
        <v>13</v>
      </c>
      <c r="V126" s="2">
        <v>12</v>
      </c>
    </row>
    <row r="127" spans="2:22" x14ac:dyDescent="0.45">
      <c r="P127" s="2">
        <v>7</v>
      </c>
      <c r="Q127" s="2">
        <v>12.75</v>
      </c>
      <c r="R127" s="2">
        <v>11.9</v>
      </c>
      <c r="S127" s="2">
        <v>12.5</v>
      </c>
      <c r="T127" s="2">
        <v>12.25</v>
      </c>
      <c r="U127" s="2">
        <v>12.5</v>
      </c>
      <c r="V127" s="2">
        <v>11.9</v>
      </c>
    </row>
    <row r="128" spans="2:22" x14ac:dyDescent="0.45">
      <c r="P128" s="2">
        <v>8</v>
      </c>
      <c r="Q128" s="2">
        <v>12.5</v>
      </c>
      <c r="R128" s="2">
        <v>11.9</v>
      </c>
      <c r="S128" s="2">
        <v>12.5</v>
      </c>
      <c r="T128" s="2">
        <v>11.89</v>
      </c>
      <c r="U128" s="2">
        <v>12.45</v>
      </c>
      <c r="V128" s="2">
        <v>11.9</v>
      </c>
    </row>
  </sheetData>
  <mergeCells count="27">
    <mergeCell ref="O66:R66"/>
    <mergeCell ref="S66:V66"/>
    <mergeCell ref="F79:G79"/>
    <mergeCell ref="K79:M79"/>
    <mergeCell ref="O68:R68"/>
    <mergeCell ref="S68:V68"/>
    <mergeCell ref="H79:J79"/>
    <mergeCell ref="F114:G114"/>
    <mergeCell ref="H114:J114"/>
    <mergeCell ref="K114:M114"/>
    <mergeCell ref="B4:F4"/>
    <mergeCell ref="E24:F24"/>
    <mergeCell ref="L24:N24"/>
    <mergeCell ref="G66:J66"/>
    <mergeCell ref="G68:J68"/>
    <mergeCell ref="K68:N68"/>
    <mergeCell ref="B81:C81"/>
    <mergeCell ref="B82:C82"/>
    <mergeCell ref="K66:N66"/>
    <mergeCell ref="B79:C79"/>
    <mergeCell ref="D79:E79"/>
    <mergeCell ref="B80:C80"/>
    <mergeCell ref="B115:C115"/>
    <mergeCell ref="B116:C116"/>
    <mergeCell ref="B117:C117"/>
    <mergeCell ref="B114:C114"/>
    <mergeCell ref="D114:E114"/>
  </mergeCells>
  <dataValidations disablePrompts="1" count="1">
    <dataValidation type="list" allowBlank="1" showInputMessage="1" showErrorMessage="1" sqref="C26:C29 C33 C37 C41" xr:uid="{B73E32B7-2A24-4C5C-BD44-27D565C61DE5}">
      <formula1>"1,2"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9222-81A3-47F4-904E-B0EEEC3DBB64}">
  <dimension ref="A1:AF136"/>
  <sheetViews>
    <sheetView topLeftCell="G54" zoomScale="85" zoomScaleNormal="85" workbookViewId="0">
      <selection activeCell="O48" sqref="O48"/>
    </sheetView>
  </sheetViews>
  <sheetFormatPr defaultRowHeight="23.4" x14ac:dyDescent="0.45"/>
  <cols>
    <col min="1" max="1" width="19.77734375" style="2" customWidth="1"/>
    <col min="2" max="2" width="18.109375" style="2" customWidth="1"/>
    <col min="3" max="3" width="13.21875" style="2" customWidth="1"/>
    <col min="4" max="4" width="13.21875" style="5" customWidth="1"/>
    <col min="5" max="6" width="13.21875" style="2" customWidth="1"/>
    <col min="7" max="8" width="12.5546875" style="2" customWidth="1"/>
    <col min="9" max="13" width="12.5546875" style="3" customWidth="1"/>
    <col min="14" max="14" width="11.109375" style="2" customWidth="1"/>
    <col min="15" max="15" width="19.5546875" style="2" customWidth="1"/>
    <col min="16" max="16" width="14.33203125" style="2" customWidth="1"/>
    <col min="17" max="17" width="15.33203125" style="2" bestFit="1" customWidth="1"/>
    <col min="18" max="18" width="18.21875" style="2" customWidth="1"/>
    <col min="19" max="20" width="13.77734375" style="2" customWidth="1"/>
    <col min="21" max="16384" width="8.88671875" style="2"/>
  </cols>
  <sheetData>
    <row r="1" spans="1:32" x14ac:dyDescent="0.45">
      <c r="A1" s="9" t="s">
        <v>104</v>
      </c>
    </row>
    <row r="2" spans="1:32" s="3" customFormat="1" x14ac:dyDescent="0.45">
      <c r="A2" s="2"/>
      <c r="B2" s="9"/>
      <c r="C2" s="2"/>
      <c r="D2" s="5"/>
      <c r="E2" s="2"/>
      <c r="F2" s="2"/>
      <c r="G2" s="2"/>
      <c r="H2" s="27" t="s">
        <v>105</v>
      </c>
      <c r="I2" s="28"/>
      <c r="J2" s="30"/>
      <c r="K2" s="3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3" customFormat="1" x14ac:dyDescent="0.45">
      <c r="A3" s="2"/>
      <c r="B3" s="9"/>
      <c r="C3" s="2"/>
      <c r="D3" s="5"/>
      <c r="E3" s="2"/>
      <c r="F3" s="2"/>
      <c r="G3" s="2"/>
      <c r="H3" s="2"/>
      <c r="I3" s="2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3" customFormat="1" x14ac:dyDescent="0.45">
      <c r="A4" s="2"/>
      <c r="B4" s="9"/>
      <c r="C4" s="2"/>
      <c r="D4" s="5"/>
      <c r="E4" s="2"/>
      <c r="F4" s="2"/>
      <c r="G4" s="2"/>
      <c r="H4" s="2"/>
      <c r="I4" s="2"/>
      <c r="J4" s="2"/>
      <c r="K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3" customFormat="1" x14ac:dyDescent="0.45">
      <c r="A5" s="2"/>
      <c r="B5" s="9"/>
      <c r="C5" s="2"/>
      <c r="D5" s="5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3" customFormat="1" x14ac:dyDescent="0.45">
      <c r="A6" s="2"/>
      <c r="B6" s="9"/>
      <c r="C6" s="2"/>
      <c r="D6" s="5"/>
      <c r="E6" s="2"/>
      <c r="F6" s="2"/>
      <c r="G6" s="2"/>
      <c r="H6" s="2"/>
      <c r="I6" s="2"/>
      <c r="J6" s="2"/>
      <c r="K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s="3" customFormat="1" x14ac:dyDescent="0.45">
      <c r="A7" s="2"/>
      <c r="B7" s="9"/>
      <c r="C7" s="2"/>
      <c r="D7" s="5"/>
      <c r="E7" s="2"/>
      <c r="F7" s="2"/>
      <c r="G7" s="2"/>
      <c r="H7" s="2"/>
      <c r="I7" s="2"/>
      <c r="J7" s="2"/>
      <c r="K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s="3" customFormat="1" x14ac:dyDescent="0.45">
      <c r="A8" s="2"/>
      <c r="B8" s="9"/>
      <c r="C8" s="2"/>
      <c r="D8" s="5"/>
      <c r="E8" s="2"/>
      <c r="F8" s="2"/>
      <c r="G8" s="2"/>
      <c r="H8" s="2"/>
      <c r="I8" s="2"/>
      <c r="J8" s="2"/>
      <c r="K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s="3" customFormat="1" x14ac:dyDescent="0.45">
      <c r="A9" s="2"/>
      <c r="B9" s="9"/>
      <c r="C9" s="2"/>
      <c r="D9" s="5"/>
      <c r="E9" s="2"/>
      <c r="F9" s="2"/>
      <c r="G9" s="2"/>
      <c r="H9" s="2"/>
      <c r="I9" s="2"/>
      <c r="J9" s="2"/>
      <c r="K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3" customFormat="1" x14ac:dyDescent="0.45">
      <c r="A10" s="2"/>
      <c r="B10" s="9"/>
      <c r="C10" s="2"/>
      <c r="D10" s="5"/>
      <c r="E10" s="2"/>
      <c r="F10" s="2"/>
      <c r="G10" s="2"/>
      <c r="H10" s="2"/>
      <c r="I10" s="2"/>
      <c r="J10" s="2"/>
      <c r="K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s="3" customFormat="1" x14ac:dyDescent="0.45">
      <c r="A11" s="2"/>
      <c r="B11" s="9"/>
      <c r="C11" s="2"/>
      <c r="D11" s="5"/>
      <c r="E11" s="2"/>
      <c r="F11" s="2"/>
      <c r="G11" s="2"/>
      <c r="H11" s="2"/>
      <c r="I11" s="2"/>
      <c r="J11" s="2"/>
      <c r="K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s="3" customFormat="1" x14ac:dyDescent="0.45">
      <c r="A12" s="2"/>
      <c r="B12" s="9"/>
      <c r="C12" s="2"/>
      <c r="D12" s="5"/>
      <c r="E12" s="2"/>
      <c r="F12" s="2"/>
      <c r="G12" s="2"/>
      <c r="H12" s="2"/>
      <c r="I12" s="2"/>
      <c r="J12" s="2"/>
      <c r="K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45">
      <c r="I13" s="2"/>
      <c r="J13" s="2"/>
      <c r="K13" s="2"/>
    </row>
    <row r="14" spans="1:32" x14ac:dyDescent="0.45">
      <c r="I14" s="2"/>
      <c r="J14" s="2"/>
      <c r="K14" s="2"/>
    </row>
    <row r="15" spans="1:32" x14ac:dyDescent="0.45">
      <c r="A15" s="9" t="s">
        <v>106</v>
      </c>
    </row>
    <row r="17" spans="1:15" x14ac:dyDescent="0.45">
      <c r="I17" s="31" t="s">
        <v>125</v>
      </c>
      <c r="O17" s="1" t="s">
        <v>140</v>
      </c>
    </row>
    <row r="18" spans="1:15" x14ac:dyDescent="0.45">
      <c r="I18" s="31" t="s">
        <v>126</v>
      </c>
      <c r="O18" s="1" t="s">
        <v>141</v>
      </c>
    </row>
    <row r="21" spans="1:15" x14ac:dyDescent="0.45">
      <c r="A21" s="2" t="s">
        <v>10</v>
      </c>
      <c r="B21" s="2" t="s">
        <v>1</v>
      </c>
      <c r="C21" s="2" t="s">
        <v>107</v>
      </c>
    </row>
    <row r="25" spans="1:15" x14ac:dyDescent="0.45">
      <c r="B25" s="31" t="s">
        <v>115</v>
      </c>
    </row>
    <row r="28" spans="1:15" ht="48" customHeight="1" x14ac:dyDescent="0.45">
      <c r="C28" s="150" t="s">
        <v>117</v>
      </c>
      <c r="D28" s="150"/>
      <c r="E28" s="150"/>
      <c r="F28" s="150"/>
      <c r="H28" s="151" t="s">
        <v>116</v>
      </c>
      <c r="I28" s="151"/>
      <c r="J28" s="151"/>
      <c r="K28" s="151"/>
    </row>
    <row r="29" spans="1:15" ht="46.8" x14ac:dyDescent="0.45">
      <c r="C29" s="115" t="s">
        <v>108</v>
      </c>
      <c r="D29" s="115" t="s">
        <v>109</v>
      </c>
      <c r="E29" s="115" t="s">
        <v>110</v>
      </c>
      <c r="F29" s="116" t="s">
        <v>4</v>
      </c>
      <c r="H29" s="115" t="s">
        <v>108</v>
      </c>
      <c r="I29" s="115" t="s">
        <v>109</v>
      </c>
      <c r="J29" s="115" t="s">
        <v>110</v>
      </c>
      <c r="K29" s="116" t="s">
        <v>4</v>
      </c>
    </row>
    <row r="30" spans="1:15" x14ac:dyDescent="0.45">
      <c r="B30" s="112" t="s">
        <v>111</v>
      </c>
      <c r="C30" s="39">
        <v>23</v>
      </c>
      <c r="D30" s="39">
        <v>7</v>
      </c>
      <c r="E30" s="113">
        <v>37</v>
      </c>
      <c r="F30" s="114">
        <f>SUM(C30:E30)</f>
        <v>67</v>
      </c>
      <c r="H30" s="117">
        <f>F30*C34/F34</f>
        <v>31.529411764705884</v>
      </c>
      <c r="I30" s="117">
        <f>F30*D34/F34</f>
        <v>11.823529411764707</v>
      </c>
      <c r="J30" s="118">
        <f>F30*E34/F34</f>
        <v>23.647058823529413</v>
      </c>
      <c r="K30" s="114">
        <f>SUM(H30:J30)</f>
        <v>67</v>
      </c>
    </row>
    <row r="31" spans="1:15" x14ac:dyDescent="0.45">
      <c r="B31" s="112" t="s">
        <v>112</v>
      </c>
      <c r="C31" s="18">
        <v>13</v>
      </c>
      <c r="D31" s="18">
        <v>5</v>
      </c>
      <c r="E31" s="26">
        <v>13</v>
      </c>
      <c r="F31" s="107">
        <f>SUM(C31:E31)</f>
        <v>31</v>
      </c>
      <c r="H31" s="20">
        <f>F31*C34/F34</f>
        <v>14.588235294117647</v>
      </c>
      <c r="I31" s="20">
        <f>F31*D34/F34</f>
        <v>5.4705882352941178</v>
      </c>
      <c r="J31" s="119">
        <f>F31*E34/F34</f>
        <v>10.941176470588236</v>
      </c>
      <c r="K31" s="107">
        <f>SUM(H31:J31)</f>
        <v>31</v>
      </c>
    </row>
    <row r="32" spans="1:15" x14ac:dyDescent="0.45">
      <c r="B32" s="112" t="s">
        <v>113</v>
      </c>
      <c r="C32" s="18">
        <v>39</v>
      </c>
      <c r="D32" s="18">
        <v>13</v>
      </c>
      <c r="E32" s="26">
        <v>8</v>
      </c>
      <c r="F32" s="107">
        <f>SUM(C32:E32)</f>
        <v>60</v>
      </c>
      <c r="H32" s="20">
        <f>F32*C34/F34</f>
        <v>28.235294117647058</v>
      </c>
      <c r="I32" s="20">
        <f>F32*D34/F34</f>
        <v>10.588235294117647</v>
      </c>
      <c r="J32" s="119">
        <f>F32*E34/F34</f>
        <v>21.176470588235293</v>
      </c>
      <c r="K32" s="107">
        <f>SUM(H32:J32)</f>
        <v>60</v>
      </c>
    </row>
    <row r="33" spans="2:11" ht="24" thickBot="1" x14ac:dyDescent="0.5">
      <c r="B33" s="112" t="s">
        <v>114</v>
      </c>
      <c r="C33" s="38">
        <v>13</v>
      </c>
      <c r="D33" s="38">
        <v>8</v>
      </c>
      <c r="E33" s="108">
        <v>8</v>
      </c>
      <c r="F33" s="109">
        <f>SUM(C33:E33)</f>
        <v>29</v>
      </c>
      <c r="H33" s="120">
        <f>F33*C34/F34</f>
        <v>13.647058823529411</v>
      </c>
      <c r="I33" s="120">
        <f>F33*D34/F34</f>
        <v>5.117647058823529</v>
      </c>
      <c r="J33" s="121">
        <f>F33*E34/F34</f>
        <v>10.235294117647058</v>
      </c>
      <c r="K33" s="109">
        <f>SUM(H33:J33)</f>
        <v>29</v>
      </c>
    </row>
    <row r="34" spans="2:11" ht="24" thickBot="1" x14ac:dyDescent="0.5">
      <c r="B34" s="106" t="s">
        <v>4</v>
      </c>
      <c r="C34" s="34">
        <f>SUM(C30:C33)</f>
        <v>88</v>
      </c>
      <c r="D34" s="103">
        <f>SUM(D30:D33)</f>
        <v>33</v>
      </c>
      <c r="E34" s="110">
        <f>SUM(E30:E33)</f>
        <v>66</v>
      </c>
      <c r="F34" s="111">
        <f>SUM(F30:F33)</f>
        <v>187</v>
      </c>
      <c r="H34" s="34">
        <f>SUM(H30:H33)</f>
        <v>87.999999999999986</v>
      </c>
      <c r="I34" s="103">
        <f>SUM(I30:I33)</f>
        <v>33</v>
      </c>
      <c r="J34" s="110">
        <f>SUM(J30:J33)</f>
        <v>66</v>
      </c>
      <c r="K34" s="111">
        <f>SUM(K30:K33)</f>
        <v>187</v>
      </c>
    </row>
    <row r="36" spans="2:11" x14ac:dyDescent="0.45">
      <c r="C36" s="2" t="s">
        <v>119</v>
      </c>
      <c r="D36" s="5" t="s">
        <v>118</v>
      </c>
      <c r="E36" s="2" t="s">
        <v>120</v>
      </c>
      <c r="F36" s="2" t="s">
        <v>121</v>
      </c>
      <c r="G36" s="2" t="s">
        <v>122</v>
      </c>
    </row>
    <row r="37" spans="2:11" x14ac:dyDescent="0.45">
      <c r="B37" s="104" t="str">
        <f>B30&amp;" &amp; "&amp;C29</f>
        <v xml:space="preserve">Amenities &amp; Golden Palm </v>
      </c>
      <c r="C37" s="2">
        <f>C30</f>
        <v>23</v>
      </c>
      <c r="D37" s="2">
        <f>H30</f>
        <v>31.529411764705884</v>
      </c>
      <c r="E37" s="2">
        <f>(C37-D37)</f>
        <v>-8.529411764705884</v>
      </c>
      <c r="F37" s="2">
        <f>E37^2</f>
        <v>72.750865051903148</v>
      </c>
      <c r="G37" s="2">
        <f>F37/D37</f>
        <v>2.3073968393327489</v>
      </c>
    </row>
    <row r="38" spans="2:11" x14ac:dyDescent="0.45">
      <c r="B38" s="104" t="str">
        <f>B30&amp;" &amp; "&amp;D29</f>
        <v>Amenities &amp; Palm Royale</v>
      </c>
      <c r="C38" s="2">
        <f>D30</f>
        <v>7</v>
      </c>
      <c r="D38" s="2">
        <f>I30</f>
        <v>11.823529411764707</v>
      </c>
      <c r="E38" s="2">
        <f t="shared" ref="E38:E48" si="0">(C38-D38)</f>
        <v>-4.8235294117647065</v>
      </c>
      <c r="F38" s="2">
        <f t="shared" ref="F38:F48" si="1">E38^2</f>
        <v>23.266435986159177</v>
      </c>
      <c r="G38" s="2">
        <f t="shared" ref="G38:G48" si="2">F38/D38</f>
        <v>1.9678080187298805</v>
      </c>
    </row>
    <row r="39" spans="2:11" x14ac:dyDescent="0.45">
      <c r="B39" s="104" t="str">
        <f>B30&amp;" &amp; "&amp;E29</f>
        <v>Amenities &amp; Palm Princess</v>
      </c>
      <c r="C39" s="2">
        <f>E30</f>
        <v>37</v>
      </c>
      <c r="D39" s="2">
        <f>J30</f>
        <v>23.647058823529413</v>
      </c>
      <c r="E39" s="2">
        <f t="shared" si="0"/>
        <v>13.352941176470587</v>
      </c>
      <c r="F39" s="2">
        <f t="shared" si="1"/>
        <v>178.30103806228371</v>
      </c>
      <c r="G39" s="2">
        <f t="shared" si="2"/>
        <v>7.540093649400057</v>
      </c>
    </row>
    <row r="40" spans="2:11" x14ac:dyDescent="0.45">
      <c r="B40" s="104" t="str">
        <f>B31&amp;" &amp; "&amp;C29</f>
        <v xml:space="preserve">Dining Options &amp; Golden Palm </v>
      </c>
      <c r="C40" s="2">
        <f>C31</f>
        <v>13</v>
      </c>
      <c r="D40" s="2">
        <f>H31</f>
        <v>14.588235294117647</v>
      </c>
      <c r="E40" s="2">
        <f t="shared" si="0"/>
        <v>-1.5882352941176467</v>
      </c>
      <c r="F40" s="2">
        <f t="shared" si="1"/>
        <v>2.5224913494809678</v>
      </c>
      <c r="G40" s="2">
        <f t="shared" si="2"/>
        <v>0.17291271347248569</v>
      </c>
    </row>
    <row r="41" spans="2:11" x14ac:dyDescent="0.45">
      <c r="B41" s="104" t="str">
        <f>B31&amp;" &amp; "&amp;D29</f>
        <v>Dining Options &amp; Palm Royale</v>
      </c>
      <c r="C41" s="2">
        <f>D31</f>
        <v>5</v>
      </c>
      <c r="D41" s="2">
        <f>I31</f>
        <v>5.4705882352941178</v>
      </c>
      <c r="E41" s="2">
        <f t="shared" si="0"/>
        <v>-0.47058823529411775</v>
      </c>
      <c r="F41" s="2">
        <f t="shared" si="1"/>
        <v>0.22145328719723192</v>
      </c>
      <c r="G41" s="2">
        <f t="shared" si="2"/>
        <v>4.0480708412397232E-2</v>
      </c>
    </row>
    <row r="42" spans="2:11" x14ac:dyDescent="0.45">
      <c r="B42" s="104"/>
      <c r="C42" s="2">
        <f>E31</f>
        <v>13</v>
      </c>
      <c r="D42" s="2">
        <f>J31</f>
        <v>10.941176470588236</v>
      </c>
      <c r="E42" s="2">
        <f t="shared" si="0"/>
        <v>2.0588235294117645</v>
      </c>
      <c r="F42" s="2">
        <f t="shared" si="1"/>
        <v>4.2387543252595146</v>
      </c>
      <c r="G42" s="2">
        <f t="shared" si="2"/>
        <v>0.38741302972802016</v>
      </c>
    </row>
    <row r="43" spans="2:11" x14ac:dyDescent="0.45">
      <c r="C43" s="2">
        <f>C32</f>
        <v>39</v>
      </c>
      <c r="D43" s="2">
        <f>H32</f>
        <v>28.235294117647058</v>
      </c>
      <c r="E43" s="2">
        <f t="shared" si="0"/>
        <v>10.764705882352942</v>
      </c>
      <c r="F43" s="2">
        <f t="shared" si="1"/>
        <v>115.87889273356403</v>
      </c>
      <c r="G43" s="2">
        <f t="shared" si="2"/>
        <v>4.1040441176470592</v>
      </c>
    </row>
    <row r="44" spans="2:11" x14ac:dyDescent="0.45">
      <c r="C44" s="2">
        <f>D32</f>
        <v>13</v>
      </c>
      <c r="D44" s="2">
        <f>I32</f>
        <v>10.588235294117647</v>
      </c>
      <c r="E44" s="2">
        <f t="shared" si="0"/>
        <v>2.4117647058823533</v>
      </c>
      <c r="F44" s="2">
        <f t="shared" si="1"/>
        <v>5.8166089965397942</v>
      </c>
      <c r="G44" s="2">
        <f t="shared" si="2"/>
        <v>0.54934640522875833</v>
      </c>
    </row>
    <row r="45" spans="2:11" x14ac:dyDescent="0.45">
      <c r="C45" s="2">
        <f>E32</f>
        <v>8</v>
      </c>
      <c r="D45" s="2">
        <f>J32</f>
        <v>21.176470588235293</v>
      </c>
      <c r="E45" s="2">
        <f t="shared" si="0"/>
        <v>-13.176470588235293</v>
      </c>
      <c r="F45" s="2">
        <f t="shared" si="1"/>
        <v>173.61937716262975</v>
      </c>
      <c r="G45" s="2">
        <f t="shared" si="2"/>
        <v>8.1986928104575156</v>
      </c>
    </row>
    <row r="46" spans="2:11" x14ac:dyDescent="0.45">
      <c r="C46" s="2">
        <f>C33</f>
        <v>13</v>
      </c>
      <c r="D46" s="2">
        <f>H33</f>
        <v>13.647058823529411</v>
      </c>
      <c r="E46" s="2">
        <f t="shared" si="0"/>
        <v>-0.64705882352941124</v>
      </c>
      <c r="F46" s="2">
        <f t="shared" si="1"/>
        <v>0.41868512110726575</v>
      </c>
      <c r="G46" s="2">
        <f t="shared" si="2"/>
        <v>3.0679513184584128E-2</v>
      </c>
    </row>
    <row r="47" spans="2:11" x14ac:dyDescent="0.45">
      <c r="C47" s="2">
        <f>D33</f>
        <v>8</v>
      </c>
      <c r="D47" s="2">
        <f>I33</f>
        <v>5.117647058823529</v>
      </c>
      <c r="E47" s="2">
        <f t="shared" si="0"/>
        <v>2.882352941176471</v>
      </c>
      <c r="F47" s="2">
        <f t="shared" si="1"/>
        <v>8.3079584775086524</v>
      </c>
      <c r="G47" s="2">
        <f t="shared" si="2"/>
        <v>1.6233941852603115</v>
      </c>
    </row>
    <row r="48" spans="2:11" x14ac:dyDescent="0.45">
      <c r="C48" s="2">
        <f>E33</f>
        <v>8</v>
      </c>
      <c r="D48" s="2">
        <f>J33</f>
        <v>10.235294117647058</v>
      </c>
      <c r="E48" s="2">
        <f t="shared" si="0"/>
        <v>-2.235294117647058</v>
      </c>
      <c r="F48" s="2">
        <f t="shared" si="1"/>
        <v>4.9965397923875399</v>
      </c>
      <c r="G48" s="2">
        <f t="shared" si="2"/>
        <v>0.48816768086544932</v>
      </c>
    </row>
    <row r="49" spans="2:19" x14ac:dyDescent="0.45">
      <c r="G49" s="2">
        <f>SUM(G37:G48)</f>
        <v>27.410429671719264</v>
      </c>
    </row>
    <row r="51" spans="2:19" x14ac:dyDescent="0.45">
      <c r="D51" s="5" t="s">
        <v>10</v>
      </c>
      <c r="F51" s="2" t="s">
        <v>1</v>
      </c>
      <c r="G51" s="2">
        <f>(4-1)*(3-1)</f>
        <v>6</v>
      </c>
    </row>
    <row r="52" spans="2:19" x14ac:dyDescent="0.45">
      <c r="D52" s="5" t="s">
        <v>23</v>
      </c>
      <c r="F52" s="2" t="s">
        <v>1</v>
      </c>
      <c r="G52" s="2">
        <v>0.05</v>
      </c>
    </row>
    <row r="53" spans="2:19" x14ac:dyDescent="0.45">
      <c r="D53" s="5" t="s">
        <v>124</v>
      </c>
      <c r="F53" s="2" t="s">
        <v>1</v>
      </c>
      <c r="G53" s="2">
        <f>_xlfn.CHISQ.INV(1-G52,G51)</f>
        <v>12.591587243743977</v>
      </c>
    </row>
    <row r="54" spans="2:19" x14ac:dyDescent="0.45">
      <c r="D54" s="5" t="s">
        <v>123</v>
      </c>
      <c r="F54" s="2" t="s">
        <v>1</v>
      </c>
      <c r="G54" s="2">
        <f>G49</f>
        <v>27.410429671719264</v>
      </c>
    </row>
    <row r="55" spans="2:19" x14ac:dyDescent="0.45">
      <c r="D55" s="5" t="s">
        <v>99</v>
      </c>
      <c r="F55" s="2" t="s">
        <v>1</v>
      </c>
      <c r="G55" s="2">
        <f>1-_xlfn.CHISQ.DIST(G54,G51,1)</f>
        <v>1.2128785227394356E-4</v>
      </c>
      <c r="H55" s="2" t="s">
        <v>202</v>
      </c>
    </row>
    <row r="58" spans="2:19" ht="48" customHeight="1" x14ac:dyDescent="0.45">
      <c r="C58" s="150" t="s">
        <v>117</v>
      </c>
      <c r="D58" s="150"/>
      <c r="E58" s="150"/>
      <c r="F58" s="150"/>
      <c r="H58" s="151" t="s">
        <v>116</v>
      </c>
      <c r="I58" s="151"/>
      <c r="J58" s="151"/>
      <c r="K58" s="151"/>
    </row>
    <row r="59" spans="2:19" x14ac:dyDescent="0.45">
      <c r="C59" s="115" t="s">
        <v>130</v>
      </c>
      <c r="D59" s="115" t="s">
        <v>131</v>
      </c>
      <c r="E59" s="115"/>
      <c r="F59" s="116" t="s">
        <v>4</v>
      </c>
      <c r="H59" s="115" t="s">
        <v>130</v>
      </c>
      <c r="I59" s="115" t="s">
        <v>131</v>
      </c>
      <c r="J59" s="115"/>
      <c r="K59" s="116" t="s">
        <v>4</v>
      </c>
    </row>
    <row r="60" spans="2:19" x14ac:dyDescent="0.45">
      <c r="B60" s="112" t="s">
        <v>127</v>
      </c>
      <c r="C60" s="39">
        <v>51</v>
      </c>
      <c r="D60" s="39">
        <v>39</v>
      </c>
      <c r="E60" s="113"/>
      <c r="F60" s="114">
        <f>SUM(C60:E60)</f>
        <v>90</v>
      </c>
      <c r="H60" s="117">
        <f>F60*C64/F64</f>
        <v>59.4</v>
      </c>
      <c r="I60" s="117">
        <f>F60*D64/F64</f>
        <v>30.6</v>
      </c>
      <c r="J60" s="118"/>
      <c r="K60" s="114">
        <f>SUM(H60:J60)</f>
        <v>90</v>
      </c>
    </row>
    <row r="61" spans="2:19" x14ac:dyDescent="0.45">
      <c r="B61" s="112" t="s">
        <v>128</v>
      </c>
      <c r="C61" s="18">
        <v>56</v>
      </c>
      <c r="D61" s="18">
        <v>21</v>
      </c>
      <c r="E61" s="26"/>
      <c r="F61" s="107">
        <f>SUM(C61:E61)</f>
        <v>77</v>
      </c>
      <c r="H61" s="20">
        <f>F61*C64/F64</f>
        <v>50.82</v>
      </c>
      <c r="I61" s="20">
        <f>F61*D64/F64</f>
        <v>26.18</v>
      </c>
      <c r="J61" s="119"/>
      <c r="K61" s="107">
        <f>SUM(H61:J61)</f>
        <v>77</v>
      </c>
    </row>
    <row r="62" spans="2:19" x14ac:dyDescent="0.45">
      <c r="B62" s="112" t="s">
        <v>129</v>
      </c>
      <c r="C62" s="18">
        <v>25</v>
      </c>
      <c r="D62" s="18">
        <v>8</v>
      </c>
      <c r="E62" s="26"/>
      <c r="F62" s="107">
        <f>SUM(C62:E62)</f>
        <v>33</v>
      </c>
      <c r="H62" s="20">
        <f>F62*C64/F64</f>
        <v>21.78</v>
      </c>
      <c r="I62" s="20">
        <f>F62*D64/F64</f>
        <v>11.22</v>
      </c>
      <c r="J62" s="119"/>
      <c r="K62" s="107">
        <f>SUM(H62:J62)</f>
        <v>33</v>
      </c>
      <c r="P62" s="5" t="s">
        <v>10</v>
      </c>
      <c r="R62" s="2" t="s">
        <v>1</v>
      </c>
      <c r="S62" s="7">
        <v>1</v>
      </c>
    </row>
    <row r="63" spans="2:19" ht="24" thickBot="1" x14ac:dyDescent="0.5">
      <c r="B63" s="112"/>
      <c r="C63" s="38"/>
      <c r="D63" s="38"/>
      <c r="E63" s="108"/>
      <c r="F63" s="109"/>
      <c r="H63" s="120"/>
      <c r="I63" s="120"/>
      <c r="J63" s="121"/>
      <c r="K63" s="109"/>
      <c r="P63" s="5" t="s">
        <v>23</v>
      </c>
      <c r="R63" s="2" t="s">
        <v>1</v>
      </c>
      <c r="S63" s="2">
        <v>0.05</v>
      </c>
    </row>
    <row r="64" spans="2:19" ht="24" thickBot="1" x14ac:dyDescent="0.5">
      <c r="B64" s="106" t="s">
        <v>4</v>
      </c>
      <c r="C64" s="34">
        <f>SUM(C60:C63)</f>
        <v>132</v>
      </c>
      <c r="D64" s="103">
        <f>SUM(D60:D63)</f>
        <v>68</v>
      </c>
      <c r="E64" s="110"/>
      <c r="F64" s="111">
        <f>SUM(F60:F63)</f>
        <v>200</v>
      </c>
      <c r="H64" s="34">
        <f>SUM(H60:H63)</f>
        <v>132</v>
      </c>
      <c r="I64" s="103">
        <f>SUM(I60:I63)</f>
        <v>68</v>
      </c>
      <c r="J64" s="110">
        <f>SUM(J60:J63)</f>
        <v>0</v>
      </c>
      <c r="K64" s="111">
        <f>SUM(K60:K63)</f>
        <v>200</v>
      </c>
      <c r="P64" s="5" t="s">
        <v>124</v>
      </c>
      <c r="R64" s="2" t="s">
        <v>1</v>
      </c>
      <c r="S64" s="2">
        <f>_xlfn.CHISQ.INV(1-S63,S62)</f>
        <v>3.8414588206941236</v>
      </c>
    </row>
    <row r="65" spans="2:20" x14ac:dyDescent="0.45">
      <c r="P65" s="5" t="s">
        <v>123</v>
      </c>
      <c r="R65" s="2" t="s">
        <v>1</v>
      </c>
      <c r="S65" s="7">
        <v>8.8699999999999992</v>
      </c>
    </row>
    <row r="66" spans="2:20" x14ac:dyDescent="0.45">
      <c r="C66" s="2" t="s">
        <v>119</v>
      </c>
      <c r="D66" s="5" t="s">
        <v>118</v>
      </c>
      <c r="E66" s="2" t="s">
        <v>120</v>
      </c>
      <c r="F66" s="2" t="s">
        <v>121</v>
      </c>
      <c r="G66" s="2" t="s">
        <v>122</v>
      </c>
      <c r="P66" s="5" t="s">
        <v>99</v>
      </c>
      <c r="R66" s="2" t="s">
        <v>1</v>
      </c>
      <c r="S66" s="2">
        <f>1-_xlfn.CHISQ.DIST(S65,S62,1)</f>
        <v>2.8989514137027772E-3</v>
      </c>
      <c r="T66" s="2" t="s">
        <v>202</v>
      </c>
    </row>
    <row r="67" spans="2:20" x14ac:dyDescent="0.45">
      <c r="B67" s="104" t="str">
        <f>B60&amp;" &amp; "&amp;C59</f>
        <v>light &amp; male</v>
      </c>
      <c r="C67" s="2">
        <f>C60</f>
        <v>51</v>
      </c>
      <c r="D67" s="2">
        <f>H60</f>
        <v>59.4</v>
      </c>
      <c r="E67" s="2">
        <f t="shared" ref="E67:E72" si="3">(C67-D67)</f>
        <v>-8.3999999999999986</v>
      </c>
      <c r="F67" s="2">
        <f t="shared" ref="F67:F72" si="4">E67^2</f>
        <v>70.559999999999974</v>
      </c>
      <c r="G67" s="2">
        <f t="shared" ref="G67:G72" si="5">F67/D67</f>
        <v>1.1878787878787875</v>
      </c>
      <c r="J67" s="31" t="s">
        <v>132</v>
      </c>
    </row>
    <row r="68" spans="2:20" x14ac:dyDescent="0.45">
      <c r="B68" s="104" t="str">
        <f>B60&amp;" &amp; "&amp;D59</f>
        <v>light &amp; female</v>
      </c>
      <c r="C68" s="2">
        <f>D60</f>
        <v>39</v>
      </c>
      <c r="D68" s="2">
        <f>I60</f>
        <v>30.6</v>
      </c>
      <c r="E68" s="2">
        <f t="shared" si="3"/>
        <v>8.3999999999999986</v>
      </c>
      <c r="F68" s="2">
        <f t="shared" si="4"/>
        <v>70.559999999999974</v>
      </c>
      <c r="G68" s="2">
        <f t="shared" si="5"/>
        <v>2.3058823529411754</v>
      </c>
      <c r="J68" s="31" t="s">
        <v>133</v>
      </c>
    </row>
    <row r="69" spans="2:20" x14ac:dyDescent="0.45">
      <c r="B69" s="104" t="str">
        <f>B61&amp;" &amp; "&amp;C59</f>
        <v>regular &amp; male</v>
      </c>
      <c r="C69" s="2">
        <f>C61</f>
        <v>56</v>
      </c>
      <c r="D69" s="2">
        <f>H61</f>
        <v>50.82</v>
      </c>
      <c r="E69" s="2">
        <f t="shared" si="3"/>
        <v>5.18</v>
      </c>
      <c r="F69" s="2">
        <f t="shared" si="4"/>
        <v>26.832399999999996</v>
      </c>
      <c r="G69" s="2">
        <f t="shared" si="5"/>
        <v>0.52798898071625333</v>
      </c>
    </row>
    <row r="70" spans="2:20" x14ac:dyDescent="0.45">
      <c r="B70" s="104" t="str">
        <f>B61&amp;" &amp; "&amp;D59</f>
        <v>regular &amp; female</v>
      </c>
      <c r="C70" s="2">
        <f>D61</f>
        <v>21</v>
      </c>
      <c r="D70" s="2">
        <f>I61</f>
        <v>26.18</v>
      </c>
      <c r="E70" s="2">
        <f t="shared" si="3"/>
        <v>-5.18</v>
      </c>
      <c r="F70" s="2">
        <f t="shared" si="4"/>
        <v>26.832399999999996</v>
      </c>
      <c r="G70" s="2">
        <f t="shared" si="5"/>
        <v>1.0249197860962564</v>
      </c>
    </row>
    <row r="71" spans="2:20" x14ac:dyDescent="0.45">
      <c r="C71" s="2">
        <f>C62</f>
        <v>25</v>
      </c>
      <c r="D71" s="2">
        <f>H62</f>
        <v>21.78</v>
      </c>
      <c r="E71" s="2">
        <f t="shared" si="3"/>
        <v>3.2199999999999989</v>
      </c>
      <c r="F71" s="2">
        <f t="shared" si="4"/>
        <v>10.368399999999992</v>
      </c>
      <c r="G71" s="2">
        <f t="shared" si="5"/>
        <v>0.47605142332415024</v>
      </c>
    </row>
    <row r="72" spans="2:20" x14ac:dyDescent="0.45">
      <c r="C72" s="2">
        <f>D62</f>
        <v>8</v>
      </c>
      <c r="D72" s="2">
        <f>I62</f>
        <v>11.22</v>
      </c>
      <c r="E72" s="2">
        <f t="shared" si="3"/>
        <v>-3.2200000000000006</v>
      </c>
      <c r="F72" s="2">
        <f t="shared" si="4"/>
        <v>10.368400000000005</v>
      </c>
      <c r="G72" s="2">
        <f t="shared" si="5"/>
        <v>0.92409982174688099</v>
      </c>
    </row>
    <row r="73" spans="2:20" x14ac:dyDescent="0.45">
      <c r="G73" s="2">
        <f>SUM(G67:G72)</f>
        <v>6.446821152703504</v>
      </c>
    </row>
    <row r="75" spans="2:20" x14ac:dyDescent="0.45">
      <c r="D75" s="5" t="s">
        <v>10</v>
      </c>
      <c r="F75" s="2" t="s">
        <v>1</v>
      </c>
      <c r="G75" s="2">
        <f>(3-1)*(2-1)</f>
        <v>2</v>
      </c>
    </row>
    <row r="76" spans="2:20" x14ac:dyDescent="0.45">
      <c r="D76" s="5" t="s">
        <v>23</v>
      </c>
      <c r="F76" s="2" t="s">
        <v>1</v>
      </c>
      <c r="G76" s="2">
        <v>0.05</v>
      </c>
      <c r="M76"/>
      <c r="N76"/>
      <c r="O76"/>
      <c r="P76"/>
    </row>
    <row r="77" spans="2:20" x14ac:dyDescent="0.45">
      <c r="D77" s="5" t="s">
        <v>124</v>
      </c>
      <c r="F77" s="2" t="s">
        <v>1</v>
      </c>
      <c r="G77" s="2">
        <f>_xlfn.CHISQ.INV(1-G76,G75)</f>
        <v>5.9914645471079799</v>
      </c>
      <c r="M77"/>
      <c r="N77"/>
      <c r="O77"/>
      <c r="P77"/>
    </row>
    <row r="78" spans="2:20" x14ac:dyDescent="0.45">
      <c r="D78" s="5" t="s">
        <v>123</v>
      </c>
      <c r="F78" s="2" t="s">
        <v>1</v>
      </c>
      <c r="G78" s="2">
        <f>G73</f>
        <v>6.446821152703504</v>
      </c>
      <c r="M78"/>
      <c r="N78"/>
      <c r="O78"/>
      <c r="P78"/>
    </row>
    <row r="79" spans="2:20" x14ac:dyDescent="0.45">
      <c r="D79" s="5" t="s">
        <v>99</v>
      </c>
      <c r="F79" s="2" t="s">
        <v>1</v>
      </c>
      <c r="G79" s="2">
        <f>(1-_xlfn.CHISQ.DIST(G78,G75,1))</f>
        <v>3.9819020599099142E-2</v>
      </c>
      <c r="M79"/>
      <c r="N79"/>
      <c r="O79"/>
      <c r="P79"/>
    </row>
    <row r="82" spans="2:11" ht="48" customHeight="1" x14ac:dyDescent="0.45">
      <c r="C82" s="150" t="s">
        <v>117</v>
      </c>
      <c r="D82" s="150"/>
      <c r="E82" s="150"/>
      <c r="F82" s="150"/>
      <c r="H82" s="151" t="s">
        <v>116</v>
      </c>
      <c r="I82" s="151"/>
      <c r="J82" s="151"/>
      <c r="K82" s="151"/>
    </row>
    <row r="83" spans="2:11" ht="46.8" x14ac:dyDescent="0.45">
      <c r="C83" s="115" t="s">
        <v>134</v>
      </c>
      <c r="D83" s="115" t="s">
        <v>135</v>
      </c>
      <c r="E83" s="115" t="s">
        <v>136</v>
      </c>
      <c r="F83" s="116" t="s">
        <v>4</v>
      </c>
      <c r="H83" s="115" t="s">
        <v>108</v>
      </c>
      <c r="I83" s="115" t="s">
        <v>109</v>
      </c>
      <c r="J83" s="115" t="s">
        <v>110</v>
      </c>
      <c r="K83" s="116" t="s">
        <v>4</v>
      </c>
    </row>
    <row r="84" spans="2:11" x14ac:dyDescent="0.45">
      <c r="B84" s="112" t="s">
        <v>137</v>
      </c>
      <c r="C84" s="39">
        <v>25</v>
      </c>
      <c r="D84" s="39">
        <v>90</v>
      </c>
      <c r="E84" s="113">
        <v>20</v>
      </c>
      <c r="F84" s="114">
        <f>SUM(C84:E84)</f>
        <v>135</v>
      </c>
      <c r="H84" s="117">
        <f>F84*C88/F88</f>
        <v>39.523026315789473</v>
      </c>
      <c r="I84" s="117">
        <f>F84*D88/F88</f>
        <v>62.171052631578945</v>
      </c>
      <c r="J84" s="118">
        <f>F84*E88/F88</f>
        <v>33.305921052631582</v>
      </c>
      <c r="K84" s="114">
        <f>SUM(H84:J84)</f>
        <v>135</v>
      </c>
    </row>
    <row r="85" spans="2:11" x14ac:dyDescent="0.45">
      <c r="B85" s="112" t="s">
        <v>138</v>
      </c>
      <c r="C85" s="18">
        <v>40</v>
      </c>
      <c r="D85" s="18">
        <v>35</v>
      </c>
      <c r="E85" s="26">
        <v>25</v>
      </c>
      <c r="F85" s="107">
        <f>SUM(C85:E85)</f>
        <v>100</v>
      </c>
      <c r="H85" s="20">
        <f>F85*C88/F88</f>
        <v>29.276315789473685</v>
      </c>
      <c r="I85" s="20">
        <f>F85*D88/F88</f>
        <v>46.05263157894737</v>
      </c>
      <c r="J85" s="119">
        <f>F85*E88/F88</f>
        <v>24.671052631578949</v>
      </c>
      <c r="K85" s="107">
        <f>SUM(H85:J85)</f>
        <v>100</v>
      </c>
    </row>
    <row r="86" spans="2:11" x14ac:dyDescent="0.45">
      <c r="B86" s="112" t="s">
        <v>139</v>
      </c>
      <c r="C86" s="18">
        <v>24</v>
      </c>
      <c r="D86" s="18">
        <v>15</v>
      </c>
      <c r="E86" s="26">
        <v>30</v>
      </c>
      <c r="F86" s="107">
        <f>SUM(C86:E86)</f>
        <v>69</v>
      </c>
      <c r="H86" s="20">
        <f>F86*C88/F88</f>
        <v>20.200657894736842</v>
      </c>
      <c r="I86" s="20">
        <f>F86*D88/F88</f>
        <v>31.776315789473685</v>
      </c>
      <c r="J86" s="119">
        <f>F86*E88/F88</f>
        <v>17.023026315789473</v>
      </c>
      <c r="K86" s="107">
        <f>SUM(H86:J86)</f>
        <v>69</v>
      </c>
    </row>
    <row r="87" spans="2:11" ht="24" thickBot="1" x14ac:dyDescent="0.5">
      <c r="B87" s="112"/>
      <c r="C87" s="38"/>
      <c r="D87" s="38"/>
      <c r="E87" s="108"/>
      <c r="F87" s="109"/>
      <c r="H87" s="120"/>
      <c r="I87" s="120"/>
      <c r="J87" s="121"/>
      <c r="K87" s="109"/>
    </row>
    <row r="88" spans="2:11" ht="24" thickBot="1" x14ac:dyDescent="0.5">
      <c r="B88" s="106" t="s">
        <v>4</v>
      </c>
      <c r="C88" s="34">
        <f>SUM(C84:C87)</f>
        <v>89</v>
      </c>
      <c r="D88" s="103">
        <f>SUM(D84:D87)</f>
        <v>140</v>
      </c>
      <c r="E88" s="110">
        <f>SUM(E84:E87)</f>
        <v>75</v>
      </c>
      <c r="F88" s="111">
        <f>SUM(F84:F87)</f>
        <v>304</v>
      </c>
      <c r="H88" s="34">
        <f>SUM(H84:H87)</f>
        <v>89</v>
      </c>
      <c r="I88" s="103">
        <f>SUM(I84:I87)</f>
        <v>140</v>
      </c>
      <c r="J88" s="110">
        <f>SUM(J84:J87)</f>
        <v>75</v>
      </c>
      <c r="K88" s="111">
        <f>SUM(K84:K87)</f>
        <v>304</v>
      </c>
    </row>
    <row r="90" spans="2:11" x14ac:dyDescent="0.45">
      <c r="C90" s="2" t="s">
        <v>119</v>
      </c>
      <c r="D90" s="5" t="s">
        <v>118</v>
      </c>
      <c r="E90" s="2" t="s">
        <v>120</v>
      </c>
      <c r="F90" s="2" t="s">
        <v>121</v>
      </c>
      <c r="G90" s="2" t="s">
        <v>122</v>
      </c>
    </row>
    <row r="91" spans="2:11" x14ac:dyDescent="0.45">
      <c r="B91" s="104" t="str">
        <f>B84&amp;" &amp; "&amp;C83</f>
        <v>21 - 34 &amp; Tea/Coffee</v>
      </c>
      <c r="C91" s="2">
        <f>C84</f>
        <v>25</v>
      </c>
      <c r="D91" s="2">
        <f>H84</f>
        <v>39.523026315789473</v>
      </c>
      <c r="E91" s="2">
        <f>(C91-D91)</f>
        <v>-14.523026315789473</v>
      </c>
      <c r="F91" s="2">
        <f>E91^2</f>
        <v>210.91829336911354</v>
      </c>
      <c r="G91" s="2">
        <f>F91/D91</f>
        <v>5.3365926911536015</v>
      </c>
    </row>
    <row r="92" spans="2:11" x14ac:dyDescent="0.45">
      <c r="B92" s="104" t="str">
        <f>B84&amp;" &amp; "&amp;D83</f>
        <v>21 - 34 &amp; Soft Drink</v>
      </c>
      <c r="C92" s="2">
        <f>D84</f>
        <v>90</v>
      </c>
      <c r="D92" s="2">
        <f>I84</f>
        <v>62.171052631578945</v>
      </c>
      <c r="E92" s="2">
        <f t="shared" ref="E92:E99" si="6">(C92-D92)</f>
        <v>27.828947368421055</v>
      </c>
      <c r="F92" s="2">
        <f t="shared" ref="F92:F99" si="7">E92^2</f>
        <v>774.45031163434919</v>
      </c>
      <c r="G92" s="2">
        <f t="shared" ref="G92:G99" si="8">F92/D92</f>
        <v>12.456766917293237</v>
      </c>
      <c r="I92" s="31" t="s">
        <v>132</v>
      </c>
    </row>
    <row r="93" spans="2:11" x14ac:dyDescent="0.45">
      <c r="B93" s="104" t="str">
        <f>B84&amp;" &amp; "&amp;E83</f>
        <v>21 - 34 &amp; Others</v>
      </c>
      <c r="C93" s="2">
        <f>E84</f>
        <v>20</v>
      </c>
      <c r="D93" s="2">
        <f>J84</f>
        <v>33.305921052631582</v>
      </c>
      <c r="E93" s="2">
        <f t="shared" si="6"/>
        <v>-13.305921052631582</v>
      </c>
      <c r="F93" s="2">
        <f t="shared" si="7"/>
        <v>177.04753505886436</v>
      </c>
      <c r="G93" s="2">
        <f t="shared" si="8"/>
        <v>5.3157975958414578</v>
      </c>
      <c r="I93" s="31" t="s">
        <v>133</v>
      </c>
    </row>
    <row r="94" spans="2:11" x14ac:dyDescent="0.45">
      <c r="B94" s="104" t="str">
        <f>B85&amp;" &amp; "&amp;C83</f>
        <v>35 - 55 &amp; Tea/Coffee</v>
      </c>
      <c r="C94" s="2">
        <f>C85</f>
        <v>40</v>
      </c>
      <c r="D94" s="2">
        <f>H85</f>
        <v>29.276315789473685</v>
      </c>
      <c r="E94" s="2">
        <f t="shared" si="6"/>
        <v>10.723684210526315</v>
      </c>
      <c r="F94" s="2">
        <f t="shared" si="7"/>
        <v>114.9974030470914</v>
      </c>
      <c r="G94" s="2">
        <f t="shared" si="8"/>
        <v>3.9280011827321104</v>
      </c>
    </row>
    <row r="95" spans="2:11" x14ac:dyDescent="0.45">
      <c r="B95" s="104" t="str">
        <f>B85&amp;" &amp; "&amp;D83</f>
        <v>35 - 55 &amp; Soft Drink</v>
      </c>
      <c r="C95" s="2">
        <f>D85</f>
        <v>35</v>
      </c>
      <c r="D95" s="2">
        <f>I85</f>
        <v>46.05263157894737</v>
      </c>
      <c r="E95" s="2">
        <f t="shared" si="6"/>
        <v>-11.05263157894737</v>
      </c>
      <c r="F95" s="2">
        <f t="shared" si="7"/>
        <v>122.16066481994463</v>
      </c>
      <c r="G95" s="2">
        <f t="shared" si="8"/>
        <v>2.6526315789473691</v>
      </c>
    </row>
    <row r="96" spans="2:11" x14ac:dyDescent="0.45">
      <c r="B96" s="104"/>
      <c r="C96" s="2">
        <f>E85</f>
        <v>25</v>
      </c>
      <c r="D96" s="2">
        <f>J85</f>
        <v>24.671052631578949</v>
      </c>
      <c r="E96" s="2">
        <f t="shared" si="6"/>
        <v>0.32894736842105132</v>
      </c>
      <c r="F96" s="2">
        <f t="shared" si="7"/>
        <v>0.10820637119113487</v>
      </c>
      <c r="G96" s="2">
        <f t="shared" si="8"/>
        <v>4.3859649122806668E-3</v>
      </c>
    </row>
    <row r="97" spans="2:11" x14ac:dyDescent="0.45">
      <c r="C97" s="2">
        <f>C86</f>
        <v>24</v>
      </c>
      <c r="D97" s="2">
        <f>H86</f>
        <v>20.200657894736842</v>
      </c>
      <c r="E97" s="2">
        <f t="shared" si="6"/>
        <v>3.7993421052631575</v>
      </c>
      <c r="F97" s="2">
        <f t="shared" si="7"/>
        <v>14.435000432825483</v>
      </c>
      <c r="G97" s="2">
        <f t="shared" si="8"/>
        <v>0.71458070861080392</v>
      </c>
    </row>
    <row r="98" spans="2:11" x14ac:dyDescent="0.45">
      <c r="C98" s="2">
        <f>D86</f>
        <v>15</v>
      </c>
      <c r="D98" s="2">
        <f>I86</f>
        <v>31.776315789473685</v>
      </c>
      <c r="E98" s="2">
        <f t="shared" si="6"/>
        <v>-16.776315789473685</v>
      </c>
      <c r="F98" s="2">
        <f t="shared" si="7"/>
        <v>281.4447714681441</v>
      </c>
      <c r="G98" s="2">
        <f t="shared" si="8"/>
        <v>8.8570611310885923</v>
      </c>
    </row>
    <row r="99" spans="2:11" x14ac:dyDescent="0.45">
      <c r="C99" s="2">
        <f>E86</f>
        <v>30</v>
      </c>
      <c r="D99" s="2">
        <f>J86</f>
        <v>17.023026315789473</v>
      </c>
      <c r="E99" s="2">
        <f t="shared" si="6"/>
        <v>12.976973684210527</v>
      </c>
      <c r="F99" s="2">
        <f t="shared" si="7"/>
        <v>168.40184600069256</v>
      </c>
      <c r="G99" s="2">
        <f t="shared" si="8"/>
        <v>9.8925915331807808</v>
      </c>
    </row>
    <row r="100" spans="2:11" x14ac:dyDescent="0.45">
      <c r="G100" s="2">
        <f>SUM(G91:G99)</f>
        <v>49.158409303760223</v>
      </c>
    </row>
    <row r="102" spans="2:11" x14ac:dyDescent="0.45">
      <c r="D102" s="5" t="s">
        <v>10</v>
      </c>
      <c r="F102" s="2" t="s">
        <v>1</v>
      </c>
      <c r="G102" s="2">
        <f>(3-1)*(3-1)</f>
        <v>4</v>
      </c>
    </row>
    <row r="103" spans="2:11" x14ac:dyDescent="0.45">
      <c r="D103" s="5" t="s">
        <v>23</v>
      </c>
      <c r="F103" s="2" t="s">
        <v>1</v>
      </c>
      <c r="G103" s="2">
        <v>0.05</v>
      </c>
    </row>
    <row r="104" spans="2:11" x14ac:dyDescent="0.45">
      <c r="D104" s="5" t="s">
        <v>124</v>
      </c>
      <c r="F104" s="2" t="s">
        <v>1</v>
      </c>
      <c r="G104" s="2">
        <f>_xlfn.CHISQ.INV(1-G103,G102)</f>
        <v>9.4877290367811575</v>
      </c>
    </row>
    <row r="105" spans="2:11" x14ac:dyDescent="0.45">
      <c r="D105" s="5" t="s">
        <v>123</v>
      </c>
      <c r="F105" s="2" t="s">
        <v>1</v>
      </c>
      <c r="G105" s="2">
        <f>G100</f>
        <v>49.158409303760223</v>
      </c>
    </row>
    <row r="106" spans="2:11" x14ac:dyDescent="0.45">
      <c r="D106" s="5" t="s">
        <v>99</v>
      </c>
      <c r="F106" s="2" t="s">
        <v>1</v>
      </c>
      <c r="G106" s="2">
        <f>1-_xlfn.CHISQ.DIST(G105,G102,1)</f>
        <v>5.4109572378280291E-10</v>
      </c>
    </row>
    <row r="110" spans="2:11" x14ac:dyDescent="0.45">
      <c r="C110" s="150" t="s">
        <v>117</v>
      </c>
      <c r="D110" s="150"/>
      <c r="E110" s="150"/>
      <c r="F110" s="150"/>
      <c r="H110" s="151" t="s">
        <v>116</v>
      </c>
      <c r="I110" s="151"/>
      <c r="J110" s="151"/>
      <c r="K110" s="151"/>
    </row>
    <row r="111" spans="2:11" ht="46.8" x14ac:dyDescent="0.45">
      <c r="C111" s="115" t="s">
        <v>142</v>
      </c>
      <c r="D111" s="115" t="s">
        <v>143</v>
      </c>
      <c r="E111" s="115"/>
      <c r="F111" s="116" t="s">
        <v>4</v>
      </c>
      <c r="H111" s="115" t="s">
        <v>108</v>
      </c>
      <c r="I111" s="115" t="s">
        <v>109</v>
      </c>
      <c r="J111" s="115"/>
      <c r="K111" s="116" t="s">
        <v>4</v>
      </c>
    </row>
    <row r="112" spans="2:11" x14ac:dyDescent="0.45">
      <c r="B112" s="112" t="s">
        <v>111</v>
      </c>
      <c r="C112" s="39">
        <v>35</v>
      </c>
      <c r="D112" s="39">
        <v>40</v>
      </c>
      <c r="E112" s="113"/>
      <c r="F112" s="114">
        <f>SUM(C112:E112)</f>
        <v>75</v>
      </c>
      <c r="H112" s="117">
        <f>F112*C117/F117</f>
        <v>38.977272727272727</v>
      </c>
      <c r="I112" s="117">
        <f>F112*D117/F117</f>
        <v>36.022727272727273</v>
      </c>
      <c r="J112" s="118"/>
      <c r="K112" s="114">
        <f>SUM(H112:J112)</f>
        <v>75</v>
      </c>
    </row>
    <row r="113" spans="2:11" x14ac:dyDescent="0.45">
      <c r="B113" s="112" t="s">
        <v>112</v>
      </c>
      <c r="C113" s="18">
        <v>84</v>
      </c>
      <c r="D113" s="18">
        <v>65</v>
      </c>
      <c r="E113" s="26"/>
      <c r="F113" s="107">
        <f>SUM(C113:E113)</f>
        <v>149</v>
      </c>
      <c r="H113" s="20">
        <f>F113*C117/F117</f>
        <v>77.434848484848487</v>
      </c>
      <c r="I113" s="20">
        <f>F113*D117/F117</f>
        <v>71.565151515151513</v>
      </c>
      <c r="J113" s="119"/>
      <c r="K113" s="107">
        <f>SUM(H113:J113)</f>
        <v>149</v>
      </c>
    </row>
    <row r="114" spans="2:11" x14ac:dyDescent="0.45">
      <c r="B114" s="112" t="s">
        <v>113</v>
      </c>
      <c r="C114" s="18">
        <v>73</v>
      </c>
      <c r="D114" s="18">
        <v>75</v>
      </c>
      <c r="E114" s="26"/>
      <c r="F114" s="107">
        <f>SUM(C114:E114)</f>
        <v>148</v>
      </c>
      <c r="H114" s="20">
        <f>F114*C117/F117</f>
        <v>76.915151515151521</v>
      </c>
      <c r="I114" s="20">
        <f>F114*D117/F117</f>
        <v>71.084848484848479</v>
      </c>
      <c r="J114" s="119"/>
      <c r="K114" s="107">
        <f>SUM(H114:J114)</f>
        <v>148</v>
      </c>
    </row>
    <row r="115" spans="2:11" x14ac:dyDescent="0.45">
      <c r="B115" s="112"/>
      <c r="C115" s="38">
        <v>91</v>
      </c>
      <c r="D115" s="38">
        <v>87</v>
      </c>
      <c r="E115" s="108"/>
      <c r="F115" s="107">
        <f>SUM(C115:E115)</f>
        <v>178</v>
      </c>
      <c r="H115" s="20">
        <f>F115*C117/F117</f>
        <v>92.506060606060601</v>
      </c>
      <c r="I115" s="20">
        <f>F115*D117/F117</f>
        <v>85.493939393939399</v>
      </c>
      <c r="J115" s="121"/>
      <c r="K115" s="109"/>
    </row>
    <row r="116" spans="2:11" ht="24" thickBot="1" x14ac:dyDescent="0.5">
      <c r="B116" s="112" t="s">
        <v>114</v>
      </c>
      <c r="C116" s="38">
        <v>60</v>
      </c>
      <c r="D116" s="38">
        <v>50</v>
      </c>
      <c r="E116" s="108"/>
      <c r="F116" s="109">
        <f>SUM(C116:E116)</f>
        <v>110</v>
      </c>
      <c r="H116" s="120">
        <f>F116*C117/F117</f>
        <v>57.166666666666664</v>
      </c>
      <c r="I116" s="120">
        <f>F116*D117/F117</f>
        <v>52.833333333333336</v>
      </c>
      <c r="J116" s="121"/>
      <c r="K116" s="109">
        <f>SUM(H116:J116)</f>
        <v>110</v>
      </c>
    </row>
    <row r="117" spans="2:11" ht="24" thickBot="1" x14ac:dyDescent="0.5">
      <c r="B117" s="106" t="s">
        <v>4</v>
      </c>
      <c r="C117" s="34">
        <f>SUM(C112:C116)</f>
        <v>343</v>
      </c>
      <c r="D117" s="103">
        <f>SUM(D112:D116)</f>
        <v>317</v>
      </c>
      <c r="E117" s="110"/>
      <c r="F117" s="111">
        <f>SUM(F112:F116)</f>
        <v>660</v>
      </c>
      <c r="H117" s="34">
        <f>SUM(H112:H116)</f>
        <v>343</v>
      </c>
      <c r="I117" s="103">
        <f>SUM(I112:I116)</f>
        <v>317</v>
      </c>
      <c r="J117" s="110"/>
      <c r="K117" s="111">
        <f>SUM(K112:K116)</f>
        <v>482</v>
      </c>
    </row>
    <row r="119" spans="2:11" x14ac:dyDescent="0.45">
      <c r="C119" s="2" t="s">
        <v>119</v>
      </c>
      <c r="D119" s="5" t="s">
        <v>118</v>
      </c>
      <c r="E119" s="2" t="s">
        <v>120</v>
      </c>
      <c r="F119" s="2" t="s">
        <v>121</v>
      </c>
      <c r="G119" s="2" t="s">
        <v>122</v>
      </c>
    </row>
    <row r="120" spans="2:11" x14ac:dyDescent="0.45">
      <c r="B120" s="104" t="str">
        <f>B112&amp;" &amp; "&amp;C111</f>
        <v>Amenities &amp; Male</v>
      </c>
      <c r="C120" s="2">
        <f>C112</f>
        <v>35</v>
      </c>
      <c r="D120" s="10">
        <f>H112</f>
        <v>38.977272727272727</v>
      </c>
      <c r="E120" s="2">
        <f>(C120-D120)</f>
        <v>-3.9772727272727266</v>
      </c>
      <c r="F120" s="2">
        <f>E120^2</f>
        <v>15.818698347107432</v>
      </c>
      <c r="G120" s="2">
        <f>F120/D120</f>
        <v>0.40584415584415567</v>
      </c>
    </row>
    <row r="121" spans="2:11" x14ac:dyDescent="0.45">
      <c r="B121" s="104" t="str">
        <f>B112&amp;" &amp; "&amp;D111</f>
        <v>Amenities &amp; Female</v>
      </c>
      <c r="C121" s="2">
        <f>D112</f>
        <v>40</v>
      </c>
      <c r="D121" s="2">
        <f>I112</f>
        <v>36.022727272727273</v>
      </c>
      <c r="E121" s="2">
        <f t="shared" ref="E121:E129" si="9">(C121-D121)</f>
        <v>3.9772727272727266</v>
      </c>
      <c r="F121" s="2">
        <f t="shared" ref="F121:F129" si="10">E121^2</f>
        <v>15.818698347107432</v>
      </c>
      <c r="G121" s="2">
        <f t="shared" ref="G121:G129" si="11">F121/D121</f>
        <v>0.43913105821623155</v>
      </c>
    </row>
    <row r="122" spans="2:11" x14ac:dyDescent="0.45">
      <c r="B122" s="104" t="str">
        <f>B113&amp;" &amp; "&amp;C111</f>
        <v>Dining Options &amp; Male</v>
      </c>
      <c r="C122" s="2">
        <f>C113</f>
        <v>84</v>
      </c>
      <c r="D122" s="2">
        <f>H113</f>
        <v>77.434848484848487</v>
      </c>
      <c r="E122" s="2">
        <f t="shared" si="9"/>
        <v>6.5651515151515127</v>
      </c>
      <c r="F122" s="2">
        <f t="shared" si="10"/>
        <v>43.101214416896205</v>
      </c>
      <c r="G122" s="2">
        <f t="shared" si="11"/>
        <v>0.55661262674685452</v>
      </c>
    </row>
    <row r="123" spans="2:11" x14ac:dyDescent="0.45">
      <c r="B123" s="104" t="str">
        <f>B113&amp;" &amp; "&amp;D111</f>
        <v>Dining Options &amp; Female</v>
      </c>
      <c r="C123" s="2">
        <f>D113</f>
        <v>65</v>
      </c>
      <c r="D123" s="2">
        <f>I113</f>
        <v>71.565151515151513</v>
      </c>
      <c r="E123" s="2">
        <f t="shared" si="9"/>
        <v>-6.5651515151515127</v>
      </c>
      <c r="F123" s="2">
        <f t="shared" si="10"/>
        <v>43.101214416896205</v>
      </c>
      <c r="G123" s="2">
        <f t="shared" si="11"/>
        <v>0.60226539739486151</v>
      </c>
    </row>
    <row r="124" spans="2:11" x14ac:dyDescent="0.45">
      <c r="C124" s="2">
        <f>C114</f>
        <v>73</v>
      </c>
      <c r="D124" s="2">
        <f>H114</f>
        <v>76.915151515151521</v>
      </c>
      <c r="E124" s="2">
        <f t="shared" si="9"/>
        <v>-3.9151515151515213</v>
      </c>
      <c r="F124" s="2">
        <f t="shared" si="10"/>
        <v>15.328411386593253</v>
      </c>
      <c r="G124" s="2">
        <f t="shared" si="11"/>
        <v>0.19928988092253458</v>
      </c>
    </row>
    <row r="125" spans="2:11" x14ac:dyDescent="0.45">
      <c r="C125" s="2">
        <f>D114</f>
        <v>75</v>
      </c>
      <c r="D125" s="10">
        <f>I114</f>
        <v>71.084848484848479</v>
      </c>
      <c r="E125" s="2">
        <f t="shared" si="9"/>
        <v>3.9151515151515213</v>
      </c>
      <c r="F125" s="2">
        <f t="shared" si="10"/>
        <v>15.328411386593253</v>
      </c>
      <c r="G125" s="2">
        <f t="shared" si="11"/>
        <v>0.21563542320640181</v>
      </c>
    </row>
    <row r="126" spans="2:11" x14ac:dyDescent="0.45">
      <c r="C126" s="2">
        <f>C115</f>
        <v>91</v>
      </c>
      <c r="D126" s="10">
        <f>H115</f>
        <v>92.506060606060601</v>
      </c>
      <c r="E126" s="2">
        <f>(C126-D126)</f>
        <v>-1.5060606060606005</v>
      </c>
      <c r="F126" s="2">
        <f t="shared" si="10"/>
        <v>2.2682185491276234</v>
      </c>
      <c r="G126" s="2">
        <f>F126/D126</f>
        <v>2.4519675081472656E-2</v>
      </c>
    </row>
    <row r="127" spans="2:11" x14ac:dyDescent="0.45">
      <c r="C127" s="2">
        <f>D115</f>
        <v>87</v>
      </c>
      <c r="D127" s="10">
        <f>I115</f>
        <v>85.493939393939399</v>
      </c>
      <c r="E127" s="2">
        <f>(C127-D127)</f>
        <v>1.5060606060606005</v>
      </c>
      <c r="F127" s="2">
        <f t="shared" si="10"/>
        <v>2.2682185491276234</v>
      </c>
      <c r="G127" s="2">
        <f>F127/D127</f>
        <v>2.6530752532949904E-2</v>
      </c>
    </row>
    <row r="128" spans="2:11" x14ac:dyDescent="0.45">
      <c r="C128" s="2">
        <f>C116</f>
        <v>60</v>
      </c>
      <c r="D128" s="10">
        <f>H116</f>
        <v>57.166666666666664</v>
      </c>
      <c r="E128" s="2">
        <f t="shared" si="9"/>
        <v>2.8333333333333357</v>
      </c>
      <c r="F128" s="2">
        <f t="shared" si="10"/>
        <v>8.027777777777791</v>
      </c>
      <c r="G128" s="2">
        <f t="shared" si="11"/>
        <v>0.14042759961127332</v>
      </c>
    </row>
    <row r="129" spans="3:7" x14ac:dyDescent="0.45">
      <c r="C129" s="2">
        <f>D116</f>
        <v>50</v>
      </c>
      <c r="D129" s="2">
        <f>I116</f>
        <v>52.833333333333336</v>
      </c>
      <c r="E129" s="2">
        <f t="shared" si="9"/>
        <v>-2.8333333333333357</v>
      </c>
      <c r="F129" s="2">
        <f t="shared" si="10"/>
        <v>8.027777777777791</v>
      </c>
      <c r="G129" s="2">
        <f t="shared" si="11"/>
        <v>0.15194532071503705</v>
      </c>
    </row>
    <row r="130" spans="3:7" x14ac:dyDescent="0.45">
      <c r="G130" s="2">
        <f>SUM(G120:G129)</f>
        <v>2.7622018902717729</v>
      </c>
    </row>
    <row r="132" spans="3:7" x14ac:dyDescent="0.45">
      <c r="D132" s="5" t="s">
        <v>10</v>
      </c>
      <c r="F132" s="2" t="s">
        <v>1</v>
      </c>
      <c r="G132" s="2">
        <f>(5-1)*(2-1)</f>
        <v>4</v>
      </c>
    </row>
    <row r="133" spans="3:7" x14ac:dyDescent="0.45">
      <c r="D133" s="5" t="s">
        <v>23</v>
      </c>
      <c r="F133" s="2" t="s">
        <v>1</v>
      </c>
      <c r="G133" s="2">
        <v>0.05</v>
      </c>
    </row>
    <row r="134" spans="3:7" x14ac:dyDescent="0.45">
      <c r="D134" s="5" t="s">
        <v>124</v>
      </c>
      <c r="F134" s="2" t="s">
        <v>1</v>
      </c>
      <c r="G134" s="2">
        <f>_xlfn.CHISQ.INV(1-G133,G132)</f>
        <v>9.4877290367811575</v>
      </c>
    </row>
    <row r="135" spans="3:7" x14ac:dyDescent="0.45">
      <c r="D135" s="5" t="s">
        <v>123</v>
      </c>
      <c r="F135" s="2" t="s">
        <v>1</v>
      </c>
      <c r="G135" s="2">
        <f>G130</f>
        <v>2.7622018902717729</v>
      </c>
    </row>
    <row r="136" spans="3:7" x14ac:dyDescent="0.45">
      <c r="D136" s="5" t="s">
        <v>99</v>
      </c>
      <c r="F136" s="2" t="s">
        <v>1</v>
      </c>
      <c r="G136" s="2">
        <f>1-_xlfn.CHISQ.DIST(G135,G132,1)</f>
        <v>0.59837478987991577</v>
      </c>
    </row>
  </sheetData>
  <mergeCells count="8">
    <mergeCell ref="C110:F110"/>
    <mergeCell ref="H110:K110"/>
    <mergeCell ref="C28:F28"/>
    <mergeCell ref="H28:K28"/>
    <mergeCell ref="C58:F58"/>
    <mergeCell ref="H58:K58"/>
    <mergeCell ref="C82:F82"/>
    <mergeCell ref="H82:K8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D1DE-4F0C-4F4D-AF29-A671A4C4B91A}">
  <dimension ref="A1"/>
  <sheetViews>
    <sheetView topLeftCell="N40" zoomScale="55" zoomScaleNormal="55" workbookViewId="0">
      <selection activeCell="N70" sqref="N7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FDE2-012F-42DE-A80C-1D28A235F274}">
  <dimension ref="A1:AJ59"/>
  <sheetViews>
    <sheetView topLeftCell="A13" zoomScale="55" zoomScaleNormal="55" workbookViewId="0">
      <selection activeCell="S30" sqref="S30"/>
    </sheetView>
  </sheetViews>
  <sheetFormatPr defaultRowHeight="23.4" x14ac:dyDescent="0.45"/>
  <cols>
    <col min="1" max="1" width="19.77734375" style="2" customWidth="1"/>
    <col min="2" max="2" width="18.109375" style="2" customWidth="1"/>
    <col min="3" max="3" width="14.109375" style="2" customWidth="1"/>
    <col min="4" max="4" width="14.109375" style="5" customWidth="1"/>
    <col min="5" max="5" width="15" style="2" customWidth="1"/>
    <col min="6" max="6" width="14.109375" style="2" customWidth="1"/>
    <col min="7" max="7" width="12.5546875" style="2" customWidth="1"/>
    <col min="8" max="8" width="18.6640625" style="2" customWidth="1"/>
    <col min="9" max="9" width="18" style="3" customWidth="1"/>
    <col min="10" max="10" width="17.88671875" style="3" customWidth="1"/>
    <col min="11" max="11" width="17.33203125" style="3" customWidth="1"/>
    <col min="12" max="16" width="12.5546875" style="3" customWidth="1"/>
    <col min="17" max="17" width="16.21875" style="3" customWidth="1"/>
    <col min="18" max="18" width="16" style="2" customWidth="1"/>
    <col min="19" max="19" width="15.77734375" style="2" customWidth="1"/>
    <col min="20" max="20" width="14.33203125" style="2" customWidth="1"/>
    <col min="21" max="21" width="17.33203125" style="2" bestFit="1" customWidth="1"/>
    <col min="22" max="22" width="18.21875" style="2" customWidth="1"/>
    <col min="23" max="24" width="13.77734375" style="2" customWidth="1"/>
    <col min="25" max="16384" width="8.88671875" style="2"/>
  </cols>
  <sheetData>
    <row r="1" spans="1:36" x14ac:dyDescent="0.45">
      <c r="A1" s="9" t="s">
        <v>144</v>
      </c>
    </row>
    <row r="2" spans="1:36" s="3" customFormat="1" x14ac:dyDescent="0.45">
      <c r="A2" s="2"/>
      <c r="B2" s="9"/>
      <c r="C2" s="2"/>
      <c r="D2" s="5"/>
      <c r="E2" s="2"/>
      <c r="F2" s="2"/>
      <c r="G2" s="122" t="s">
        <v>148</v>
      </c>
      <c r="H2" s="2" t="s">
        <v>150</v>
      </c>
      <c r="I2" s="2"/>
      <c r="J2" s="2"/>
      <c r="K2" s="2"/>
      <c r="L2" s="2"/>
      <c r="M2" s="2"/>
      <c r="N2" s="2"/>
      <c r="O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x14ac:dyDescent="0.45">
      <c r="A3" s="2"/>
      <c r="B3" s="9"/>
      <c r="C3" s="1" t="s">
        <v>147</v>
      </c>
      <c r="D3" s="5"/>
      <c r="E3" s="2"/>
      <c r="F3" s="2"/>
      <c r="G3" s="123" t="s">
        <v>149</v>
      </c>
      <c r="H3" s="2" t="s">
        <v>151</v>
      </c>
      <c r="I3" s="2"/>
      <c r="J3" s="2"/>
      <c r="K3" s="2"/>
      <c r="L3" s="2"/>
      <c r="M3" s="2"/>
      <c r="N3" s="2"/>
      <c r="O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3" customFormat="1" x14ac:dyDescent="0.45">
      <c r="A4" s="2"/>
      <c r="B4" s="9"/>
      <c r="C4" s="2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s="3" customFormat="1" x14ac:dyDescent="0.45">
      <c r="A5" s="2"/>
      <c r="B5" s="9"/>
      <c r="C5" s="1" t="s">
        <v>146</v>
      </c>
      <c r="D5" s="5"/>
      <c r="E5" s="2"/>
      <c r="F5" s="2"/>
      <c r="G5" s="2" t="s">
        <v>145</v>
      </c>
      <c r="H5" s="2"/>
      <c r="I5" s="2"/>
      <c r="J5" s="2"/>
      <c r="K5" s="2"/>
      <c r="L5" s="2"/>
      <c r="M5" s="2"/>
      <c r="N5" s="2"/>
      <c r="O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s="3" customFormat="1" x14ac:dyDescent="0.45">
      <c r="A6" s="2"/>
      <c r="B6" s="9"/>
      <c r="C6" s="2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3" customFormat="1" x14ac:dyDescent="0.45">
      <c r="A7" s="2"/>
      <c r="B7" s="9"/>
      <c r="C7" s="1" t="s">
        <v>152</v>
      </c>
      <c r="D7" s="5"/>
      <c r="E7" s="2"/>
      <c r="F7" s="2"/>
      <c r="G7" s="2"/>
      <c r="I7" s="2"/>
      <c r="J7" s="2"/>
      <c r="K7" s="2"/>
      <c r="L7" s="2"/>
      <c r="M7" s="2"/>
      <c r="N7" s="2"/>
      <c r="O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3" customFormat="1" x14ac:dyDescent="0.45">
      <c r="A8" s="2"/>
      <c r="B8" s="9"/>
      <c r="C8" s="2" t="s">
        <v>153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s="3" customFormat="1" ht="27" x14ac:dyDescent="0.6">
      <c r="A9" s="2"/>
      <c r="B9" s="9"/>
      <c r="C9" s="2" t="s">
        <v>162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3" customFormat="1" x14ac:dyDescent="0.45">
      <c r="A10" s="9" t="s">
        <v>154</v>
      </c>
      <c r="B10" s="9"/>
      <c r="C10" s="2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3" customFormat="1" x14ac:dyDescent="0.45">
      <c r="A11" s="2"/>
      <c r="B11" s="2" t="s">
        <v>155</v>
      </c>
      <c r="C11" s="2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45">
      <c r="B12" s="2" t="s">
        <v>156</v>
      </c>
      <c r="I12" s="2"/>
      <c r="J12" s="2"/>
      <c r="K12" s="2"/>
      <c r="L12" s="2"/>
      <c r="M12" s="2"/>
      <c r="N12" s="2"/>
      <c r="O12" s="2"/>
    </row>
    <row r="13" spans="1:36" x14ac:dyDescent="0.45">
      <c r="I13" s="2"/>
      <c r="J13" s="2"/>
      <c r="K13" s="2"/>
      <c r="L13" s="2"/>
      <c r="M13" s="2"/>
      <c r="N13" s="2"/>
      <c r="O13" s="2"/>
    </row>
    <row r="18" spans="1:36" x14ac:dyDescent="0.45">
      <c r="F18" s="2" t="s">
        <v>163</v>
      </c>
    </row>
    <row r="20" spans="1:36" x14ac:dyDescent="0.45">
      <c r="I20" s="2"/>
      <c r="J20" s="2"/>
      <c r="L20" s="2"/>
      <c r="M20" s="2"/>
      <c r="N20" s="2"/>
      <c r="O20" s="2"/>
    </row>
    <row r="21" spans="1:36" x14ac:dyDescent="0.45">
      <c r="I21" s="2"/>
      <c r="J21" s="2"/>
      <c r="K21" s="2"/>
      <c r="L21" s="2"/>
      <c r="M21" s="2"/>
      <c r="N21" s="2"/>
      <c r="O21" s="2"/>
    </row>
    <row r="22" spans="1:36" x14ac:dyDescent="0.45">
      <c r="B22" s="2" t="s">
        <v>189</v>
      </c>
      <c r="I22" s="2"/>
      <c r="J22" s="2"/>
      <c r="K22" s="2"/>
      <c r="L22" s="2"/>
      <c r="M22" s="2"/>
      <c r="N22" s="2"/>
      <c r="O22" s="2"/>
      <c r="P22" s="2"/>
      <c r="Q22" s="2"/>
    </row>
    <row r="23" spans="1:36" x14ac:dyDescent="0.45">
      <c r="B23" s="2" t="s">
        <v>190</v>
      </c>
      <c r="I23" s="2"/>
      <c r="J23" s="2"/>
      <c r="K23" s="2"/>
      <c r="L23" s="2"/>
      <c r="M23" s="2"/>
      <c r="N23" s="2"/>
      <c r="O23" s="2"/>
      <c r="P23" s="2"/>
      <c r="Q23" s="2"/>
    </row>
    <row r="24" spans="1:36" x14ac:dyDescent="0.45">
      <c r="I24" s="2"/>
      <c r="J24" s="2"/>
      <c r="K24" s="2"/>
      <c r="L24" s="2"/>
      <c r="M24" s="2"/>
      <c r="N24" s="2"/>
      <c r="O24" s="2"/>
      <c r="P24" s="2"/>
      <c r="Q24" s="2"/>
    </row>
    <row r="25" spans="1:36" x14ac:dyDescent="0.45">
      <c r="I25" s="2"/>
      <c r="J25" s="2"/>
      <c r="K25" s="6" t="s">
        <v>181</v>
      </c>
      <c r="L25" s="2"/>
      <c r="M25" s="2"/>
      <c r="N25" s="2"/>
      <c r="O25" s="2"/>
      <c r="P25" s="2"/>
      <c r="Q25" s="2"/>
    </row>
    <row r="26" spans="1:36" ht="27" x14ac:dyDescent="0.6">
      <c r="B26" s="2" t="s">
        <v>171</v>
      </c>
      <c r="D26" s="2" t="s">
        <v>172</v>
      </c>
      <c r="E26" s="2" t="str">
        <f>G28&amp;" + "&amp;F28&amp;"x"</f>
        <v>60 + 5x</v>
      </c>
      <c r="I26" s="2"/>
      <c r="J26" s="2"/>
      <c r="K26" s="6"/>
      <c r="L26" s="6" t="s">
        <v>187</v>
      </c>
      <c r="M26" s="2"/>
      <c r="N26" s="2"/>
      <c r="O26" s="2"/>
      <c r="P26" s="2"/>
      <c r="Q26" s="2"/>
    </row>
    <row r="27" spans="1:36" ht="64.8" customHeight="1" x14ac:dyDescent="0.45">
      <c r="B27" s="19" t="s">
        <v>9</v>
      </c>
      <c r="C27" s="19" t="s">
        <v>169</v>
      </c>
      <c r="D27" s="124" t="s">
        <v>167</v>
      </c>
      <c r="E27" s="125" t="s">
        <v>170</v>
      </c>
      <c r="F27" s="19" t="s">
        <v>5</v>
      </c>
      <c r="G27" s="19" t="s">
        <v>168</v>
      </c>
      <c r="H27" s="126" t="s">
        <v>173</v>
      </c>
      <c r="I27" s="126" t="s">
        <v>178</v>
      </c>
      <c r="J27" s="126" t="s">
        <v>179</v>
      </c>
      <c r="K27" s="124" t="s">
        <v>182</v>
      </c>
      <c r="L27" s="124" t="s">
        <v>186</v>
      </c>
      <c r="M27" s="131" t="s">
        <v>188</v>
      </c>
      <c r="N27" s="131" t="s">
        <v>6</v>
      </c>
      <c r="O27" s="2"/>
      <c r="P27" s="2"/>
      <c r="Q27" s="2"/>
    </row>
    <row r="28" spans="1:36" x14ac:dyDescent="0.45">
      <c r="B28" s="18">
        <f>AVERAGE(C32:C41)</f>
        <v>14</v>
      </c>
      <c r="C28" s="18">
        <f>AVERAGE(D32:D41)</f>
        <v>130</v>
      </c>
      <c r="D28" s="18">
        <f>SUMPRODUCT(E32:E41,F32:F41)</f>
        <v>2840</v>
      </c>
      <c r="E28" s="18">
        <f>SUM(G32:G41)</f>
        <v>568</v>
      </c>
      <c r="F28" s="18">
        <f>D28/E28</f>
        <v>5</v>
      </c>
      <c r="G28" s="18">
        <f>C28-F28*B28</f>
        <v>60</v>
      </c>
      <c r="H28" s="18">
        <f>SUM(I32:I42)</f>
        <v>1530</v>
      </c>
      <c r="I28" s="18">
        <f>SUM(J32:J41)</f>
        <v>15730</v>
      </c>
      <c r="J28" s="18">
        <f>SUM(K32:K41)</f>
        <v>14200</v>
      </c>
      <c r="K28" s="43">
        <f>J28/I28</f>
        <v>0.90273363000635731</v>
      </c>
      <c r="L28" s="129">
        <f>IF(F28&lt;0,-1*SQRT(K28),SQRT(K28))</f>
        <v>0.95012295520440793</v>
      </c>
      <c r="M28" s="130">
        <f>H28/(COUNT(C32:C41)-2)</f>
        <v>191.25</v>
      </c>
      <c r="N28" s="130">
        <f>SQRT(M28)</f>
        <v>13.829316685939331</v>
      </c>
      <c r="O28" s="2"/>
      <c r="P28" s="2"/>
      <c r="Q28" s="2"/>
      <c r="V28" s="3"/>
      <c r="W28" s="3"/>
    </row>
    <row r="29" spans="1:36" s="3" customFormat="1" x14ac:dyDescent="0.45">
      <c r="A29" s="2"/>
      <c r="B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s="3" customFormat="1" ht="52.2" customHeight="1" x14ac:dyDescent="0.45">
      <c r="A30" s="2"/>
      <c r="B30" s="18" t="s">
        <v>157</v>
      </c>
      <c r="C30" s="18" t="s">
        <v>158</v>
      </c>
      <c r="D30" s="18" t="s">
        <v>8</v>
      </c>
      <c r="E30" s="6"/>
      <c r="F30" s="6"/>
      <c r="G30" s="6"/>
      <c r="H30" s="6"/>
      <c r="I30" s="128" t="s">
        <v>185</v>
      </c>
      <c r="J30" s="128" t="s">
        <v>184</v>
      </c>
      <c r="K30" s="105" t="s">
        <v>183</v>
      </c>
      <c r="L30" s="2"/>
      <c r="M30" s="2" t="s">
        <v>191</v>
      </c>
      <c r="N30" s="2" t="s">
        <v>192</v>
      </c>
      <c r="O30" s="2" t="s">
        <v>3</v>
      </c>
      <c r="P30" s="2" t="s">
        <v>193</v>
      </c>
      <c r="Q30" s="2"/>
      <c r="R30" s="2"/>
      <c r="S30" s="2"/>
      <c r="T30" s="2"/>
      <c r="U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29.4" x14ac:dyDescent="0.45">
      <c r="B31" s="18" t="s">
        <v>159</v>
      </c>
      <c r="C31" s="18" t="s">
        <v>160</v>
      </c>
      <c r="D31" s="18" t="s">
        <v>161</v>
      </c>
      <c r="E31" s="18" t="s">
        <v>164</v>
      </c>
      <c r="F31" s="18" t="s">
        <v>165</v>
      </c>
      <c r="G31" s="18" t="s">
        <v>166</v>
      </c>
      <c r="H31" s="18" t="s">
        <v>162</v>
      </c>
      <c r="I31" s="18" t="s">
        <v>174</v>
      </c>
      <c r="J31" s="18" t="s">
        <v>177</v>
      </c>
      <c r="K31" s="127" t="s">
        <v>180</v>
      </c>
      <c r="L31" s="3">
        <f>SUM(L32:L41)</f>
        <v>0</v>
      </c>
      <c r="M31" s="3">
        <f>SUM(M32:M41)/(COUNT(M32:M41)-1)</f>
        <v>170</v>
      </c>
      <c r="N31" s="3">
        <f>SUM(K32:K41)/(COUNT(K32:K41)-1)</f>
        <v>1577.7777777777778</v>
      </c>
      <c r="O31" s="3">
        <f>SUM(G32:G41)/(COUNT(G32:G41)-1)</f>
        <v>63.111111111111114</v>
      </c>
      <c r="P31" s="3">
        <f>SUM(D32:D41)/(COUNT(D32:D41)-1)</f>
        <v>144.44444444444446</v>
      </c>
      <c r="Q31" s="3">
        <f>SUM(I32:I41)/(COUNT(I32:I41)-1)</f>
        <v>170</v>
      </c>
      <c r="V31" s="3"/>
      <c r="W31" s="3"/>
    </row>
    <row r="32" spans="1:36" s="3" customFormat="1" x14ac:dyDescent="0.45">
      <c r="A32" s="2"/>
      <c r="B32" s="3">
        <v>1</v>
      </c>
      <c r="C32" s="3">
        <v>2</v>
      </c>
      <c r="D32" s="3">
        <v>58</v>
      </c>
      <c r="E32" s="2">
        <f t="shared" ref="E32:E41" si="0">C32-$B$28</f>
        <v>-12</v>
      </c>
      <c r="F32" s="2">
        <f t="shared" ref="F32:F41" si="1">D32-$C$28</f>
        <v>-72</v>
      </c>
      <c r="G32" s="2">
        <f>E32^2</f>
        <v>144</v>
      </c>
      <c r="H32" s="2">
        <f>$G$28+C32*$F$28</f>
        <v>70</v>
      </c>
      <c r="I32" s="3">
        <f>(D32-H32)^2</f>
        <v>144</v>
      </c>
      <c r="J32" s="3">
        <f>F32^2</f>
        <v>5184</v>
      </c>
      <c r="K32" s="3">
        <f>(H32-$C$28)^2</f>
        <v>3600</v>
      </c>
      <c r="L32" s="3">
        <f>(D32-H32)</f>
        <v>-12</v>
      </c>
      <c r="M32" s="3">
        <f>(L32-$L$31)^2</f>
        <v>144</v>
      </c>
      <c r="O32" s="2"/>
      <c r="P32" s="2"/>
      <c r="Q32" s="2"/>
      <c r="R32" s="2"/>
      <c r="S32" s="2"/>
      <c r="T32" s="2"/>
      <c r="U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s="3" customFormat="1" x14ac:dyDescent="0.45">
      <c r="A33" s="2"/>
      <c r="B33" s="3">
        <v>2</v>
      </c>
      <c r="C33" s="3">
        <v>6</v>
      </c>
      <c r="D33" s="3">
        <v>105</v>
      </c>
      <c r="E33" s="2">
        <f t="shared" si="0"/>
        <v>-8</v>
      </c>
      <c r="F33" s="2">
        <f t="shared" si="1"/>
        <v>-25</v>
      </c>
      <c r="G33" s="2">
        <f t="shared" ref="G33:G41" si="2">E33^2</f>
        <v>64</v>
      </c>
      <c r="H33" s="2">
        <f t="shared" ref="H33:H40" si="3">$G$28+C33*$F$28</f>
        <v>90</v>
      </c>
      <c r="I33" s="3">
        <f t="shared" ref="I33:I41" si="4">(D33-H33)^2</f>
        <v>225</v>
      </c>
      <c r="J33" s="3">
        <f t="shared" ref="J33:J41" si="5">F33^2</f>
        <v>625</v>
      </c>
      <c r="K33" s="3">
        <f t="shared" ref="K33:K41" si="6">(H33-$C$28)^2</f>
        <v>1600</v>
      </c>
      <c r="L33" s="3">
        <f t="shared" ref="L33:L41" si="7">(D33-H33)</f>
        <v>15</v>
      </c>
      <c r="M33" s="3">
        <f t="shared" ref="M33:M41" si="8">(L33-$L$31)^2</f>
        <v>225</v>
      </c>
      <c r="O33" s="2"/>
      <c r="P33" s="2"/>
      <c r="Q33" s="2"/>
      <c r="R33" s="2"/>
      <c r="S33" s="2"/>
      <c r="T33" s="2"/>
      <c r="U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s="3" customFormat="1" x14ac:dyDescent="0.45">
      <c r="A34" s="2"/>
      <c r="B34" s="3">
        <v>3</v>
      </c>
      <c r="C34" s="3">
        <v>8</v>
      </c>
      <c r="D34" s="3">
        <v>88</v>
      </c>
      <c r="E34" s="2">
        <f t="shared" si="0"/>
        <v>-6</v>
      </c>
      <c r="F34" s="2">
        <f t="shared" si="1"/>
        <v>-42</v>
      </c>
      <c r="G34" s="2">
        <f t="shared" si="2"/>
        <v>36</v>
      </c>
      <c r="H34" s="2">
        <f t="shared" si="3"/>
        <v>100</v>
      </c>
      <c r="I34" s="3">
        <f t="shared" si="4"/>
        <v>144</v>
      </c>
      <c r="J34" s="3">
        <f t="shared" si="5"/>
        <v>1764</v>
      </c>
      <c r="K34" s="3">
        <f t="shared" si="6"/>
        <v>900</v>
      </c>
      <c r="L34" s="3">
        <f t="shared" si="7"/>
        <v>-12</v>
      </c>
      <c r="M34" s="3">
        <f t="shared" si="8"/>
        <v>144</v>
      </c>
      <c r="O34" s="2"/>
      <c r="P34" s="2"/>
      <c r="Q34" s="2"/>
      <c r="R34" s="16">
        <f>23/3937</f>
        <v>5.8420116840233677E-3</v>
      </c>
      <c r="S34" s="2"/>
      <c r="T34" s="2"/>
      <c r="U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s="3" customFormat="1" x14ac:dyDescent="0.45">
      <c r="A35" s="2"/>
      <c r="B35" s="3">
        <v>4</v>
      </c>
      <c r="C35" s="3">
        <v>8</v>
      </c>
      <c r="D35" s="3">
        <v>118</v>
      </c>
      <c r="E35" s="2">
        <f t="shared" si="0"/>
        <v>-6</v>
      </c>
      <c r="F35" s="2">
        <f t="shared" si="1"/>
        <v>-12</v>
      </c>
      <c r="G35" s="2">
        <f t="shared" si="2"/>
        <v>36</v>
      </c>
      <c r="H35" s="2">
        <f t="shared" si="3"/>
        <v>100</v>
      </c>
      <c r="I35" s="3">
        <f t="shared" si="4"/>
        <v>324</v>
      </c>
      <c r="J35" s="3">
        <f t="shared" si="5"/>
        <v>144</v>
      </c>
      <c r="K35" s="3">
        <f t="shared" si="6"/>
        <v>900</v>
      </c>
      <c r="L35" s="3">
        <f t="shared" si="7"/>
        <v>18</v>
      </c>
      <c r="M35" s="3">
        <f t="shared" si="8"/>
        <v>324</v>
      </c>
      <c r="O35" s="2"/>
      <c r="P35" s="2"/>
      <c r="Q35" s="2"/>
      <c r="R35" s="2"/>
      <c r="S35" s="2"/>
      <c r="T35" s="2"/>
      <c r="U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s="3" customFormat="1" x14ac:dyDescent="0.45">
      <c r="A36" s="2"/>
      <c r="B36" s="3">
        <v>5</v>
      </c>
      <c r="C36" s="3">
        <v>12</v>
      </c>
      <c r="D36" s="3">
        <v>117</v>
      </c>
      <c r="E36" s="2">
        <f t="shared" si="0"/>
        <v>-2</v>
      </c>
      <c r="F36" s="2">
        <f t="shared" si="1"/>
        <v>-13</v>
      </c>
      <c r="G36" s="2">
        <f t="shared" si="2"/>
        <v>4</v>
      </c>
      <c r="H36" s="2">
        <f t="shared" si="3"/>
        <v>120</v>
      </c>
      <c r="I36" s="3">
        <f t="shared" si="4"/>
        <v>9</v>
      </c>
      <c r="J36" s="3">
        <f t="shared" si="5"/>
        <v>169</v>
      </c>
      <c r="K36" s="3">
        <f t="shared" si="6"/>
        <v>100</v>
      </c>
      <c r="L36" s="3">
        <f t="shared" si="7"/>
        <v>-3</v>
      </c>
      <c r="M36" s="3">
        <f t="shared" si="8"/>
        <v>9</v>
      </c>
      <c r="O36" s="2"/>
      <c r="P36" s="2"/>
      <c r="Q36" s="2"/>
      <c r="R36" s="2"/>
      <c r="S36" s="2"/>
      <c r="T36" s="2"/>
      <c r="U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s="3" customFormat="1" x14ac:dyDescent="0.45">
      <c r="A37" s="2"/>
      <c r="B37" s="3">
        <v>6</v>
      </c>
      <c r="C37" s="3">
        <v>16</v>
      </c>
      <c r="D37" s="3">
        <v>137</v>
      </c>
      <c r="E37" s="2">
        <f t="shared" si="0"/>
        <v>2</v>
      </c>
      <c r="F37" s="2">
        <f t="shared" si="1"/>
        <v>7</v>
      </c>
      <c r="G37" s="2">
        <f t="shared" si="2"/>
        <v>4</v>
      </c>
      <c r="H37" s="2">
        <f t="shared" si="3"/>
        <v>140</v>
      </c>
      <c r="I37" s="3">
        <f t="shared" si="4"/>
        <v>9</v>
      </c>
      <c r="J37" s="3">
        <f t="shared" si="5"/>
        <v>49</v>
      </c>
      <c r="K37" s="3">
        <f t="shared" si="6"/>
        <v>100</v>
      </c>
      <c r="L37" s="3">
        <f t="shared" si="7"/>
        <v>-3</v>
      </c>
      <c r="M37" s="3">
        <f t="shared" si="8"/>
        <v>9</v>
      </c>
      <c r="O37" s="2"/>
      <c r="P37" s="2"/>
      <c r="Q37" s="2"/>
      <c r="R37" s="2"/>
      <c r="S37" s="2"/>
      <c r="T37" s="2"/>
      <c r="U37" s="2"/>
      <c r="X37" s="2"/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</row>
    <row r="38" spans="1:36" s="3" customFormat="1" x14ac:dyDescent="0.45">
      <c r="A38" s="2"/>
      <c r="B38" s="3">
        <v>7</v>
      </c>
      <c r="C38" s="3">
        <v>20</v>
      </c>
      <c r="D38" s="3">
        <v>157</v>
      </c>
      <c r="E38" s="2">
        <f t="shared" si="0"/>
        <v>6</v>
      </c>
      <c r="F38" s="2">
        <f t="shared" si="1"/>
        <v>27</v>
      </c>
      <c r="G38" s="2">
        <f t="shared" si="2"/>
        <v>36</v>
      </c>
      <c r="H38" s="2">
        <f t="shared" si="3"/>
        <v>160</v>
      </c>
      <c r="I38" s="3">
        <f t="shared" si="4"/>
        <v>9</v>
      </c>
      <c r="J38" s="3">
        <f t="shared" si="5"/>
        <v>729</v>
      </c>
      <c r="K38" s="3">
        <f t="shared" si="6"/>
        <v>900</v>
      </c>
      <c r="L38" s="3">
        <f t="shared" si="7"/>
        <v>-3</v>
      </c>
      <c r="M38" s="3">
        <f t="shared" si="8"/>
        <v>9</v>
      </c>
      <c r="O38" s="2"/>
      <c r="P38" s="2"/>
      <c r="Q38" s="2"/>
      <c r="R38" s="2"/>
      <c r="S38" s="2"/>
      <c r="T38" s="2"/>
      <c r="U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s="3" customFormat="1" x14ac:dyDescent="0.45">
      <c r="A39" s="2"/>
      <c r="B39" s="3">
        <v>8</v>
      </c>
      <c r="C39" s="3">
        <v>20</v>
      </c>
      <c r="D39" s="3">
        <v>169</v>
      </c>
      <c r="E39" s="2">
        <f t="shared" si="0"/>
        <v>6</v>
      </c>
      <c r="F39" s="2">
        <f t="shared" si="1"/>
        <v>39</v>
      </c>
      <c r="G39" s="2">
        <f t="shared" si="2"/>
        <v>36</v>
      </c>
      <c r="H39" s="2">
        <f t="shared" si="3"/>
        <v>160</v>
      </c>
      <c r="I39" s="3">
        <f t="shared" si="4"/>
        <v>81</v>
      </c>
      <c r="J39" s="3">
        <f t="shared" si="5"/>
        <v>1521</v>
      </c>
      <c r="K39" s="3">
        <f t="shared" si="6"/>
        <v>900</v>
      </c>
      <c r="L39" s="3">
        <f t="shared" si="7"/>
        <v>9</v>
      </c>
      <c r="M39" s="3">
        <f t="shared" si="8"/>
        <v>81</v>
      </c>
      <c r="O39" s="2"/>
      <c r="P39" s="2"/>
      <c r="Q39" s="2"/>
      <c r="R39" s="2"/>
      <c r="S39" s="2"/>
      <c r="T39" s="2"/>
      <c r="U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s="3" customFormat="1" x14ac:dyDescent="0.45">
      <c r="A40" s="2"/>
      <c r="B40" s="3">
        <v>9</v>
      </c>
      <c r="C40" s="3">
        <v>22</v>
      </c>
      <c r="D40" s="3">
        <v>149</v>
      </c>
      <c r="E40" s="2">
        <f t="shared" si="0"/>
        <v>8</v>
      </c>
      <c r="F40" s="2">
        <f t="shared" si="1"/>
        <v>19</v>
      </c>
      <c r="G40" s="2">
        <f t="shared" si="2"/>
        <v>64</v>
      </c>
      <c r="H40" s="2">
        <f t="shared" si="3"/>
        <v>170</v>
      </c>
      <c r="I40" s="3">
        <f t="shared" si="4"/>
        <v>441</v>
      </c>
      <c r="J40" s="3">
        <f t="shared" si="5"/>
        <v>361</v>
      </c>
      <c r="K40" s="3">
        <f t="shared" si="6"/>
        <v>1600</v>
      </c>
      <c r="L40" s="3">
        <f t="shared" si="7"/>
        <v>-21</v>
      </c>
      <c r="M40" s="3">
        <f t="shared" si="8"/>
        <v>441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/>
    </row>
    <row r="41" spans="1:36" s="3" customFormat="1" x14ac:dyDescent="0.45">
      <c r="A41" s="2"/>
      <c r="B41" s="3">
        <v>10</v>
      </c>
      <c r="C41" s="3">
        <v>26</v>
      </c>
      <c r="D41" s="3">
        <v>202</v>
      </c>
      <c r="E41" s="2">
        <f t="shared" si="0"/>
        <v>12</v>
      </c>
      <c r="F41" s="2">
        <f t="shared" si="1"/>
        <v>72</v>
      </c>
      <c r="G41" s="2">
        <f t="shared" si="2"/>
        <v>144</v>
      </c>
      <c r="H41" s="2">
        <f>$G$28+C41*$F$28</f>
        <v>190</v>
      </c>
      <c r="I41" s="3">
        <f t="shared" si="4"/>
        <v>144</v>
      </c>
      <c r="J41" s="3">
        <f t="shared" si="5"/>
        <v>5184</v>
      </c>
      <c r="K41" s="3">
        <f t="shared" si="6"/>
        <v>3600</v>
      </c>
      <c r="L41" s="3">
        <f t="shared" si="7"/>
        <v>12</v>
      </c>
      <c r="M41" s="3">
        <f t="shared" si="8"/>
        <v>144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</row>
    <row r="42" spans="1:36" s="3" customFormat="1" x14ac:dyDescent="0.45">
      <c r="A42" s="2"/>
      <c r="B42" s="2"/>
      <c r="C42" s="2"/>
      <c r="D42" s="2"/>
      <c r="E42" s="2"/>
      <c r="F42" s="2"/>
      <c r="G42" s="2"/>
      <c r="H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s="3" customFormat="1" x14ac:dyDescent="0.45">
      <c r="A43" s="2"/>
      <c r="B43" s="2"/>
      <c r="C43" s="2"/>
      <c r="D43" s="2"/>
      <c r="E43" s="2"/>
      <c r="F43" s="2"/>
      <c r="G43" s="2"/>
      <c r="H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s="3" customFormat="1" x14ac:dyDescent="0.45">
      <c r="A44" s="2"/>
      <c r="B44" s="2"/>
      <c r="C44" s="2"/>
      <c r="D44" s="2"/>
      <c r="E44" s="2"/>
      <c r="F44" s="2"/>
      <c r="G44" s="2"/>
      <c r="H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s="3" customFormat="1" x14ac:dyDescent="0.45">
      <c r="A45" s="2"/>
      <c r="B45" s="2"/>
      <c r="C45" s="2"/>
      <c r="D45" s="5"/>
      <c r="E45" s="2"/>
      <c r="F45" s="2"/>
      <c r="G45" s="2"/>
      <c r="H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7" spans="1:36" s="3" customFormat="1" x14ac:dyDescent="0.45">
      <c r="A47" s="2"/>
      <c r="B47" s="2"/>
      <c r="C47" s="2"/>
      <c r="D47" s="5"/>
      <c r="E47" s="2"/>
      <c r="F47" s="2"/>
      <c r="G47" s="2"/>
      <c r="H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s="3" customFormat="1" x14ac:dyDescent="0.45">
      <c r="A48" s="2"/>
      <c r="B48" s="2"/>
      <c r="C48" s="2"/>
      <c r="D48" s="2" t="s">
        <v>197</v>
      </c>
      <c r="E48" s="2">
        <f>AVERAGE(D53:D58)</f>
        <v>5.333333333333333</v>
      </c>
      <c r="F48" s="2"/>
      <c r="G48" s="2"/>
      <c r="H48" s="2" t="s">
        <v>199</v>
      </c>
      <c r="I48" s="3">
        <f>SUMPRODUCT(F53:F58,G53:G58)/COUNT(F53:F58)</f>
        <v>3.5555555555555554</v>
      </c>
      <c r="K48" s="3" t="s">
        <v>201</v>
      </c>
      <c r="L48" s="3">
        <f>E49-L49*E48</f>
        <v>0.45714285714285818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s="3" customFormat="1" x14ac:dyDescent="0.45">
      <c r="A49" s="2"/>
      <c r="B49" s="2"/>
      <c r="C49" s="2"/>
      <c r="D49" s="2" t="s">
        <v>198</v>
      </c>
      <c r="E49" s="2">
        <f>AVERAGE(E53:E58)</f>
        <v>5.333333333333333</v>
      </c>
      <c r="F49" s="2"/>
      <c r="G49" s="2"/>
      <c r="H49" s="2" t="s">
        <v>200</v>
      </c>
      <c r="I49" s="3">
        <f>I59/COUNT(F53:F58)</f>
        <v>3.8888888888888893</v>
      </c>
      <c r="K49" s="3" t="s">
        <v>196</v>
      </c>
      <c r="L49" s="3">
        <f>I48/I49</f>
        <v>0.91428571428571415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s="3" customFormat="1" x14ac:dyDescent="0.45">
      <c r="A50" s="2"/>
      <c r="B50" s="2"/>
      <c r="C50" s="2"/>
      <c r="D50" s="5"/>
      <c r="E50" s="2"/>
      <c r="F50" s="2"/>
      <c r="G50" s="2"/>
      <c r="H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s="3" customFormat="1" x14ac:dyDescent="0.45">
      <c r="A51" s="2"/>
      <c r="B51" s="2"/>
      <c r="C51" s="2"/>
      <c r="D51" s="5"/>
      <c r="E51" s="2"/>
      <c r="F51" s="2"/>
      <c r="G51" s="2"/>
      <c r="H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45">
      <c r="D52" s="5" t="s">
        <v>3</v>
      </c>
      <c r="E52" s="2" t="s">
        <v>193</v>
      </c>
    </row>
    <row r="53" spans="1:36" x14ac:dyDescent="0.45">
      <c r="D53" s="5">
        <v>6</v>
      </c>
      <c r="E53" s="2">
        <v>7</v>
      </c>
      <c r="F53" s="2">
        <f t="shared" ref="F53:F58" si="9">D53-$E$48</f>
        <v>0.66666666666666696</v>
      </c>
      <c r="G53" s="2">
        <f t="shared" ref="G53:G58" si="10">E53-$E$49</f>
        <v>1.666666666666667</v>
      </c>
      <c r="H53" s="2">
        <f t="shared" ref="H53:H58" si="11">F53*G53</f>
        <v>1.1111111111111118</v>
      </c>
      <c r="I53" s="3">
        <f t="shared" ref="I53:I58" si="12">F53*F53</f>
        <v>0.44444444444444486</v>
      </c>
    </row>
    <row r="54" spans="1:36" x14ac:dyDescent="0.45">
      <c r="D54" s="5">
        <v>5</v>
      </c>
      <c r="E54" s="2">
        <v>5</v>
      </c>
      <c r="F54" s="2">
        <f t="shared" si="9"/>
        <v>-0.33333333333333304</v>
      </c>
      <c r="G54" s="2">
        <f t="shared" si="10"/>
        <v>-0.33333333333333304</v>
      </c>
      <c r="H54" s="2">
        <f t="shared" si="11"/>
        <v>0.11111111111111091</v>
      </c>
      <c r="I54" s="3">
        <f t="shared" si="12"/>
        <v>0.11111111111111091</v>
      </c>
    </row>
    <row r="55" spans="1:36" x14ac:dyDescent="0.45">
      <c r="D55" s="5">
        <v>4</v>
      </c>
      <c r="E55" s="2">
        <v>2</v>
      </c>
      <c r="F55" s="2">
        <f t="shared" si="9"/>
        <v>-1.333333333333333</v>
      </c>
      <c r="G55" s="2">
        <f t="shared" si="10"/>
        <v>-3.333333333333333</v>
      </c>
      <c r="H55" s="2">
        <f t="shared" si="11"/>
        <v>4.4444444444444429</v>
      </c>
      <c r="I55" s="3">
        <f t="shared" si="12"/>
        <v>1.777777777777777</v>
      </c>
    </row>
    <row r="56" spans="1:36" x14ac:dyDescent="0.45">
      <c r="D56" s="5">
        <v>7</v>
      </c>
      <c r="E56" s="2">
        <v>9</v>
      </c>
      <c r="F56" s="2">
        <f t="shared" si="9"/>
        <v>1.666666666666667</v>
      </c>
      <c r="G56" s="2">
        <f t="shared" si="10"/>
        <v>3.666666666666667</v>
      </c>
      <c r="H56" s="2">
        <f t="shared" si="11"/>
        <v>6.1111111111111125</v>
      </c>
      <c r="I56" s="3">
        <f t="shared" si="12"/>
        <v>2.7777777777777786</v>
      </c>
    </row>
    <row r="57" spans="1:36" x14ac:dyDescent="0.45">
      <c r="D57" s="5">
        <v>8</v>
      </c>
      <c r="E57" s="2">
        <v>6</v>
      </c>
      <c r="F57" s="2">
        <f t="shared" si="9"/>
        <v>2.666666666666667</v>
      </c>
      <c r="G57" s="2">
        <f t="shared" si="10"/>
        <v>0.66666666666666696</v>
      </c>
      <c r="H57" s="2">
        <f t="shared" si="11"/>
        <v>1.7777777777777788</v>
      </c>
      <c r="I57" s="3">
        <f t="shared" si="12"/>
        <v>7.1111111111111125</v>
      </c>
    </row>
    <row r="58" spans="1:36" x14ac:dyDescent="0.45">
      <c r="D58" s="5">
        <v>2</v>
      </c>
      <c r="E58" s="2">
        <v>3</v>
      </c>
      <c r="F58" s="2">
        <f t="shared" si="9"/>
        <v>-3.333333333333333</v>
      </c>
      <c r="G58" s="2">
        <f t="shared" si="10"/>
        <v>-2.333333333333333</v>
      </c>
      <c r="H58" s="2">
        <f t="shared" si="11"/>
        <v>7.7777777777777759</v>
      </c>
      <c r="I58" s="3">
        <f t="shared" si="12"/>
        <v>11.111111111111109</v>
      </c>
    </row>
    <row r="59" spans="1:36" x14ac:dyDescent="0.45">
      <c r="H59" s="2">
        <f>SUM(H53:H58)</f>
        <v>21.333333333333332</v>
      </c>
      <c r="I59" s="3">
        <f>SUM(I53:I58)</f>
        <v>23.333333333333336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EA84-CAC8-43F8-AC18-60398A579F58}">
  <dimension ref="J2:N23"/>
  <sheetViews>
    <sheetView workbookViewId="0">
      <selection activeCell="G27" sqref="G27"/>
    </sheetView>
  </sheetViews>
  <sheetFormatPr defaultRowHeight="14.4" x14ac:dyDescent="0.3"/>
  <sheetData>
    <row r="2" spans="10:10" x14ac:dyDescent="0.3">
      <c r="J2" s="152" t="s">
        <v>203</v>
      </c>
    </row>
    <row r="4" spans="10:10" x14ac:dyDescent="0.3">
      <c r="J4" s="152" t="s">
        <v>204</v>
      </c>
    </row>
    <row r="6" spans="10:10" x14ac:dyDescent="0.3">
      <c r="J6" s="152" t="s">
        <v>205</v>
      </c>
    </row>
    <row r="9" spans="10:10" x14ac:dyDescent="0.3">
      <c r="J9" s="153" t="s">
        <v>206</v>
      </c>
    </row>
    <row r="23" spans="14:14" x14ac:dyDescent="0.3">
      <c r="N23" t="s">
        <v>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C681-22D1-453C-B908-7CA9B85861A9}">
  <dimension ref="C2:O2"/>
  <sheetViews>
    <sheetView tabSelected="1" workbookViewId="0">
      <selection activeCell="L16" sqref="L16"/>
    </sheetView>
  </sheetViews>
  <sheetFormatPr defaultRowHeight="21" x14ac:dyDescent="0.4"/>
  <cols>
    <col min="1" max="16384" width="8.88671875" style="154"/>
  </cols>
  <sheetData>
    <row r="2" spans="3:15" x14ac:dyDescent="0.4">
      <c r="C2" s="154" t="s">
        <v>216</v>
      </c>
      <c r="O2" s="154" t="s">
        <v>217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2AB0-292D-46B2-8B23-CF32CD6A2D08}">
  <dimension ref="A1"/>
  <sheetViews>
    <sheetView workbookViewId="0">
      <selection activeCell="J43" sqref="J4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309C-9AED-4237-88A0-C7B755253508}">
  <dimension ref="C1:M9"/>
  <sheetViews>
    <sheetView workbookViewId="0">
      <selection activeCell="M10" sqref="M10"/>
    </sheetView>
  </sheetViews>
  <sheetFormatPr defaultRowHeight="21" x14ac:dyDescent="0.4"/>
  <cols>
    <col min="1" max="16384" width="8.88671875" style="155"/>
  </cols>
  <sheetData>
    <row r="1" spans="3:13" x14ac:dyDescent="0.4">
      <c r="M1" s="156" t="s">
        <v>211</v>
      </c>
    </row>
    <row r="2" spans="3:13" x14ac:dyDescent="0.4">
      <c r="C2" s="155">
        <v>1</v>
      </c>
      <c r="D2" s="155" t="s">
        <v>207</v>
      </c>
    </row>
    <row r="3" spans="3:13" x14ac:dyDescent="0.4">
      <c r="C3" s="155">
        <v>2</v>
      </c>
      <c r="D3" s="155" t="s">
        <v>213</v>
      </c>
    </row>
    <row r="4" spans="3:13" x14ac:dyDescent="0.4">
      <c r="C4" s="155">
        <v>3</v>
      </c>
      <c r="D4" s="155" t="s">
        <v>214</v>
      </c>
    </row>
    <row r="5" spans="3:13" x14ac:dyDescent="0.4">
      <c r="C5" s="155">
        <v>4</v>
      </c>
      <c r="D5" s="155" t="s">
        <v>208</v>
      </c>
    </row>
    <row r="6" spans="3:13" x14ac:dyDescent="0.4">
      <c r="C6" s="155">
        <v>5</v>
      </c>
      <c r="D6" s="155" t="s">
        <v>215</v>
      </c>
    </row>
    <row r="7" spans="3:13" x14ac:dyDescent="0.4">
      <c r="C7" s="155">
        <v>6</v>
      </c>
      <c r="D7" s="155" t="s">
        <v>212</v>
      </c>
    </row>
    <row r="8" spans="3:13" x14ac:dyDescent="0.4">
      <c r="C8" s="155">
        <v>7</v>
      </c>
      <c r="D8" s="155" t="s">
        <v>209</v>
      </c>
    </row>
    <row r="9" spans="3:13" x14ac:dyDescent="0.4">
      <c r="C9" s="155">
        <v>8</v>
      </c>
      <c r="D9" s="155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 TEST</vt:lpstr>
      <vt:lpstr>CHI TEST</vt:lpstr>
      <vt:lpstr>flows</vt:lpstr>
      <vt:lpstr>LIN REG</vt:lpstr>
      <vt:lpstr>SLR</vt:lpstr>
      <vt:lpstr>MLR</vt:lpstr>
      <vt:lpstr>Assumptions</vt:lpstr>
      <vt:lpstr>Assump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2022-05-14T14:15:58Z</dcterms:created>
  <dcterms:modified xsi:type="dcterms:W3CDTF">2023-10-11T16:24:01Z</dcterms:modified>
</cp:coreProperties>
</file>