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esktop/"/>
    </mc:Choice>
  </mc:AlternateContent>
  <xr:revisionPtr revIDLastSave="0" documentId="8_{F615A678-352B-AC45-ABBB-70B241AEAE49}" xr6:coauthVersionLast="47" xr6:coauthVersionMax="47" xr10:uidLastSave="{00000000-0000-0000-0000-000000000000}"/>
  <bookViews>
    <workbookView xWindow="0" yWindow="0" windowWidth="28800" windowHeight="18000" activeTab="4" xr2:uid="{2F281D79-509E-0E44-9A3A-1EA597D6E34C}"/>
  </bookViews>
  <sheets>
    <sheet name="Відповідь" sheetId="1" r:id="rId1"/>
    <sheet name="Піддон Експортний UIC" sheetId="2" r:id="rId2"/>
    <sheet name="Піддон посилений євро 2023" sheetId="4" r:id="rId3"/>
    <sheet name="Піддон полегшений 2023" sheetId="5" r:id="rId4"/>
    <sheet name="Modern pack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G7" i="1"/>
  <c r="H7" i="1"/>
  <c r="I6" i="1"/>
  <c r="B7" i="6"/>
  <c r="D7" i="1"/>
  <c r="C7" i="1"/>
  <c r="B1" i="6"/>
  <c r="B1" i="5"/>
  <c r="B28" i="4"/>
  <c r="B27" i="4"/>
  <c r="H6" i="1"/>
  <c r="G6" i="1"/>
  <c r="F6" i="1"/>
  <c r="B7" i="5"/>
  <c r="D11" i="5" s="1"/>
  <c r="B2" i="5"/>
  <c r="B29" i="6"/>
  <c r="F28" i="6"/>
  <c r="F26" i="6"/>
  <c r="J25" i="6"/>
  <c r="D11" i="6"/>
  <c r="C11" i="6"/>
  <c r="B11" i="6"/>
  <c r="B44" i="6" s="1"/>
  <c r="C10" i="6"/>
  <c r="B10" i="6"/>
  <c r="C5" i="6"/>
  <c r="B4" i="6"/>
  <c r="B3" i="6"/>
  <c r="B2" i="6"/>
  <c r="C1" i="6"/>
  <c r="C11" i="5"/>
  <c r="C10" i="5"/>
  <c r="B10" i="5"/>
  <c r="B11" i="5"/>
  <c r="C5" i="5"/>
  <c r="B4" i="5"/>
  <c r="B3" i="5"/>
  <c r="C1" i="5"/>
  <c r="B7" i="4"/>
  <c r="J26" i="4" s="1"/>
  <c r="B2" i="4"/>
  <c r="C1" i="4"/>
  <c r="C1" i="2"/>
  <c r="B1" i="2"/>
  <c r="B1" i="4"/>
  <c r="J29" i="4"/>
  <c r="B29" i="4"/>
  <c r="B24" i="4"/>
  <c r="D11" i="4"/>
  <c r="C10" i="4"/>
  <c r="B10" i="4"/>
  <c r="C5" i="4"/>
  <c r="F24" i="4" s="1"/>
  <c r="B4" i="4"/>
  <c r="B3" i="4"/>
  <c r="J44" i="2"/>
  <c r="J43" i="2"/>
  <c r="J42" i="2"/>
  <c r="J41" i="2"/>
  <c r="J40" i="2"/>
  <c r="J39" i="2"/>
  <c r="J38" i="2"/>
  <c r="J45" i="2"/>
  <c r="J46" i="2" s="1"/>
  <c r="F44" i="2"/>
  <c r="F43" i="2"/>
  <c r="F42" i="2"/>
  <c r="F41" i="2"/>
  <c r="F40" i="2"/>
  <c r="F39" i="2"/>
  <c r="F38" i="2"/>
  <c r="F45" i="2"/>
  <c r="F46" i="2" s="1"/>
  <c r="B46" i="2"/>
  <c r="B44" i="2"/>
  <c r="B43" i="2"/>
  <c r="B42" i="2"/>
  <c r="B41" i="2"/>
  <c r="B40" i="2"/>
  <c r="B38" i="2"/>
  <c r="B39" i="2"/>
  <c r="D11" i="2"/>
  <c r="B11" i="2"/>
  <c r="C11" i="2"/>
  <c r="B26" i="2"/>
  <c r="B31" i="2" s="1"/>
  <c r="B25" i="2"/>
  <c r="B24" i="2"/>
  <c r="B45" i="2"/>
  <c r="B7" i="1"/>
  <c r="J32" i="2"/>
  <c r="F32" i="2"/>
  <c r="C10" i="2"/>
  <c r="B10" i="2"/>
  <c r="G5" i="1"/>
  <c r="C5" i="1"/>
  <c r="J29" i="2"/>
  <c r="J28" i="2"/>
  <c r="J27" i="2"/>
  <c r="J30" i="2"/>
  <c r="F24" i="2"/>
  <c r="J31" i="2"/>
  <c r="F31" i="2"/>
  <c r="J26" i="2"/>
  <c r="J25" i="2"/>
  <c r="J24" i="2"/>
  <c r="B30" i="2"/>
  <c r="B29" i="2"/>
  <c r="B28" i="2"/>
  <c r="B27" i="2"/>
  <c r="F30" i="2"/>
  <c r="F29" i="2"/>
  <c r="F28" i="2"/>
  <c r="F27" i="2"/>
  <c r="F25" i="2"/>
  <c r="F26" i="2"/>
  <c r="C5" i="2"/>
  <c r="B7" i="2"/>
  <c r="B4" i="2"/>
  <c r="B3" i="2"/>
  <c r="J43" i="6" l="1"/>
  <c r="J38" i="6"/>
  <c r="F41" i="6"/>
  <c r="B26" i="6"/>
  <c r="J28" i="6"/>
  <c r="B39" i="6"/>
  <c r="J41" i="6"/>
  <c r="F44" i="6"/>
  <c r="F39" i="6"/>
  <c r="B42" i="6"/>
  <c r="J44" i="6"/>
  <c r="F24" i="6"/>
  <c r="J29" i="6"/>
  <c r="J42" i="6"/>
  <c r="J24" i="6"/>
  <c r="J31" i="6" s="1"/>
  <c r="J32" i="6" s="1"/>
  <c r="F27" i="6"/>
  <c r="B30" i="6"/>
  <c r="F40" i="6"/>
  <c r="B43" i="6"/>
  <c r="B25" i="6"/>
  <c r="J27" i="6"/>
  <c r="F30" i="6"/>
  <c r="B38" i="6"/>
  <c r="B45" i="6" s="1"/>
  <c r="B46" i="6" s="1"/>
  <c r="J40" i="6"/>
  <c r="F43" i="6"/>
  <c r="B24" i="6"/>
  <c r="J26" i="6"/>
  <c r="F29" i="6"/>
  <c r="J39" i="6"/>
  <c r="F42" i="6"/>
  <c r="B27" i="6"/>
  <c r="B40" i="6"/>
  <c r="F25" i="6"/>
  <c r="B28" i="6"/>
  <c r="J30" i="6"/>
  <c r="F38" i="6"/>
  <c r="B41" i="6"/>
  <c r="B39" i="5"/>
  <c r="J41" i="5"/>
  <c r="B44" i="5"/>
  <c r="F26" i="5"/>
  <c r="B29" i="5"/>
  <c r="F39" i="5"/>
  <c r="B42" i="5"/>
  <c r="J44" i="5"/>
  <c r="B26" i="5"/>
  <c r="J28" i="5"/>
  <c r="F44" i="5"/>
  <c r="J26" i="5"/>
  <c r="J39" i="5"/>
  <c r="F27" i="5"/>
  <c r="B30" i="5"/>
  <c r="B43" i="5"/>
  <c r="B25" i="5"/>
  <c r="J27" i="5"/>
  <c r="F30" i="5"/>
  <c r="B38" i="5"/>
  <c r="J40" i="5"/>
  <c r="F43" i="5"/>
  <c r="F25" i="5"/>
  <c r="B28" i="5"/>
  <c r="J30" i="5"/>
  <c r="F38" i="5"/>
  <c r="B41" i="5"/>
  <c r="J43" i="5"/>
  <c r="B24" i="5"/>
  <c r="F29" i="5"/>
  <c r="F42" i="5"/>
  <c r="F24" i="5"/>
  <c r="B27" i="5"/>
  <c r="J29" i="5"/>
  <c r="B40" i="5"/>
  <c r="J42" i="5"/>
  <c r="J24" i="5"/>
  <c r="F40" i="5"/>
  <c r="J25" i="5"/>
  <c r="F28" i="5"/>
  <c r="J38" i="5"/>
  <c r="F41" i="5"/>
  <c r="F26" i="4"/>
  <c r="F28" i="4"/>
  <c r="F29" i="4"/>
  <c r="C11" i="4"/>
  <c r="B26" i="4"/>
  <c r="J28" i="4"/>
  <c r="J24" i="4"/>
  <c r="F27" i="4"/>
  <c r="B30" i="4"/>
  <c r="B25" i="4"/>
  <c r="J27" i="4"/>
  <c r="F30" i="4"/>
  <c r="F25" i="4"/>
  <c r="F31" i="4" s="1"/>
  <c r="F32" i="4" s="1"/>
  <c r="J30" i="4"/>
  <c r="B11" i="4"/>
  <c r="J25" i="4"/>
  <c r="B32" i="2"/>
  <c r="F31" i="6" l="1"/>
  <c r="F32" i="6" s="1"/>
  <c r="E7" i="1" s="1"/>
  <c r="F45" i="6"/>
  <c r="F46" i="6" s="1"/>
  <c r="B31" i="6"/>
  <c r="B32" i="6" s="1"/>
  <c r="J45" i="6"/>
  <c r="J46" i="6" s="1"/>
  <c r="F31" i="5"/>
  <c r="F32" i="5" s="1"/>
  <c r="B31" i="5"/>
  <c r="B32" i="5" s="1"/>
  <c r="B45" i="5"/>
  <c r="B46" i="5" s="1"/>
  <c r="J31" i="5"/>
  <c r="J32" i="5" s="1"/>
  <c r="F45" i="5"/>
  <c r="F46" i="5" s="1"/>
  <c r="J45" i="5"/>
  <c r="J46" i="5" s="1"/>
  <c r="B31" i="4"/>
  <c r="B32" i="4" s="1"/>
  <c r="B44" i="4"/>
  <c r="F41" i="4"/>
  <c r="J38" i="4"/>
  <c r="J42" i="4"/>
  <c r="J43" i="4"/>
  <c r="B41" i="4"/>
  <c r="F38" i="4"/>
  <c r="F39" i="4"/>
  <c r="F43" i="4"/>
  <c r="J40" i="4"/>
  <c r="B38" i="4"/>
  <c r="B43" i="4"/>
  <c r="F40" i="4"/>
  <c r="B42" i="4"/>
  <c r="F44" i="4"/>
  <c r="J41" i="4"/>
  <c r="B39" i="4"/>
  <c r="B40" i="4"/>
  <c r="F42" i="4"/>
  <c r="J39" i="4"/>
  <c r="J44" i="4"/>
  <c r="J31" i="4"/>
  <c r="J32" i="4" s="1"/>
  <c r="F45" i="4" l="1"/>
  <c r="F46" i="4" s="1"/>
  <c r="B45" i="4"/>
  <c r="B46" i="4" s="1"/>
  <c r="J45" i="4"/>
  <c r="J46" i="4" s="1"/>
</calcChain>
</file>

<file path=xl/sharedStrings.xml><?xml version="1.0" encoding="utf-8"?>
<sst xmlns="http://schemas.openxmlformats.org/spreadsheetml/2006/main" count="304" uniqueCount="48">
  <si>
    <t xml:space="preserve">Вид </t>
  </si>
  <si>
    <t>Матріал</t>
  </si>
  <si>
    <t>Розмір</t>
  </si>
  <si>
    <t>Вага піддона</t>
  </si>
  <si>
    <t>Ціна грн без ПДВ</t>
  </si>
  <si>
    <t>Вартітсь використанних піддонів на рік</t>
  </si>
  <si>
    <t>Ризик зміни ціни в постачальника</t>
  </si>
  <si>
    <t>Інфляційний вплив на ціму</t>
  </si>
  <si>
    <t xml:space="preserve">Кількість машин у місяць </t>
  </si>
  <si>
    <t>Кількіать піддонів у місяць</t>
  </si>
  <si>
    <t>Дерево</t>
  </si>
  <si>
    <t>дерево</t>
  </si>
  <si>
    <t>Modern pack</t>
  </si>
  <si>
    <t>гафропіддон з семишарового картону</t>
  </si>
  <si>
    <t xml:space="preserve"> Піддон експортний UIC  </t>
  </si>
  <si>
    <t>Кількість у машині</t>
  </si>
  <si>
    <t>Вага без вантажу</t>
  </si>
  <si>
    <t>25-30 кг</t>
  </si>
  <si>
    <t>максимальний вантаж</t>
  </si>
  <si>
    <t>зміна ціни</t>
  </si>
  <si>
    <t>Витрати найгірший випадок</t>
  </si>
  <si>
    <t>висоту</t>
  </si>
  <si>
    <t>144 мм</t>
  </si>
  <si>
    <t>інфляція</t>
  </si>
  <si>
    <t>Ціна підніметься у червні</t>
  </si>
  <si>
    <t>Ціна підніметься у Липні</t>
  </si>
  <si>
    <t>Ціна підніметься у Серпні</t>
  </si>
  <si>
    <t>ціна підніметься у Вересні</t>
  </si>
  <si>
    <t>Ціна підніметься у Жовтень</t>
  </si>
  <si>
    <t>Ціна підніметься у Листопаді</t>
  </si>
  <si>
    <t>Ціна підніметься у Грудні</t>
  </si>
  <si>
    <t>ціна</t>
  </si>
  <si>
    <t>Кількість машин на місяць</t>
  </si>
  <si>
    <t>Витрати у середньму</t>
  </si>
  <si>
    <t>Витрати у найкращому випадку</t>
  </si>
  <si>
    <t>Максимально доступна навантаженя на піддон</t>
  </si>
  <si>
    <t>Середнє очікуване</t>
  </si>
  <si>
    <t>1200x800</t>
  </si>
  <si>
    <t>5-10%</t>
  </si>
  <si>
    <t>Піддон експортний UIC  2023</t>
  </si>
  <si>
    <t>Піддон посилений євро 2023</t>
  </si>
  <si>
    <t>Піддон полегшений 2023</t>
  </si>
  <si>
    <t>5-6 кг</t>
  </si>
  <si>
    <t>ціна у 2024</t>
  </si>
  <si>
    <t>Витрати у середньому</t>
  </si>
  <si>
    <t>7-10%</t>
  </si>
  <si>
    <t>1200х1000</t>
  </si>
  <si>
    <t>1200х800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</si>
</sst>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FAD52"/>
        <bgColor indexed="64"/>
      </patternFill>
    </fill>
    <fill>
      <patternFill patternType="solid">
        <fgColor rgb="FFD88E3D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2" fillId="3" borderId="2" xfId="2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4" borderId="2" xfId="3" applyBorder="1"/>
    <xf numFmtId="0" fontId="1" fillId="2" borderId="2" xfId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/>
    <xf numFmtId="0" fontId="0" fillId="0" borderId="12" xfId="0" applyBorder="1" applyAlignment="1"/>
    <xf numFmtId="0" fontId="4" fillId="6" borderId="22" xfId="3" applyFont="1" applyFill="1" applyBorder="1" applyAlignment="1">
      <alignment horizontal="right" vertical="center"/>
    </xf>
    <xf numFmtId="0" fontId="4" fillId="6" borderId="1" xfId="3" applyFont="1" applyFill="1" applyBorder="1" applyAlignment="1">
      <alignment horizontal="right" vertical="center"/>
    </xf>
    <xf numFmtId="0" fontId="4" fillId="6" borderId="6" xfId="3" applyFont="1" applyFill="1" applyBorder="1" applyAlignment="1">
      <alignment horizontal="right" vertical="center"/>
    </xf>
    <xf numFmtId="16" fontId="4" fillId="6" borderId="1" xfId="3" applyNumberFormat="1" applyFont="1" applyFill="1" applyBorder="1" applyAlignment="1">
      <alignment horizontal="right" vertical="center"/>
    </xf>
    <xf numFmtId="16" fontId="4" fillId="6" borderId="6" xfId="3" applyNumberFormat="1" applyFont="1" applyFill="1" applyBorder="1" applyAlignment="1">
      <alignment horizontal="right" vertical="center"/>
    </xf>
    <xf numFmtId="9" fontId="4" fillId="6" borderId="1" xfId="3" applyNumberFormat="1" applyFont="1" applyFill="1" applyBorder="1" applyAlignment="1">
      <alignment horizontal="right" vertical="center"/>
    </xf>
    <xf numFmtId="0" fontId="4" fillId="6" borderId="23" xfId="3" applyFont="1" applyFill="1" applyBorder="1" applyAlignment="1">
      <alignment horizontal="right" vertical="center"/>
    </xf>
    <xf numFmtId="0" fontId="4" fillId="6" borderId="20" xfId="3" applyFont="1" applyFill="1" applyBorder="1" applyAlignment="1">
      <alignment horizontal="right" vertical="center"/>
    </xf>
    <xf numFmtId="0" fontId="4" fillId="6" borderId="8" xfId="3" applyFont="1" applyFill="1" applyBorder="1" applyAlignment="1">
      <alignment horizontal="right" vertical="center"/>
    </xf>
    <xf numFmtId="0" fontId="4" fillId="7" borderId="24" xfId="3" applyFont="1" applyFill="1" applyBorder="1" applyAlignment="1">
      <alignment horizontal="left" vertical="center"/>
    </xf>
    <xf numFmtId="0" fontId="4" fillId="7" borderId="25" xfId="3" applyFont="1" applyFill="1" applyBorder="1" applyAlignment="1">
      <alignment horizontal="left" vertical="center"/>
    </xf>
    <xf numFmtId="0" fontId="4" fillId="7" borderId="26" xfId="3" applyFont="1" applyFill="1" applyBorder="1" applyAlignment="1">
      <alignment horizontal="left" vertical="center"/>
    </xf>
    <xf numFmtId="0" fontId="4" fillId="7" borderId="21" xfId="3" applyFont="1" applyFill="1" applyBorder="1" applyAlignment="1">
      <alignment horizontal="right" vertical="center"/>
    </xf>
    <xf numFmtId="0" fontId="4" fillId="7" borderId="19" xfId="3" applyFont="1" applyFill="1" applyBorder="1" applyAlignment="1">
      <alignment horizontal="right" vertical="center"/>
    </xf>
    <xf numFmtId="0" fontId="4" fillId="7" borderId="4" xfId="3" applyFont="1" applyFill="1" applyBorder="1" applyAlignment="1">
      <alignment horizontal="right" vertical="center"/>
    </xf>
    <xf numFmtId="0" fontId="4" fillId="6" borderId="4" xfId="0" applyFont="1" applyFill="1" applyBorder="1"/>
    <xf numFmtId="0" fontId="4" fillId="6" borderId="8" xfId="0" applyFont="1" applyFill="1" applyBorder="1"/>
    <xf numFmtId="0" fontId="4" fillId="7" borderId="3" xfId="0" applyFont="1" applyFill="1" applyBorder="1"/>
    <xf numFmtId="0" fontId="4" fillId="7" borderId="7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88E3D"/>
      <color rgb="FFEFAD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D66B-1648-B041-83B4-BEDB5344C41A}">
  <dimension ref="A1:I14"/>
  <sheetViews>
    <sheetView topLeftCell="C1" zoomScale="90" workbookViewId="0">
      <selection activeCell="C33" sqref="C33"/>
    </sheetView>
  </sheetViews>
  <sheetFormatPr baseColWidth="10" defaultRowHeight="16" x14ac:dyDescent="0.2"/>
  <cols>
    <col min="1" max="1" width="43" customWidth="1"/>
    <col min="2" max="2" width="29.6640625" customWidth="1"/>
    <col min="3" max="3" width="33.83203125" customWidth="1"/>
    <col min="4" max="4" width="29.33203125" customWidth="1"/>
    <col min="5" max="5" width="35.1640625" customWidth="1"/>
    <col min="6" max="6" width="35.5" customWidth="1"/>
    <col min="7" max="7" width="29.6640625" customWidth="1"/>
    <col min="8" max="8" width="28.1640625" customWidth="1"/>
    <col min="9" max="9" width="36.6640625" customWidth="1"/>
  </cols>
  <sheetData>
    <row r="1" spans="1:9" ht="17" thickBot="1" x14ac:dyDescent="0.25">
      <c r="A1" s="34" t="s">
        <v>0</v>
      </c>
      <c r="B1" s="37" t="s">
        <v>39</v>
      </c>
      <c r="C1" s="38" t="s">
        <v>40</v>
      </c>
      <c r="D1" s="38" t="s">
        <v>41</v>
      </c>
      <c r="E1" s="38" t="s">
        <v>12</v>
      </c>
      <c r="F1" s="38" t="s">
        <v>39</v>
      </c>
      <c r="G1" s="38" t="s">
        <v>40</v>
      </c>
      <c r="H1" s="38" t="s">
        <v>41</v>
      </c>
      <c r="I1" s="39" t="s">
        <v>12</v>
      </c>
    </row>
    <row r="2" spans="1:9" ht="18" thickTop="1" thickBot="1" x14ac:dyDescent="0.25">
      <c r="A2" s="35" t="s">
        <v>1</v>
      </c>
      <c r="B2" s="25" t="s">
        <v>10</v>
      </c>
      <c r="C2" s="26" t="s">
        <v>11</v>
      </c>
      <c r="D2" s="26" t="s">
        <v>11</v>
      </c>
      <c r="E2" s="26" t="s">
        <v>13</v>
      </c>
      <c r="F2" s="26" t="s">
        <v>10</v>
      </c>
      <c r="G2" s="26" t="s">
        <v>11</v>
      </c>
      <c r="H2" s="26" t="s">
        <v>11</v>
      </c>
      <c r="I2" s="27" t="s">
        <v>13</v>
      </c>
    </row>
    <row r="3" spans="1:9" ht="18" thickTop="1" thickBot="1" x14ac:dyDescent="0.25">
      <c r="A3" s="35" t="s">
        <v>2</v>
      </c>
      <c r="B3" s="25" t="s">
        <v>37</v>
      </c>
      <c r="C3" s="26" t="s">
        <v>46</v>
      </c>
      <c r="D3" s="26" t="s">
        <v>47</v>
      </c>
      <c r="E3" s="26" t="s">
        <v>37</v>
      </c>
      <c r="F3" s="26" t="s">
        <v>37</v>
      </c>
      <c r="G3" s="26" t="s">
        <v>46</v>
      </c>
      <c r="H3" s="26" t="s">
        <v>47</v>
      </c>
      <c r="I3" s="27" t="s">
        <v>37</v>
      </c>
    </row>
    <row r="4" spans="1:9" ht="18" thickTop="1" thickBot="1" x14ac:dyDescent="0.25">
      <c r="A4" s="35" t="s">
        <v>3</v>
      </c>
      <c r="B4" s="25" t="s">
        <v>17</v>
      </c>
      <c r="C4" s="26">
        <v>32</v>
      </c>
      <c r="D4" s="26">
        <v>5.5</v>
      </c>
      <c r="E4" s="28" t="s">
        <v>42</v>
      </c>
      <c r="F4" s="26">
        <v>27.5</v>
      </c>
      <c r="G4" s="26">
        <v>32</v>
      </c>
      <c r="H4" s="26">
        <v>5.5</v>
      </c>
      <c r="I4" s="29" t="s">
        <v>42</v>
      </c>
    </row>
    <row r="5" spans="1:9" ht="18" thickTop="1" thickBot="1" x14ac:dyDescent="0.25">
      <c r="A5" s="35" t="s">
        <v>35</v>
      </c>
      <c r="B5" s="25">
        <v>2500</v>
      </c>
      <c r="C5" s="26">
        <f>1500</f>
        <v>1500</v>
      </c>
      <c r="D5" s="26">
        <v>2000</v>
      </c>
      <c r="E5" s="26">
        <v>1200</v>
      </c>
      <c r="F5" s="26">
        <v>2500</v>
      </c>
      <c r="G5" s="26">
        <f>1500</f>
        <v>1500</v>
      </c>
      <c r="H5" s="26">
        <v>2000</v>
      </c>
      <c r="I5" s="27">
        <v>1200</v>
      </c>
    </row>
    <row r="6" spans="1:9" ht="18" thickTop="1" thickBot="1" x14ac:dyDescent="0.25">
      <c r="A6" s="35" t="s">
        <v>4</v>
      </c>
      <c r="B6" s="25">
        <v>235</v>
      </c>
      <c r="C6" s="26">
        <v>250</v>
      </c>
      <c r="D6" s="26">
        <v>120</v>
      </c>
      <c r="E6" s="26">
        <v>195</v>
      </c>
      <c r="F6" s="26">
        <f>'Піддон Експортний UIC'!C11</f>
        <v>259.08750000000003</v>
      </c>
      <c r="G6" s="26">
        <f>'Піддон посилений євро 2023'!C11</f>
        <v>280.875</v>
      </c>
      <c r="H6" s="26">
        <f>'Піддон полегшений 2023'!C11</f>
        <v>134.82000000000002</v>
      </c>
      <c r="I6" s="27">
        <f>'Modern pack'!C11</f>
        <v>219.08250000000001</v>
      </c>
    </row>
    <row r="7" spans="1:9" ht="18" thickTop="1" thickBot="1" x14ac:dyDescent="0.25">
      <c r="A7" s="35" t="s">
        <v>5</v>
      </c>
      <c r="B7" s="25">
        <f>'Піддон Експортний UIC'!F32</f>
        <v>3004674.75</v>
      </c>
      <c r="C7" s="26">
        <f>'Піддон посилений євро 2023'!F32</f>
        <v>2526615</v>
      </c>
      <c r="D7" s="26">
        <f>'Піддон полегшений 2023'!F32</f>
        <v>1539291.6</v>
      </c>
      <c r="E7" s="26">
        <f>'Modern pack'!F32</f>
        <v>1970759.7000000002</v>
      </c>
      <c r="F7" s="26">
        <f>'Піддон Експортний UIC'!F46</f>
        <v>3449842.9638749999</v>
      </c>
      <c r="G7" s="26">
        <f>'Піддон посилений євро 2023'!F46</f>
        <v>2956430.7045</v>
      </c>
      <c r="H7" s="26">
        <f>'Піддон полегшений 2023'!F46</f>
        <v>1801148.5522800004</v>
      </c>
      <c r="I7" s="27">
        <f>'Modern pack'!F46</f>
        <v>2306015.9495099997</v>
      </c>
    </row>
    <row r="8" spans="1:9" ht="18" thickTop="1" thickBot="1" x14ac:dyDescent="0.25">
      <c r="A8" s="35" t="s">
        <v>6</v>
      </c>
      <c r="B8" s="25" t="s">
        <v>38</v>
      </c>
      <c r="C8" s="26" t="s">
        <v>45</v>
      </c>
      <c r="D8" s="30">
        <v>0.1</v>
      </c>
      <c r="E8" s="26" t="s">
        <v>38</v>
      </c>
      <c r="F8" s="26" t="s">
        <v>38</v>
      </c>
      <c r="G8" s="26" t="s">
        <v>45</v>
      </c>
      <c r="H8" s="30">
        <v>0.1</v>
      </c>
      <c r="I8" s="27" t="s">
        <v>38</v>
      </c>
    </row>
    <row r="9" spans="1:9" ht="18" thickTop="1" thickBot="1" x14ac:dyDescent="0.25">
      <c r="A9" s="36" t="s">
        <v>7</v>
      </c>
      <c r="B9" s="31">
        <v>1.05</v>
      </c>
      <c r="C9" s="32">
        <v>1.05</v>
      </c>
      <c r="D9" s="32">
        <v>1.05</v>
      </c>
      <c r="E9" s="32">
        <v>1.05</v>
      </c>
      <c r="F9" s="32">
        <v>1.08</v>
      </c>
      <c r="G9" s="32">
        <v>1.08</v>
      </c>
      <c r="H9" s="32">
        <v>1.08</v>
      </c>
      <c r="I9" s="33">
        <v>1.08</v>
      </c>
    </row>
    <row r="12" spans="1:9" ht="17" thickBot="1" x14ac:dyDescent="0.25"/>
    <row r="13" spans="1:9" x14ac:dyDescent="0.2">
      <c r="A13" s="42" t="s">
        <v>8</v>
      </c>
      <c r="B13" s="40">
        <v>30</v>
      </c>
    </row>
    <row r="14" spans="1:9" ht="17" thickBot="1" x14ac:dyDescent="0.25">
      <c r="A14" s="43" t="s">
        <v>9</v>
      </c>
      <c r="B14" s="41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6985-7B36-DB4E-A474-72539393BA46}">
  <dimension ref="A1:J46"/>
  <sheetViews>
    <sheetView workbookViewId="0">
      <selection activeCell="C21" sqref="C21"/>
    </sheetView>
  </sheetViews>
  <sheetFormatPr baseColWidth="10" defaultRowHeight="16" x14ac:dyDescent="0.2"/>
  <cols>
    <col min="1" max="1" width="32.1640625" customWidth="1"/>
    <col min="5" max="5" width="33.1640625" customWidth="1"/>
    <col min="9" max="9" width="32.5" customWidth="1"/>
  </cols>
  <sheetData>
    <row r="1" spans="1:4" x14ac:dyDescent="0.2">
      <c r="A1" s="23" t="s">
        <v>14</v>
      </c>
      <c r="B1" s="24">
        <f>(120*80)</f>
        <v>9600</v>
      </c>
      <c r="C1" s="15">
        <f>B1*B2</f>
        <v>316800</v>
      </c>
      <c r="D1" s="16"/>
    </row>
    <row r="2" spans="1:4" x14ac:dyDescent="0.2">
      <c r="A2" s="17" t="s">
        <v>15</v>
      </c>
      <c r="B2" s="18">
        <v>33</v>
      </c>
      <c r="C2" s="18"/>
      <c r="D2" s="19"/>
    </row>
    <row r="3" spans="1:4" x14ac:dyDescent="0.2">
      <c r="A3" s="17" t="s">
        <v>16</v>
      </c>
      <c r="B3" s="18">
        <f>(25+30)/2</f>
        <v>27.5</v>
      </c>
      <c r="C3" s="18">
        <v>25</v>
      </c>
      <c r="D3" s="19">
        <v>30</v>
      </c>
    </row>
    <row r="4" spans="1:4" x14ac:dyDescent="0.2">
      <c r="A4" s="17" t="s">
        <v>18</v>
      </c>
      <c r="B4" s="18">
        <f>2500</f>
        <v>2500</v>
      </c>
      <c r="C4" s="18"/>
      <c r="D4" s="19"/>
    </row>
    <row r="5" spans="1:4" x14ac:dyDescent="0.2">
      <c r="A5" s="17" t="s">
        <v>19</v>
      </c>
      <c r="B5" s="18">
        <v>5</v>
      </c>
      <c r="C5" s="18">
        <f>AVERAGE(B5,D5)</f>
        <v>7.5</v>
      </c>
      <c r="D5" s="19">
        <v>10</v>
      </c>
    </row>
    <row r="6" spans="1:4" x14ac:dyDescent="0.2">
      <c r="A6" s="17" t="s">
        <v>21</v>
      </c>
      <c r="B6" s="18" t="s">
        <v>22</v>
      </c>
      <c r="C6" s="18"/>
      <c r="D6" s="19"/>
    </row>
    <row r="7" spans="1:4" x14ac:dyDescent="0.2">
      <c r="A7" s="17" t="s">
        <v>31</v>
      </c>
      <c r="B7" s="18">
        <f>Відповідь!B6</f>
        <v>235</v>
      </c>
      <c r="C7" s="18"/>
      <c r="D7" s="19"/>
    </row>
    <row r="8" spans="1:4" x14ac:dyDescent="0.2">
      <c r="A8" s="17" t="s">
        <v>32</v>
      </c>
      <c r="B8" s="18">
        <v>30</v>
      </c>
      <c r="C8" s="18"/>
      <c r="D8" s="19"/>
    </row>
    <row r="9" spans="1:4" x14ac:dyDescent="0.2">
      <c r="A9" s="17"/>
      <c r="B9" s="18">
        <v>2023</v>
      </c>
      <c r="C9" s="18">
        <v>2024</v>
      </c>
      <c r="D9" s="19"/>
    </row>
    <row r="10" spans="1:4" x14ac:dyDescent="0.2">
      <c r="A10" s="17" t="s">
        <v>23</v>
      </c>
      <c r="B10" s="18">
        <f>1.05</f>
        <v>1.05</v>
      </c>
      <c r="C10" s="18">
        <f xml:space="preserve"> 1.08</f>
        <v>1.08</v>
      </c>
      <c r="D10" s="19"/>
    </row>
    <row r="11" spans="1:4" ht="17" thickBot="1" x14ac:dyDescent="0.25">
      <c r="A11" s="20" t="s">
        <v>43</v>
      </c>
      <c r="B11" s="21">
        <f>B7*(1+B5/100)*B10</f>
        <v>259.08750000000003</v>
      </c>
      <c r="C11" s="21">
        <f>B7*(1+B5/100)*B10</f>
        <v>259.08750000000003</v>
      </c>
      <c r="D11" s="22">
        <f>B7*(1+B5/100)*B10</f>
        <v>259.08750000000003</v>
      </c>
    </row>
    <row r="23" spans="1:10" ht="17" thickBot="1" x14ac:dyDescent="0.25">
      <c r="A23" s="2" t="s">
        <v>20</v>
      </c>
      <c r="B23" s="3">
        <v>2023</v>
      </c>
      <c r="E23" s="10" t="s">
        <v>33</v>
      </c>
      <c r="F23" s="3">
        <v>2023</v>
      </c>
      <c r="I23" s="11" t="s">
        <v>34</v>
      </c>
      <c r="J23" s="3">
        <v>2023</v>
      </c>
    </row>
    <row r="24" spans="1:10" x14ac:dyDescent="0.2">
      <c r="A24" s="4" t="s">
        <v>24</v>
      </c>
      <c r="B24" s="5">
        <f>(((B8*B2)*(B7))*5 +(B8*B2)*(B7)*(1+D5/100)*6)</f>
        <v>2698740</v>
      </c>
      <c r="E24" s="4" t="s">
        <v>24</v>
      </c>
      <c r="F24" s="5">
        <f>((((B8*B2)*(B7))*5)+((B8*B2)*(B7)*(1+C5/100))*7)</f>
        <v>2913941.25</v>
      </c>
      <c r="I24" s="4" t="s">
        <v>24</v>
      </c>
      <c r="J24" s="5">
        <f>(((($B$8*$B$2)*($B$7))*5)+(($B$8*$B$2)*($B$7)*(1+$B$5/100))*7)</f>
        <v>2873227.5</v>
      </c>
    </row>
    <row r="25" spans="1:10" x14ac:dyDescent="0.2">
      <c r="A25" s="6" t="s">
        <v>25</v>
      </c>
      <c r="B25" s="7">
        <f>((((B8*B2)*(B7))*6)+((B8*B2)*(B7)*(1+D5/100))*6)</f>
        <v>2931390</v>
      </c>
      <c r="E25" s="6" t="s">
        <v>25</v>
      </c>
      <c r="F25" s="7">
        <f>((((B8*B2)*(B7))*6)+((B8*B2)*(B7)*(1+C5/100))*6)</f>
        <v>2896492.5</v>
      </c>
      <c r="I25" s="6" t="s">
        <v>25</v>
      </c>
      <c r="J25" s="7">
        <f>(((($B$8*$B$2)*($B$7))*6)+(($B$8*$B$2)*($B$7)*(1+$B$5/100))*6)</f>
        <v>2861595</v>
      </c>
    </row>
    <row r="26" spans="1:10" x14ac:dyDescent="0.2">
      <c r="A26" s="6" t="s">
        <v>26</v>
      </c>
      <c r="B26" s="7">
        <f>(((($B$8*$B$2)*($B$7))*7)+(($B$8*$B$2)*($B$7)*(1+$D$5/100))*5)</f>
        <v>2908125</v>
      </c>
      <c r="E26" s="6" t="s">
        <v>26</v>
      </c>
      <c r="F26" s="7">
        <f>((((B8*B2)*(B7))*7)+((B8*B2)*(B7)*(1+C5/100))*5)</f>
        <v>2879043.75</v>
      </c>
      <c r="I26" s="6" t="s">
        <v>26</v>
      </c>
      <c r="J26" s="7">
        <f>(((($B$8*$B$2)*($B$7))*7)+(($B$8*$B$2)*($B$7)*(1+$B$5/100))*5)</f>
        <v>2849962.5</v>
      </c>
    </row>
    <row r="27" spans="1:10" x14ac:dyDescent="0.2">
      <c r="A27" s="6" t="s">
        <v>27</v>
      </c>
      <c r="B27" s="7">
        <f>((((B8*B2)*(B7))*8)+((B8*B2)*(B7)*(1+D5/100))*4)</f>
        <v>2884860</v>
      </c>
      <c r="E27" s="6" t="s">
        <v>27</v>
      </c>
      <c r="F27" s="7">
        <f>(((($B$8*$B$2)*($B$7))*8)+(($B$8*$B$2)*($B$7)*(1+$C$5/100))*4)</f>
        <v>2861595</v>
      </c>
      <c r="I27" s="6" t="s">
        <v>27</v>
      </c>
      <c r="J27" s="7">
        <f>(((($B$8*$B$2)*($B$7))*8)+(($B$8*$B$2)*($B$7)*(1+$B$5/100))*4)</f>
        <v>2838330</v>
      </c>
    </row>
    <row r="28" spans="1:10" x14ac:dyDescent="0.2">
      <c r="A28" s="6" t="s">
        <v>28</v>
      </c>
      <c r="B28" s="7">
        <f>((((B8*B2)*(B7))*9)+((B8*B2)*(B7)*(1+D5/100))*3)</f>
        <v>2861595</v>
      </c>
      <c r="E28" s="6" t="s">
        <v>28</v>
      </c>
      <c r="F28" s="7">
        <f>(((($B$8*$B$2)*($B$7))*9)+(($B$8*$B$2)*($B$7)*(1+$C$5/100))*3)</f>
        <v>2844146.25</v>
      </c>
      <c r="I28" s="6" t="s">
        <v>28</v>
      </c>
      <c r="J28" s="7">
        <f>(((($B$8*$B$2)*($B$7))*9)+(($B$8*$B$2)*($B$7)*(1+$B$5/100))*3)</f>
        <v>2826697.5</v>
      </c>
    </row>
    <row r="29" spans="1:10" x14ac:dyDescent="0.2">
      <c r="A29" s="6" t="s">
        <v>29</v>
      </c>
      <c r="B29" s="7">
        <f>((((B8*B2)*(B7))*10)+((B8*B2)*(B7)*(1+D5/100))*2)</f>
        <v>2838330</v>
      </c>
      <c r="E29" s="6" t="s">
        <v>29</v>
      </c>
      <c r="F29" s="7">
        <f>(((($B$8*$B$2)*($B$7))*10)+(($B$8*$B$2)*($B$7)*(1+$C$5/100))*2)</f>
        <v>2826697.5</v>
      </c>
      <c r="I29" s="6" t="s">
        <v>29</v>
      </c>
      <c r="J29" s="7">
        <f>(((($B$8*$B$2)*($B$7))*10)+(($B$8*$B$2)*($B$7)*(1+$B$5/100))*2)</f>
        <v>2815065</v>
      </c>
    </row>
    <row r="30" spans="1:10" ht="17" thickBot="1" x14ac:dyDescent="0.25">
      <c r="A30" s="8" t="s">
        <v>30</v>
      </c>
      <c r="B30" s="9">
        <f>((((B8*B2)*(B7))*11)+((B8*B2)*(B7)*(1+D5/100))*1)</f>
        <v>2815065</v>
      </c>
      <c r="E30" s="8" t="s">
        <v>30</v>
      </c>
      <c r="F30" s="9">
        <f>(((($B$8*$B$2)*($B$7))*11)+(($B$8*$B$2)*($B$7)*(1+$C$5/100))*1)</f>
        <v>2809248.75</v>
      </c>
      <c r="I30" s="8" t="s">
        <v>30</v>
      </c>
      <c r="J30" s="9">
        <f>(((($B$8*$B$2)*($B$7))*11)+(($B$8*$B$2)*($B$7)*(1+$B$5/100))*1)</f>
        <v>2803432.5</v>
      </c>
    </row>
    <row r="31" spans="1:10" ht="17" thickBot="1" x14ac:dyDescent="0.25">
      <c r="A31" s="12" t="s">
        <v>36</v>
      </c>
      <c r="B31" s="13">
        <f>AVERAGE(B24:B30)</f>
        <v>2848300.7142857141</v>
      </c>
      <c r="E31" s="12" t="s">
        <v>36</v>
      </c>
      <c r="F31" s="13">
        <f>AVERAGE(F24:F30)</f>
        <v>2861595</v>
      </c>
      <c r="I31" s="12" t="s">
        <v>36</v>
      </c>
      <c r="J31" s="13">
        <f>AVERAGE(J24:J30)</f>
        <v>2838330</v>
      </c>
    </row>
    <row r="32" spans="1:10" x14ac:dyDescent="0.2">
      <c r="B32">
        <f>B31*B10</f>
        <v>2990715.75</v>
      </c>
      <c r="F32">
        <f>F31*B10</f>
        <v>3004674.75</v>
      </c>
      <c r="J32">
        <f>J31*B10</f>
        <v>2980246.5</v>
      </c>
    </row>
    <row r="37" spans="1:10" ht="17" thickBot="1" x14ac:dyDescent="0.25">
      <c r="A37" s="2" t="s">
        <v>20</v>
      </c>
      <c r="B37" s="3">
        <v>2024</v>
      </c>
      <c r="E37" s="10" t="s">
        <v>44</v>
      </c>
      <c r="F37" s="3">
        <v>2024</v>
      </c>
      <c r="I37" s="10" t="s">
        <v>44</v>
      </c>
      <c r="J37" s="3">
        <v>2024</v>
      </c>
    </row>
    <row r="38" spans="1:10" ht="17" thickBot="1" x14ac:dyDescent="0.25">
      <c r="A38" s="4" t="s">
        <v>24</v>
      </c>
      <c r="B38" s="5">
        <f>($B$2*$B$8)*(($B$11*5)+(($B$11*(1+($D$5/100)))*7))</f>
        <v>3257507.1375000011</v>
      </c>
      <c r="E38" s="4" t="s">
        <v>24</v>
      </c>
      <c r="F38" s="5">
        <f>($B$2*$B$8)*(($B$11*5)+(($B$11*(1+($C$5/100)))*7))</f>
        <v>3212620.2281250004</v>
      </c>
      <c r="I38" s="4" t="s">
        <v>24</v>
      </c>
      <c r="J38" s="5">
        <f>($B$2*$B$8)*(($B$11*5)+(($B$11*(1+($B$5/100)))*7))</f>
        <v>3167733.3187500006</v>
      </c>
    </row>
    <row r="39" spans="1:10" ht="17" thickBot="1" x14ac:dyDescent="0.25">
      <c r="A39" s="6" t="s">
        <v>25</v>
      </c>
      <c r="B39" s="5">
        <f>($B$2*$B$8)*(($B$11*6)+($B$11*(1+($D$5/100)))*7)</f>
        <v>3514003.7625000007</v>
      </c>
      <c r="E39" s="6" t="s">
        <v>25</v>
      </c>
      <c r="F39" s="5">
        <f>($B$2*$B$8)*(($B$11*6)+($B$11*(1+($C$5/100)))*7)</f>
        <v>3469116.8531250004</v>
      </c>
      <c r="I39" s="6" t="s">
        <v>25</v>
      </c>
      <c r="J39" s="5">
        <f>($B$2*$B$8)*(($B$11*6)+($B$11*(1+($B$5/100)))*7)</f>
        <v>3424229.9437500006</v>
      </c>
    </row>
    <row r="40" spans="1:10" ht="17" thickBot="1" x14ac:dyDescent="0.25">
      <c r="A40" s="6" t="s">
        <v>26</v>
      </c>
      <c r="B40" s="5">
        <f>($B$2*$B$8)*(($B$11*7)+(($B$11*(1+($D$5/100)))*5))</f>
        <v>3206207.8125000009</v>
      </c>
      <c r="E40" s="6" t="s">
        <v>26</v>
      </c>
      <c r="F40" s="5">
        <f>($B$2*$B$8)*(($B$11*7)+(($B$11*(1+($C$5/100)))*5))</f>
        <v>3174145.7343750005</v>
      </c>
      <c r="I40" s="6" t="s">
        <v>26</v>
      </c>
      <c r="J40" s="5">
        <f>($B$2*$B$8)*(($B$11*7)+(($B$11*(1+($B$5/100)))*5))</f>
        <v>3142083.6562500005</v>
      </c>
    </row>
    <row r="41" spans="1:10" ht="17" thickBot="1" x14ac:dyDescent="0.25">
      <c r="A41" s="6" t="s">
        <v>27</v>
      </c>
      <c r="B41" s="5">
        <f>($B$2*$B$8)*(($B$11*8)+(($B$11*(1+($D$5/100)))*4))</f>
        <v>3180558.1500000004</v>
      </c>
      <c r="E41" s="6" t="s">
        <v>27</v>
      </c>
      <c r="F41" s="5">
        <f>($B$2*$B$8)*(($B$11*8)+(($B$11*(1+($C$5/100)))*4))</f>
        <v>3154908.4875000003</v>
      </c>
      <c r="I41" s="6" t="s">
        <v>27</v>
      </c>
      <c r="J41" s="5">
        <f>($B$2*$B$8)*(($B$11*8)+(($B$11*(1+($B$5/100)))*4))</f>
        <v>3129258.8250000002</v>
      </c>
    </row>
    <row r="42" spans="1:10" ht="17" thickBot="1" x14ac:dyDescent="0.25">
      <c r="A42" s="6" t="s">
        <v>28</v>
      </c>
      <c r="B42" s="5">
        <f>($B$2*$B$8)*(($B$11*9)+(($B$11*(1+($D$5/100)))*3))</f>
        <v>3154908.4875000007</v>
      </c>
      <c r="E42" s="6" t="s">
        <v>28</v>
      </c>
      <c r="F42" s="5">
        <f>($B$2*$B$8)*(($B$11*9)+(($B$11*(1+($C$5/100)))*3))</f>
        <v>3135671.2406250006</v>
      </c>
      <c r="I42" s="6" t="s">
        <v>28</v>
      </c>
      <c r="J42" s="5">
        <f>($B$2*$B$8)*(($B$11*9)+(($B$11*(1+($B$5/100)))*3))</f>
        <v>3116433.9937500004</v>
      </c>
    </row>
    <row r="43" spans="1:10" ht="17" thickBot="1" x14ac:dyDescent="0.25">
      <c r="A43" s="6" t="s">
        <v>29</v>
      </c>
      <c r="B43" s="5">
        <f>($B$2*$B$8)*(($B$11*10)+(($B$11*(1+($D$5/100)))*2))</f>
        <v>3129258.8250000007</v>
      </c>
      <c r="E43" s="6" t="s">
        <v>29</v>
      </c>
      <c r="F43" s="5">
        <f>($B$2*$B$8)*(($B$11*10)+(($B$11*(1+($C$5/100)))*2))</f>
        <v>3116433.9937500004</v>
      </c>
      <c r="I43" s="6" t="s">
        <v>29</v>
      </c>
      <c r="J43" s="5">
        <f>($B$2*$B$8)*(($B$11*10)+(($B$11*(1+($B$5/100)))*2))</f>
        <v>3103609.1625000006</v>
      </c>
    </row>
    <row r="44" spans="1:10" ht="17" thickBot="1" x14ac:dyDescent="0.25">
      <c r="A44" s="8" t="s">
        <v>30</v>
      </c>
      <c r="B44" s="5">
        <f>($B$2*$B$8)*(($B$11*11)+(($B$11*(1+($D$5/100)))*1))</f>
        <v>3103609.1625000006</v>
      </c>
      <c r="E44" s="8" t="s">
        <v>30</v>
      </c>
      <c r="F44" s="5">
        <f>($B$2*$B$8)*(($B$11*11)+(($B$11*(1+($C$5/100)))*1))</f>
        <v>3097196.7468750007</v>
      </c>
      <c r="I44" s="8" t="s">
        <v>30</v>
      </c>
      <c r="J44" s="5">
        <f>($B$2*$B$8)*(($B$11*11)+(($B$11*(1+($B$5/100)))*1))</f>
        <v>3090784.3312500003</v>
      </c>
    </row>
    <row r="45" spans="1:10" ht="17" thickBot="1" x14ac:dyDescent="0.25">
      <c r="A45" s="12" t="s">
        <v>36</v>
      </c>
      <c r="B45" s="13">
        <f>AVERAGE(B38:B44)</f>
        <v>3220864.7625000007</v>
      </c>
      <c r="E45" s="12" t="s">
        <v>36</v>
      </c>
      <c r="F45" s="13">
        <f>AVERAGE(F38:F44)</f>
        <v>3194299.0406249999</v>
      </c>
      <c r="I45" s="12" t="s">
        <v>36</v>
      </c>
      <c r="J45" s="13">
        <f>AVERAGE(J38:J44)</f>
        <v>3167733.3187500006</v>
      </c>
    </row>
    <row r="46" spans="1:10" x14ac:dyDescent="0.2">
      <c r="B46">
        <f>B45*C10</f>
        <v>3478533.943500001</v>
      </c>
      <c r="F46">
        <f>F45*$C$10</f>
        <v>3449842.9638749999</v>
      </c>
      <c r="J46">
        <f>J45*$C$10</f>
        <v>3421151.9842500007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FB58-9A0E-E44A-90DA-5525A35124E4}">
  <dimension ref="A1:J46"/>
  <sheetViews>
    <sheetView workbookViewId="0">
      <selection activeCell="D11" sqref="A1:D11"/>
    </sheetView>
  </sheetViews>
  <sheetFormatPr baseColWidth="10" defaultRowHeight="16" x14ac:dyDescent="0.2"/>
  <cols>
    <col min="1" max="1" width="33.5" customWidth="1"/>
    <col min="5" max="5" width="32.83203125" customWidth="1"/>
    <col min="9" max="9" width="37.83203125" customWidth="1"/>
  </cols>
  <sheetData>
    <row r="1" spans="1:4" x14ac:dyDescent="0.2">
      <c r="A1" s="1" t="s">
        <v>40</v>
      </c>
      <c r="B1" s="1">
        <f>(120*100)</f>
        <v>12000</v>
      </c>
      <c r="C1">
        <f>'Піддон Експортний UIC'!C1/B1</f>
        <v>26.4</v>
      </c>
    </row>
    <row r="2" spans="1:4" x14ac:dyDescent="0.2">
      <c r="A2" t="s">
        <v>15</v>
      </c>
      <c r="B2">
        <f>26</f>
        <v>26</v>
      </c>
    </row>
    <row r="3" spans="1:4" x14ac:dyDescent="0.2">
      <c r="A3" t="s">
        <v>16</v>
      </c>
      <c r="B3">
        <f>(25+30)/2</f>
        <v>27.5</v>
      </c>
      <c r="C3">
        <v>25</v>
      </c>
      <c r="D3">
        <v>30</v>
      </c>
    </row>
    <row r="4" spans="1:4" x14ac:dyDescent="0.2">
      <c r="A4" t="s">
        <v>18</v>
      </c>
      <c r="B4">
        <f>2500</f>
        <v>2500</v>
      </c>
    </row>
    <row r="5" spans="1:4" x14ac:dyDescent="0.2">
      <c r="A5" t="s">
        <v>19</v>
      </c>
      <c r="B5">
        <v>7</v>
      </c>
      <c r="C5">
        <f>AVERAGE(B5,D5)</f>
        <v>8.5</v>
      </c>
      <c r="D5">
        <v>10</v>
      </c>
    </row>
    <row r="6" spans="1:4" x14ac:dyDescent="0.2">
      <c r="A6" t="s">
        <v>21</v>
      </c>
      <c r="B6" t="s">
        <v>22</v>
      </c>
    </row>
    <row r="7" spans="1:4" x14ac:dyDescent="0.2">
      <c r="A7" t="s">
        <v>31</v>
      </c>
      <c r="B7">
        <f>Відповідь!C6</f>
        <v>250</v>
      </c>
    </row>
    <row r="8" spans="1:4" x14ac:dyDescent="0.2">
      <c r="A8" t="s">
        <v>32</v>
      </c>
      <c r="B8">
        <v>30</v>
      </c>
    </row>
    <row r="9" spans="1:4" x14ac:dyDescent="0.2">
      <c r="B9">
        <v>2023</v>
      </c>
      <c r="C9">
        <v>2024</v>
      </c>
    </row>
    <row r="10" spans="1:4" x14ac:dyDescent="0.2">
      <c r="A10" t="s">
        <v>23</v>
      </c>
      <c r="B10">
        <f>1.05</f>
        <v>1.05</v>
      </c>
      <c r="C10">
        <f xml:space="preserve"> 1.08</f>
        <v>1.08</v>
      </c>
    </row>
    <row r="11" spans="1:4" x14ac:dyDescent="0.2">
      <c r="A11" t="s">
        <v>43</v>
      </c>
      <c r="B11">
        <f>B7*(1+B5/100)*B10</f>
        <v>280.875</v>
      </c>
      <c r="C11">
        <f>B7*(1+B5/100)*B10</f>
        <v>280.875</v>
      </c>
      <c r="D11">
        <f>B7*(1+B5/100)*B10</f>
        <v>280.875</v>
      </c>
    </row>
    <row r="23" spans="1:10" ht="17" thickBot="1" x14ac:dyDescent="0.25">
      <c r="A23" s="2" t="s">
        <v>20</v>
      </c>
      <c r="B23" s="3">
        <v>2023</v>
      </c>
      <c r="E23" s="10" t="s">
        <v>33</v>
      </c>
      <c r="F23" s="3">
        <v>2023</v>
      </c>
      <c r="I23" s="11" t="s">
        <v>34</v>
      </c>
      <c r="J23" s="3">
        <v>2023</v>
      </c>
    </row>
    <row r="24" spans="1:10" x14ac:dyDescent="0.2">
      <c r="A24" s="4" t="s">
        <v>24</v>
      </c>
      <c r="B24" s="5">
        <f>(((B8*B2)*(B7))*5 +(B8*B2)*(B7)*(1+D5/100)*6)</f>
        <v>2262000</v>
      </c>
      <c r="E24" s="4" t="s">
        <v>24</v>
      </c>
      <c r="F24" s="5">
        <f>((((B8*B2)*(B7))*5)+((B8*B2)*(B7)*(1+C5/100))*7)</f>
        <v>2456025</v>
      </c>
      <c r="I24" s="4" t="s">
        <v>24</v>
      </c>
      <c r="J24" s="5">
        <f>(((($B$8*$B$2)*($B$7))*5)+(($B$8*$B$2)*($B$7)*(1+$B$5/100))*7)</f>
        <v>2435550</v>
      </c>
    </row>
    <row r="25" spans="1:10" x14ac:dyDescent="0.2">
      <c r="A25" s="6" t="s">
        <v>25</v>
      </c>
      <c r="B25" s="7">
        <f>((((B8*B2)*(B7))*6)+((B8*B2)*(B7)*(1+D5/100))*6)</f>
        <v>2457000</v>
      </c>
      <c r="E25" s="6" t="s">
        <v>25</v>
      </c>
      <c r="F25" s="7">
        <f>((((B8*B2)*(B7))*6)+((B8*B2)*(B7)*(1+C5/100))*6)</f>
        <v>2439450</v>
      </c>
      <c r="I25" s="6" t="s">
        <v>25</v>
      </c>
      <c r="J25" s="7">
        <f>(((($B$8*$B$2)*($B$7))*6)+(($B$8*$B$2)*($B$7)*(1+$B$5/100))*6)</f>
        <v>2421900</v>
      </c>
    </row>
    <row r="26" spans="1:10" x14ac:dyDescent="0.2">
      <c r="A26" s="6" t="s">
        <v>26</v>
      </c>
      <c r="B26" s="7">
        <f>(((($B$8*$B$2)*($B$7))*7)+(($B$8*$B$2)*($B$7)*(1+$D$5/100))*5)</f>
        <v>2437500</v>
      </c>
      <c r="E26" s="6" t="s">
        <v>26</v>
      </c>
      <c r="F26" s="7">
        <f>((((B8*B2)*(B7))*7)+((B8*B2)*(B7)*(1+C5/100))*5)</f>
        <v>2422875</v>
      </c>
      <c r="I26" s="6" t="s">
        <v>26</v>
      </c>
      <c r="J26" s="7">
        <f>(((($B$8*$B$2)*($B$7))*7)+(($B$8*$B$2)*($B$7)*(1+$B$5/100))*5)</f>
        <v>2408250</v>
      </c>
    </row>
    <row r="27" spans="1:10" x14ac:dyDescent="0.2">
      <c r="A27" s="6" t="s">
        <v>27</v>
      </c>
      <c r="B27" s="7">
        <f>((((B8*B2)*(B7))*8)+((B8*B2)*(B7)*(1+D5/100))*4)</f>
        <v>2418000</v>
      </c>
      <c r="E27" s="6" t="s">
        <v>27</v>
      </c>
      <c r="F27" s="7">
        <f>(((($B$8*$B$2)*($B$7))*8)+(($B$8*$B$2)*($B$7)*(1+$C$5/100))*4)</f>
        <v>2406300</v>
      </c>
      <c r="I27" s="6" t="s">
        <v>27</v>
      </c>
      <c r="J27" s="7">
        <f>(((($B$8*$B$2)*($B$7))*8)+(($B$8*$B$2)*($B$7)*(1+$B$5/100))*4)</f>
        <v>2394600</v>
      </c>
    </row>
    <row r="28" spans="1:10" x14ac:dyDescent="0.2">
      <c r="A28" s="6" t="s">
        <v>28</v>
      </c>
      <c r="B28" s="7">
        <f>((((B8*B2)*(B7))*9)+((B8*B2)*(B7)*(1+D5/100))*3)</f>
        <v>2398500</v>
      </c>
      <c r="E28" s="6" t="s">
        <v>28</v>
      </c>
      <c r="F28" s="7">
        <f>(((($B$8*$B$2)*($B$7))*9)+(($B$8*$B$2)*($B$7)*(1+$C$5/100))*3)</f>
        <v>2389725</v>
      </c>
      <c r="I28" s="6" t="s">
        <v>28</v>
      </c>
      <c r="J28" s="7">
        <f>(((($B$8*$B$2)*($B$7))*9)+(($B$8*$B$2)*($B$7)*(1+$B$5/100))*3)</f>
        <v>2380950</v>
      </c>
    </row>
    <row r="29" spans="1:10" x14ac:dyDescent="0.2">
      <c r="A29" s="6" t="s">
        <v>29</v>
      </c>
      <c r="B29" s="7">
        <f>((((B8*B2)*(B7))*10)+((B8*B2)*(B7)*(1+D5/100))*2)</f>
        <v>2379000</v>
      </c>
      <c r="E29" s="6" t="s">
        <v>29</v>
      </c>
      <c r="F29" s="7">
        <f>(((($B$8*$B$2)*($B$7))*10)+(($B$8*$B$2)*($B$7)*(1+$C$5/100))*2)</f>
        <v>2373150</v>
      </c>
      <c r="I29" s="6" t="s">
        <v>29</v>
      </c>
      <c r="J29" s="7">
        <f>(((($B$8*$B$2)*($B$7))*10)+(($B$8*$B$2)*($B$7)*(1+$B$5/100))*2)</f>
        <v>2367300</v>
      </c>
    </row>
    <row r="30" spans="1:10" ht="17" thickBot="1" x14ac:dyDescent="0.25">
      <c r="A30" s="8" t="s">
        <v>30</v>
      </c>
      <c r="B30" s="9">
        <f>((((B8*B2)*(B7))*11)+((B8*B2)*(B7)*(1+D5/100))*1)</f>
        <v>2359500</v>
      </c>
      <c r="E30" s="8" t="s">
        <v>30</v>
      </c>
      <c r="F30" s="9">
        <f>(((($B$8*$B$2)*($B$7))*11)+(($B$8*$B$2)*($B$7)*(1+$C$5/100))*1)</f>
        <v>2356575</v>
      </c>
      <c r="I30" s="8" t="s">
        <v>30</v>
      </c>
      <c r="J30" s="9">
        <f>(((($B$8*$B$2)*($B$7))*11)+(($B$8*$B$2)*($B$7)*(1+$B$5/100))*1)</f>
        <v>2353650</v>
      </c>
    </row>
    <row r="31" spans="1:10" ht="17" thickBot="1" x14ac:dyDescent="0.25">
      <c r="A31" s="12" t="s">
        <v>36</v>
      </c>
      <c r="B31" s="13">
        <f>AVERAGE(B24:B30)</f>
        <v>2387357.1428571427</v>
      </c>
      <c r="E31" s="12" t="s">
        <v>36</v>
      </c>
      <c r="F31" s="13">
        <f>AVERAGE(F24:F30)</f>
        <v>2406300</v>
      </c>
      <c r="I31" s="12" t="s">
        <v>36</v>
      </c>
      <c r="J31" s="13">
        <f>AVERAGE(J24:J30)</f>
        <v>2394600</v>
      </c>
    </row>
    <row r="32" spans="1:10" x14ac:dyDescent="0.2">
      <c r="B32">
        <f>B31*B10</f>
        <v>2506725</v>
      </c>
      <c r="F32">
        <f>F31*B10</f>
        <v>2526615</v>
      </c>
      <c r="J32">
        <f>J31*B10</f>
        <v>2514330</v>
      </c>
    </row>
    <row r="37" spans="1:10" ht="17" thickBot="1" x14ac:dyDescent="0.25">
      <c r="A37" s="2" t="s">
        <v>20</v>
      </c>
      <c r="B37" s="3">
        <v>2024</v>
      </c>
      <c r="E37" s="10" t="s">
        <v>44</v>
      </c>
      <c r="F37" s="3">
        <v>2024</v>
      </c>
      <c r="I37" s="10" t="s">
        <v>44</v>
      </c>
      <c r="J37" s="3">
        <v>2024</v>
      </c>
    </row>
    <row r="38" spans="1:10" ht="17" thickBot="1" x14ac:dyDescent="0.25">
      <c r="A38" s="4" t="s">
        <v>24</v>
      </c>
      <c r="B38" s="5">
        <f>($B$2*$B$8)*(($B$11*5)+(($B$11*(1+($D$5/100)))*7))</f>
        <v>2782347.75</v>
      </c>
      <c r="E38" s="4" t="s">
        <v>24</v>
      </c>
      <c r="F38" s="5">
        <f>($B$2*$B$8)*(($B$11*5)+(($B$11*(1+($C$5/100)))*7))</f>
        <v>2759344.0874999999</v>
      </c>
      <c r="I38" s="4" t="s">
        <v>24</v>
      </c>
      <c r="J38" s="5">
        <f>($B$2*$B$8)*(($B$11*5)+(($B$11*(1+($B$5/100)))*7))</f>
        <v>2736340.4249999998</v>
      </c>
    </row>
    <row r="39" spans="1:10" ht="17" thickBot="1" x14ac:dyDescent="0.25">
      <c r="A39" s="6" t="s">
        <v>25</v>
      </c>
      <c r="B39" s="5">
        <f>($B$2*$B$8)*(($B$11*6)+($B$11*(1+($D$5/100)))*7)</f>
        <v>3001430.25</v>
      </c>
      <c r="E39" s="6" t="s">
        <v>25</v>
      </c>
      <c r="F39" s="5">
        <f>($B$2*$B$8)*(($B$11*6)+($B$11*(1+($C$5/100)))*7)</f>
        <v>2978426.5874999999</v>
      </c>
      <c r="I39" s="6" t="s">
        <v>25</v>
      </c>
      <c r="J39" s="5">
        <f>($B$2*$B$8)*(($B$11*6)+($B$11*(1+($B$5/100)))*7)</f>
        <v>2955422.9249999998</v>
      </c>
    </row>
    <row r="40" spans="1:10" ht="17" thickBot="1" x14ac:dyDescent="0.25">
      <c r="A40" s="6" t="s">
        <v>26</v>
      </c>
      <c r="B40" s="5">
        <f>($B$2*$B$8)*(($B$11*7)+(($B$11*(1+($D$5/100)))*5))</f>
        <v>2738531.25</v>
      </c>
      <c r="E40" s="6" t="s">
        <v>26</v>
      </c>
      <c r="F40" s="5">
        <f>($B$2*$B$8)*(($B$11*7)+(($B$11*(1+($C$5/100)))*5))</f>
        <v>2722100.0625</v>
      </c>
      <c r="I40" s="6" t="s">
        <v>26</v>
      </c>
      <c r="J40" s="5">
        <f>($B$2*$B$8)*(($B$11*7)+(($B$11*(1+($B$5/100)))*5))</f>
        <v>2705668.875</v>
      </c>
    </row>
    <row r="41" spans="1:10" ht="17" thickBot="1" x14ac:dyDescent="0.25">
      <c r="A41" s="6" t="s">
        <v>27</v>
      </c>
      <c r="B41" s="5">
        <f>($B$2*$B$8)*(($B$11*8)+(($B$11*(1+($D$5/100)))*4))</f>
        <v>2716623.0000000005</v>
      </c>
      <c r="E41" s="6" t="s">
        <v>27</v>
      </c>
      <c r="F41" s="5">
        <f>($B$2*$B$8)*(($B$11*8)+(($B$11*(1+($C$5/100)))*4))</f>
        <v>2703478.05</v>
      </c>
      <c r="I41" s="6" t="s">
        <v>27</v>
      </c>
      <c r="J41" s="5">
        <f>($B$2*$B$8)*(($B$11*8)+(($B$11*(1+($B$5/100)))*4))</f>
        <v>2690333.1</v>
      </c>
    </row>
    <row r="42" spans="1:10" ht="17" thickBot="1" x14ac:dyDescent="0.25">
      <c r="A42" s="6" t="s">
        <v>28</v>
      </c>
      <c r="B42" s="5">
        <f>($B$2*$B$8)*(($B$11*9)+(($B$11*(1+($D$5/100)))*3))</f>
        <v>2694714.75</v>
      </c>
      <c r="E42" s="6" t="s">
        <v>28</v>
      </c>
      <c r="F42" s="5">
        <f>($B$2*$B$8)*(($B$11*9)+(($B$11*(1+($C$5/100)))*3))</f>
        <v>2684856.0375000001</v>
      </c>
      <c r="I42" s="6" t="s">
        <v>28</v>
      </c>
      <c r="J42" s="5">
        <f>($B$2*$B$8)*(($B$11*9)+(($B$11*(1+($B$5/100)))*3))</f>
        <v>2674997.3249999997</v>
      </c>
    </row>
    <row r="43" spans="1:10" ht="17" thickBot="1" x14ac:dyDescent="0.25">
      <c r="A43" s="6" t="s">
        <v>29</v>
      </c>
      <c r="B43" s="5">
        <f>($B$2*$B$8)*(($B$11*10)+(($B$11*(1+($D$5/100)))*2))</f>
        <v>2672806.5</v>
      </c>
      <c r="E43" s="6" t="s">
        <v>29</v>
      </c>
      <c r="F43" s="5">
        <f>($B$2*$B$8)*(($B$11*10)+(($B$11*(1+($C$5/100)))*2))</f>
        <v>2666234.0249999999</v>
      </c>
      <c r="I43" s="6" t="s">
        <v>29</v>
      </c>
      <c r="J43" s="5">
        <f>($B$2*$B$8)*(($B$11*10)+(($B$11*(1+($B$5/100)))*2))</f>
        <v>2659661.5500000003</v>
      </c>
    </row>
    <row r="44" spans="1:10" ht="17" thickBot="1" x14ac:dyDescent="0.25">
      <c r="A44" s="8" t="s">
        <v>30</v>
      </c>
      <c r="B44" s="5">
        <f>($B$2*$B$8)*(($B$11*11)+(($B$11*(1+($D$5/100)))*1))</f>
        <v>2650898.25</v>
      </c>
      <c r="E44" s="8" t="s">
        <v>30</v>
      </c>
      <c r="F44" s="5">
        <f>($B$2*$B$8)*(($B$11*11)+(($B$11*(1+($C$5/100)))*1))</f>
        <v>2647612.0124999997</v>
      </c>
      <c r="I44" s="8" t="s">
        <v>30</v>
      </c>
      <c r="J44" s="5">
        <f>($B$2*$B$8)*(($B$11*11)+(($B$11*(1+($B$5/100)))*1))</f>
        <v>2644325.7749999999</v>
      </c>
    </row>
    <row r="45" spans="1:10" ht="17" thickBot="1" x14ac:dyDescent="0.25">
      <c r="A45" s="12" t="s">
        <v>36</v>
      </c>
      <c r="B45" s="13">
        <f>AVERAGE(B38:B44)</f>
        <v>2751050.25</v>
      </c>
      <c r="E45" s="12" t="s">
        <v>36</v>
      </c>
      <c r="F45" s="13">
        <f>AVERAGE(F38:F44)</f>
        <v>2737435.8374999999</v>
      </c>
      <c r="I45" s="12" t="s">
        <v>36</v>
      </c>
      <c r="J45" s="13">
        <f>AVERAGE(J38:J44)</f>
        <v>2723821.4249999998</v>
      </c>
    </row>
    <row r="46" spans="1:10" x14ac:dyDescent="0.2">
      <c r="B46">
        <f>B45*C10</f>
        <v>2971134.27</v>
      </c>
      <c r="F46">
        <f>F45*$C$10</f>
        <v>2956430.7045</v>
      </c>
      <c r="J46">
        <f>J45*$C$10</f>
        <v>2941727.139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6CD4-F156-7745-B7F9-CB5CB2451241}">
  <dimension ref="A1:J46"/>
  <sheetViews>
    <sheetView workbookViewId="0">
      <selection activeCell="D11" sqref="A1:D11"/>
    </sheetView>
  </sheetViews>
  <sheetFormatPr baseColWidth="10" defaultRowHeight="16" x14ac:dyDescent="0.2"/>
  <cols>
    <col min="1" max="1" width="35" customWidth="1"/>
    <col min="5" max="5" width="34.1640625" customWidth="1"/>
    <col min="9" max="9" width="24.6640625" customWidth="1"/>
  </cols>
  <sheetData>
    <row r="1" spans="1:4" x14ac:dyDescent="0.2">
      <c r="A1" s="23" t="s">
        <v>40</v>
      </c>
      <c r="B1" s="24">
        <f>(120*80)</f>
        <v>9600</v>
      </c>
      <c r="C1" s="15">
        <f>'Піддон Експортний UIC'!C1/B1</f>
        <v>33</v>
      </c>
      <c r="D1" s="16"/>
    </row>
    <row r="2" spans="1:4" x14ac:dyDescent="0.2">
      <c r="A2" s="17" t="s">
        <v>15</v>
      </c>
      <c r="B2" s="18">
        <f>33</f>
        <v>33</v>
      </c>
      <c r="C2" s="18"/>
      <c r="D2" s="19"/>
    </row>
    <row r="3" spans="1:4" x14ac:dyDescent="0.2">
      <c r="A3" s="17" t="s">
        <v>16</v>
      </c>
      <c r="B3" s="18">
        <f>(25+30)/2</f>
        <v>27.5</v>
      </c>
      <c r="C3" s="18">
        <v>25</v>
      </c>
      <c r="D3" s="19">
        <v>30</v>
      </c>
    </row>
    <row r="4" spans="1:4" x14ac:dyDescent="0.2">
      <c r="A4" s="17" t="s">
        <v>18</v>
      </c>
      <c r="B4" s="18">
        <f>2500</f>
        <v>2500</v>
      </c>
      <c r="C4" s="18"/>
      <c r="D4" s="19"/>
    </row>
    <row r="5" spans="1:4" x14ac:dyDescent="0.2">
      <c r="A5" s="17" t="s">
        <v>19</v>
      </c>
      <c r="B5" s="18">
        <v>7</v>
      </c>
      <c r="C5" s="18">
        <f>AVERAGE(B5,D5)</f>
        <v>8.5</v>
      </c>
      <c r="D5" s="19">
        <v>10</v>
      </c>
    </row>
    <row r="6" spans="1:4" x14ac:dyDescent="0.2">
      <c r="A6" s="17" t="s">
        <v>21</v>
      </c>
      <c r="B6" s="18" t="s">
        <v>22</v>
      </c>
      <c r="C6" s="18"/>
      <c r="D6" s="19"/>
    </row>
    <row r="7" spans="1:4" x14ac:dyDescent="0.2">
      <c r="A7" s="17" t="s">
        <v>31</v>
      </c>
      <c r="B7" s="18">
        <f>Відповідь!D6</f>
        <v>120</v>
      </c>
      <c r="C7" s="18"/>
      <c r="D7" s="19"/>
    </row>
    <row r="8" spans="1:4" x14ac:dyDescent="0.2">
      <c r="A8" s="17" t="s">
        <v>32</v>
      </c>
      <c r="B8" s="18">
        <v>30</v>
      </c>
      <c r="C8" s="18"/>
      <c r="D8" s="19"/>
    </row>
    <row r="9" spans="1:4" x14ac:dyDescent="0.2">
      <c r="A9" s="17"/>
      <c r="B9" s="18">
        <v>2023</v>
      </c>
      <c r="C9" s="18">
        <v>2024</v>
      </c>
      <c r="D9" s="19"/>
    </row>
    <row r="10" spans="1:4" x14ac:dyDescent="0.2">
      <c r="A10" s="17" t="s">
        <v>23</v>
      </c>
      <c r="B10" s="18">
        <f>1.05</f>
        <v>1.05</v>
      </c>
      <c r="C10" s="18">
        <f xml:space="preserve"> 1.08</f>
        <v>1.08</v>
      </c>
      <c r="D10" s="19"/>
    </row>
    <row r="11" spans="1:4" ht="17" thickBot="1" x14ac:dyDescent="0.25">
      <c r="A11" s="20" t="s">
        <v>43</v>
      </c>
      <c r="B11" s="21">
        <f>B7*(1+B5/100)*B10</f>
        <v>134.82000000000002</v>
      </c>
      <c r="C11" s="21">
        <f>B7*(1+B5/100)*B10</f>
        <v>134.82000000000002</v>
      </c>
      <c r="D11" s="22">
        <f>B7*(1+B5/100)*B10</f>
        <v>134.82000000000002</v>
      </c>
    </row>
    <row r="23" spans="1:10" ht="17" thickBot="1" x14ac:dyDescent="0.25">
      <c r="A23" s="2" t="s">
        <v>20</v>
      </c>
      <c r="B23" s="3">
        <v>2023</v>
      </c>
      <c r="E23" s="10" t="s">
        <v>33</v>
      </c>
      <c r="F23" s="3">
        <v>2023</v>
      </c>
      <c r="I23" s="11" t="s">
        <v>34</v>
      </c>
      <c r="J23" s="3">
        <v>2023</v>
      </c>
    </row>
    <row r="24" spans="1:10" x14ac:dyDescent="0.2">
      <c r="A24" s="4" t="s">
        <v>24</v>
      </c>
      <c r="B24" s="5">
        <f>(((B8*B2)*(B7))*5 +(B8*B2)*(B7)*(1+D5/100)*6)</f>
        <v>1378080</v>
      </c>
      <c r="E24" s="4" t="s">
        <v>24</v>
      </c>
      <c r="F24" s="5">
        <f>((((B8*B2)*(B7))*5)+((B8*B2)*(B7)*(1+C5/100))*7)</f>
        <v>1496286</v>
      </c>
      <c r="I24" s="4" t="s">
        <v>24</v>
      </c>
      <c r="J24" s="5">
        <f>(((($B$8*$B$2)*($B$7))*5)+(($B$8*$B$2)*($B$7)*(1+$B$5/100))*7)</f>
        <v>1483812</v>
      </c>
    </row>
    <row r="25" spans="1:10" x14ac:dyDescent="0.2">
      <c r="A25" s="6" t="s">
        <v>25</v>
      </c>
      <c r="B25" s="7">
        <f>((((B8*B2)*(B7))*6)+((B8*B2)*(B7)*(1+D5/100))*6)</f>
        <v>1496880</v>
      </c>
      <c r="E25" s="6" t="s">
        <v>25</v>
      </c>
      <c r="F25" s="7">
        <f>((((B8*B2)*(B7))*6)+((B8*B2)*(B7)*(1+C5/100))*6)</f>
        <v>1486188</v>
      </c>
      <c r="I25" s="6" t="s">
        <v>25</v>
      </c>
      <c r="J25" s="7">
        <f>(((($B$8*$B$2)*($B$7))*6)+(($B$8*$B$2)*($B$7)*(1+$B$5/100))*6)</f>
        <v>1475496</v>
      </c>
    </row>
    <row r="26" spans="1:10" x14ac:dyDescent="0.2">
      <c r="A26" s="6" t="s">
        <v>26</v>
      </c>
      <c r="B26" s="7">
        <f>(((($B$8*$B$2)*($B$7))*7)+(($B$8*$B$2)*($B$7)*(1+$D$5/100))*5)</f>
        <v>1485000</v>
      </c>
      <c r="E26" s="6" t="s">
        <v>26</v>
      </c>
      <c r="F26" s="7">
        <f>((((B8*B2)*(B7))*7)+((B8*B2)*(B7)*(1+C5/100))*5)</f>
        <v>1476090</v>
      </c>
      <c r="I26" s="6" t="s">
        <v>26</v>
      </c>
      <c r="J26" s="7">
        <f>(((($B$8*$B$2)*($B$7))*7)+(($B$8*$B$2)*($B$7)*(1+$B$5/100))*5)</f>
        <v>1467180</v>
      </c>
    </row>
    <row r="27" spans="1:10" x14ac:dyDescent="0.2">
      <c r="A27" s="6" t="s">
        <v>27</v>
      </c>
      <c r="B27" s="7">
        <f>((((B8*B2)*(B7))*8)+((B8*B2)*(B7)*(1+D5/100))*4)</f>
        <v>1473120</v>
      </c>
      <c r="E27" s="6" t="s">
        <v>27</v>
      </c>
      <c r="F27" s="7">
        <f>(((($B$8*$B$2)*($B$7))*8)+(($B$8*$B$2)*($B$7)*(1+$C$5/100))*4)</f>
        <v>1465992</v>
      </c>
      <c r="I27" s="6" t="s">
        <v>27</v>
      </c>
      <c r="J27" s="7">
        <f>(((($B$8*$B$2)*($B$7))*8)+(($B$8*$B$2)*($B$7)*(1+$B$5/100))*4)</f>
        <v>1458864</v>
      </c>
    </row>
    <row r="28" spans="1:10" x14ac:dyDescent="0.2">
      <c r="A28" s="6" t="s">
        <v>28</v>
      </c>
      <c r="B28" s="7">
        <f>((((B8*B2)*(B7))*9)+((B8*B2)*(B7)*(1+D5/100))*3)</f>
        <v>1461240</v>
      </c>
      <c r="E28" s="6" t="s">
        <v>28</v>
      </c>
      <c r="F28" s="7">
        <f>(((($B$8*$B$2)*($B$7))*9)+(($B$8*$B$2)*($B$7)*(1+$C$5/100))*3)</f>
        <v>1455894</v>
      </c>
      <c r="I28" s="6" t="s">
        <v>28</v>
      </c>
      <c r="J28" s="7">
        <f>(((($B$8*$B$2)*($B$7))*9)+(($B$8*$B$2)*($B$7)*(1+$B$5/100))*3)</f>
        <v>1450548</v>
      </c>
    </row>
    <row r="29" spans="1:10" x14ac:dyDescent="0.2">
      <c r="A29" s="6" t="s">
        <v>29</v>
      </c>
      <c r="B29" s="7">
        <f>((((B8*B2)*(B7))*10)+((B8*B2)*(B7)*(1+D5/100))*2)</f>
        <v>1449360</v>
      </c>
      <c r="E29" s="6" t="s">
        <v>29</v>
      </c>
      <c r="F29" s="7">
        <f>(((($B$8*$B$2)*($B$7))*10)+(($B$8*$B$2)*($B$7)*(1+$C$5/100))*2)</f>
        <v>1445796</v>
      </c>
      <c r="I29" s="6" t="s">
        <v>29</v>
      </c>
      <c r="J29" s="7">
        <f>(((($B$8*$B$2)*($B$7))*10)+(($B$8*$B$2)*($B$7)*(1+$B$5/100))*2)</f>
        <v>1442232</v>
      </c>
    </row>
    <row r="30" spans="1:10" ht="17" thickBot="1" x14ac:dyDescent="0.25">
      <c r="A30" s="8" t="s">
        <v>30</v>
      </c>
      <c r="B30" s="9">
        <f>((((B8*B2)*(B7))*11)+((B8*B2)*(B7)*(1+D5/100))*1)</f>
        <v>1437480</v>
      </c>
      <c r="E30" s="8" t="s">
        <v>30</v>
      </c>
      <c r="F30" s="9">
        <f>(((($B$8*$B$2)*($B$7))*11)+(($B$8*$B$2)*($B$7)*(1+$C$5/100))*1)</f>
        <v>1435698</v>
      </c>
      <c r="I30" s="8" t="s">
        <v>30</v>
      </c>
      <c r="J30" s="9">
        <f>(((($B$8*$B$2)*($B$7))*11)+(($B$8*$B$2)*($B$7)*(1+$B$5/100))*1)</f>
        <v>1433916</v>
      </c>
    </row>
    <row r="31" spans="1:10" ht="17" thickBot="1" x14ac:dyDescent="0.25">
      <c r="A31" s="12" t="s">
        <v>36</v>
      </c>
      <c r="B31" s="13">
        <f>AVERAGE(B24:B30)</f>
        <v>1454451.4285714286</v>
      </c>
      <c r="E31" s="12" t="s">
        <v>36</v>
      </c>
      <c r="F31" s="13">
        <f>AVERAGE(F24:F30)</f>
        <v>1465992</v>
      </c>
      <c r="I31" s="12" t="s">
        <v>36</v>
      </c>
      <c r="J31" s="13">
        <f>AVERAGE(J24:J30)</f>
        <v>1458864</v>
      </c>
    </row>
    <row r="32" spans="1:10" x14ac:dyDescent="0.2">
      <c r="B32">
        <f>B31*B10</f>
        <v>1527174.0000000002</v>
      </c>
      <c r="F32">
        <f>F31*B10</f>
        <v>1539291.6</v>
      </c>
      <c r="J32">
        <f>J31*B10</f>
        <v>1531807.2</v>
      </c>
    </row>
    <row r="37" spans="1:10" ht="17" thickBot="1" x14ac:dyDescent="0.25">
      <c r="A37" s="2" t="s">
        <v>20</v>
      </c>
      <c r="B37" s="3">
        <v>2024</v>
      </c>
      <c r="E37" s="10" t="s">
        <v>44</v>
      </c>
      <c r="F37" s="3">
        <v>2024</v>
      </c>
      <c r="I37" s="10" t="s">
        <v>44</v>
      </c>
      <c r="J37" s="3">
        <v>2024</v>
      </c>
    </row>
    <row r="38" spans="1:10" ht="17" thickBot="1" x14ac:dyDescent="0.25">
      <c r="A38" s="4" t="s">
        <v>24</v>
      </c>
      <c r="B38" s="5">
        <f>($B$2*$B$8)*(($B$11*5)+(($B$11*(1+($D$5/100)))*7))</f>
        <v>1695091.8600000003</v>
      </c>
      <c r="E38" s="4" t="s">
        <v>24</v>
      </c>
      <c r="F38" s="5">
        <f>($B$2*$B$8)*(($B$11*5)+(($B$11*(1+($C$5/100)))*7))</f>
        <v>1681077.3210000002</v>
      </c>
      <c r="I38" s="4" t="s">
        <v>24</v>
      </c>
      <c r="J38" s="5">
        <f>($B$2*$B$8)*(($B$11*5)+(($B$11*(1+($B$5/100)))*7))</f>
        <v>1667062.7820000004</v>
      </c>
    </row>
    <row r="39" spans="1:10" ht="17" thickBot="1" x14ac:dyDescent="0.25">
      <c r="A39" s="6" t="s">
        <v>25</v>
      </c>
      <c r="B39" s="5">
        <f>($B$2*$B$8)*(($B$11*6)+($B$11*(1+($D$5/100)))*7)</f>
        <v>1828563.6600000004</v>
      </c>
      <c r="E39" s="6" t="s">
        <v>25</v>
      </c>
      <c r="F39" s="5">
        <f>($B$2*$B$8)*(($B$11*6)+($B$11*(1+($C$5/100)))*7)</f>
        <v>1814549.1210000003</v>
      </c>
      <c r="I39" s="6" t="s">
        <v>25</v>
      </c>
      <c r="J39" s="5">
        <f>($B$2*$B$8)*(($B$11*6)+($B$11*(1+($B$5/100)))*7)</f>
        <v>1800534.5820000002</v>
      </c>
    </row>
    <row r="40" spans="1:10" ht="17" thickBot="1" x14ac:dyDescent="0.25">
      <c r="A40" s="6" t="s">
        <v>26</v>
      </c>
      <c r="B40" s="5">
        <f>($B$2*$B$8)*(($B$11*7)+(($B$11*(1+($D$5/100)))*5))</f>
        <v>1668397.5000000005</v>
      </c>
      <c r="E40" s="6" t="s">
        <v>26</v>
      </c>
      <c r="F40" s="5">
        <f>($B$2*$B$8)*(($B$11*7)+(($B$11*(1+($C$5/100)))*5))</f>
        <v>1658387.1150000002</v>
      </c>
      <c r="I40" s="6" t="s">
        <v>26</v>
      </c>
      <c r="J40" s="5">
        <f>($B$2*$B$8)*(($B$11*7)+(($B$11*(1+($B$5/100)))*5))</f>
        <v>1648376.73</v>
      </c>
    </row>
    <row r="41" spans="1:10" ht="17" thickBot="1" x14ac:dyDescent="0.25">
      <c r="A41" s="6" t="s">
        <v>27</v>
      </c>
      <c r="B41" s="5">
        <f>($B$2*$B$8)*(($B$11*8)+(($B$11*(1+($D$5/100)))*4))</f>
        <v>1655050.3200000005</v>
      </c>
      <c r="E41" s="6" t="s">
        <v>27</v>
      </c>
      <c r="F41" s="5">
        <f>($B$2*$B$8)*(($B$11*8)+(($B$11*(1+($C$5/100)))*4))</f>
        <v>1647042.0120000001</v>
      </c>
      <c r="I41" s="6" t="s">
        <v>27</v>
      </c>
      <c r="J41" s="5">
        <f>($B$2*$B$8)*(($B$11*8)+(($B$11*(1+($B$5/100)))*4))</f>
        <v>1639033.7040000001</v>
      </c>
    </row>
    <row r="42" spans="1:10" ht="17" thickBot="1" x14ac:dyDescent="0.25">
      <c r="A42" s="6" t="s">
        <v>28</v>
      </c>
      <c r="B42" s="5">
        <f>($B$2*$B$8)*(($B$11*9)+(($B$11*(1+($D$5/100)))*3))</f>
        <v>1641703.1400000004</v>
      </c>
      <c r="E42" s="6" t="s">
        <v>28</v>
      </c>
      <c r="F42" s="5">
        <f>($B$2*$B$8)*(($B$11*9)+(($B$11*(1+($C$5/100)))*3))</f>
        <v>1635696.9090000002</v>
      </c>
      <c r="I42" s="6" t="s">
        <v>28</v>
      </c>
      <c r="J42" s="5">
        <f>($B$2*$B$8)*(($B$11*9)+(($B$11*(1+($B$5/100)))*3))</f>
        <v>1629690.6780000003</v>
      </c>
    </row>
    <row r="43" spans="1:10" ht="17" thickBot="1" x14ac:dyDescent="0.25">
      <c r="A43" s="6" t="s">
        <v>29</v>
      </c>
      <c r="B43" s="5">
        <f>($B$2*$B$8)*(($B$11*10)+(($B$11*(1+($D$5/100)))*2))</f>
        <v>1628355.9600000002</v>
      </c>
      <c r="E43" s="6" t="s">
        <v>29</v>
      </c>
      <c r="F43" s="5">
        <f>($B$2*$B$8)*(($B$11*10)+(($B$11*(1+($C$5/100)))*2))</f>
        <v>1624351.8060000003</v>
      </c>
      <c r="I43" s="6" t="s">
        <v>29</v>
      </c>
      <c r="J43" s="5">
        <f>($B$2*$B$8)*(($B$11*10)+(($B$11*(1+($B$5/100)))*2))</f>
        <v>1620347.6520000002</v>
      </c>
    </row>
    <row r="44" spans="1:10" ht="17" thickBot="1" x14ac:dyDescent="0.25">
      <c r="A44" s="8" t="s">
        <v>30</v>
      </c>
      <c r="B44" s="5">
        <f>($B$2*$B$8)*(($B$11*11)+(($B$11*(1+($D$5/100)))*1))</f>
        <v>1615008.7800000003</v>
      </c>
      <c r="E44" s="8" t="s">
        <v>30</v>
      </c>
      <c r="F44" s="5">
        <f>($B$2*$B$8)*(($B$11*11)+(($B$11*(1+($C$5/100)))*1))</f>
        <v>1613006.7030000002</v>
      </c>
      <c r="I44" s="8" t="s">
        <v>30</v>
      </c>
      <c r="J44" s="5">
        <f>($B$2*$B$8)*(($B$11*11)+(($B$11*(1+($B$5/100)))*1))</f>
        <v>1611004.6260000002</v>
      </c>
    </row>
    <row r="45" spans="1:10" ht="17" thickBot="1" x14ac:dyDescent="0.25">
      <c r="A45" s="12" t="s">
        <v>36</v>
      </c>
      <c r="B45" s="13">
        <f>AVERAGE(B38:B44)</f>
        <v>1676024.4600000004</v>
      </c>
      <c r="E45" s="12" t="s">
        <v>36</v>
      </c>
      <c r="F45" s="13">
        <f>AVERAGE(F38:F44)</f>
        <v>1667730.1410000003</v>
      </c>
      <c r="I45" s="12" t="s">
        <v>36</v>
      </c>
      <c r="J45" s="13">
        <f>AVERAGE(J38:J44)</f>
        <v>1659435.8220000002</v>
      </c>
    </row>
    <row r="46" spans="1:10" x14ac:dyDescent="0.2">
      <c r="B46">
        <f>B45*C10</f>
        <v>1810106.4168000005</v>
      </c>
      <c r="F46">
        <f>F45*$C$10</f>
        <v>1801148.5522800004</v>
      </c>
      <c r="J46">
        <f>J45*$C$10</f>
        <v>1792190.6877600003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E82A-B591-CF4E-BFEB-E9FF62C37427}">
  <dimension ref="A1:J46"/>
  <sheetViews>
    <sheetView tabSelected="1" workbookViewId="0">
      <selection activeCell="I19" sqref="I19"/>
    </sheetView>
  </sheetViews>
  <sheetFormatPr baseColWidth="10" defaultRowHeight="16" x14ac:dyDescent="0.2"/>
  <cols>
    <col min="1" max="1" width="32.33203125" customWidth="1"/>
    <col min="2" max="2" width="13" customWidth="1"/>
    <col min="3" max="3" width="17.6640625" customWidth="1"/>
    <col min="5" max="5" width="26.5" customWidth="1"/>
    <col min="9" max="9" width="24.33203125" customWidth="1"/>
  </cols>
  <sheetData>
    <row r="1" spans="1:4" ht="17" thickBot="1" x14ac:dyDescent="0.25">
      <c r="A1" s="1" t="s">
        <v>40</v>
      </c>
      <c r="B1" s="1">
        <f>(120*80)</f>
        <v>9600</v>
      </c>
      <c r="C1">
        <f>'Піддон Експортний UIC'!C1/B1</f>
        <v>33</v>
      </c>
    </row>
    <row r="2" spans="1:4" x14ac:dyDescent="0.2">
      <c r="A2" s="14" t="s">
        <v>15</v>
      </c>
      <c r="B2" s="15">
        <f>26</f>
        <v>26</v>
      </c>
      <c r="C2" s="15"/>
      <c r="D2" s="16"/>
    </row>
    <row r="3" spans="1:4" x14ac:dyDescent="0.2">
      <c r="A3" s="17" t="s">
        <v>16</v>
      </c>
      <c r="B3" s="18">
        <f>(25+30)/2</f>
        <v>27.5</v>
      </c>
      <c r="C3" s="18">
        <v>25</v>
      </c>
      <c r="D3" s="19">
        <v>30</v>
      </c>
    </row>
    <row r="4" spans="1:4" x14ac:dyDescent="0.2">
      <c r="A4" s="17" t="s">
        <v>18</v>
      </c>
      <c r="B4" s="18">
        <f>2500</f>
        <v>2500</v>
      </c>
      <c r="C4" s="18"/>
      <c r="D4" s="19"/>
    </row>
    <row r="5" spans="1:4" x14ac:dyDescent="0.2">
      <c r="A5" s="17" t="s">
        <v>19</v>
      </c>
      <c r="B5" s="18">
        <v>7</v>
      </c>
      <c r="C5" s="18">
        <f>AVERAGE(B5,D5)</f>
        <v>8.5</v>
      </c>
      <c r="D5" s="19">
        <v>10</v>
      </c>
    </row>
    <row r="6" spans="1:4" x14ac:dyDescent="0.2">
      <c r="A6" s="17" t="s">
        <v>21</v>
      </c>
      <c r="B6" s="18" t="s">
        <v>22</v>
      </c>
      <c r="C6" s="18"/>
      <c r="D6" s="19"/>
    </row>
    <row r="7" spans="1:4" x14ac:dyDescent="0.2">
      <c r="A7" s="17" t="s">
        <v>31</v>
      </c>
      <c r="B7" s="18">
        <f>Відповідь!E6</f>
        <v>195</v>
      </c>
      <c r="C7" s="18"/>
      <c r="D7" s="19"/>
    </row>
    <row r="8" spans="1:4" x14ac:dyDescent="0.2">
      <c r="A8" s="17" t="s">
        <v>32</v>
      </c>
      <c r="B8" s="18">
        <v>30</v>
      </c>
      <c r="C8" s="18"/>
      <c r="D8" s="19"/>
    </row>
    <row r="9" spans="1:4" x14ac:dyDescent="0.2">
      <c r="A9" s="17"/>
      <c r="B9" s="18">
        <v>2023</v>
      </c>
      <c r="C9" s="18">
        <v>2024</v>
      </c>
      <c r="D9" s="19"/>
    </row>
    <row r="10" spans="1:4" x14ac:dyDescent="0.2">
      <c r="A10" s="17" t="s">
        <v>23</v>
      </c>
      <c r="B10" s="18">
        <f>1.05</f>
        <v>1.05</v>
      </c>
      <c r="C10" s="18">
        <f xml:space="preserve"> 1.08</f>
        <v>1.08</v>
      </c>
      <c r="D10" s="19"/>
    </row>
    <row r="11" spans="1:4" ht="17" thickBot="1" x14ac:dyDescent="0.25">
      <c r="A11" s="20" t="s">
        <v>43</v>
      </c>
      <c r="B11" s="21">
        <f>B7*(1+B5/100)*B10</f>
        <v>219.08250000000001</v>
      </c>
      <c r="C11" s="21">
        <f>B7*(1+B5/100)*B10</f>
        <v>219.08250000000001</v>
      </c>
      <c r="D11" s="22">
        <f>B7*(1+B5/100)*B10</f>
        <v>219.08250000000001</v>
      </c>
    </row>
    <row r="23" spans="1:10" ht="17" thickBot="1" x14ac:dyDescent="0.25">
      <c r="A23" s="2" t="s">
        <v>20</v>
      </c>
      <c r="B23" s="3">
        <v>2023</v>
      </c>
      <c r="E23" s="10" t="s">
        <v>33</v>
      </c>
      <c r="F23" s="3">
        <v>2023</v>
      </c>
      <c r="I23" s="11" t="s">
        <v>34</v>
      </c>
      <c r="J23" s="3">
        <v>2023</v>
      </c>
    </row>
    <row r="24" spans="1:10" x14ac:dyDescent="0.2">
      <c r="A24" s="4" t="s">
        <v>24</v>
      </c>
      <c r="B24" s="5">
        <f>(((B8*B2)*(B7))*5 +(B8*B2)*(B7)*(1+D5/100)*6)</f>
        <v>1764360</v>
      </c>
      <c r="E24" s="4" t="s">
        <v>24</v>
      </c>
      <c r="F24" s="5">
        <f>((((B8*B2)*(B7))*5)+((B8*B2)*(B7)*(1+C5/100))*7)</f>
        <v>1915699.5</v>
      </c>
      <c r="I24" s="4" t="s">
        <v>24</v>
      </c>
      <c r="J24" s="5">
        <f>(((($B$8*$B$2)*($B$7))*5)+(($B$8*$B$2)*($B$7)*(1+$B$5/100))*7)</f>
        <v>1899729</v>
      </c>
    </row>
    <row r="25" spans="1:10" x14ac:dyDescent="0.2">
      <c r="A25" s="6" t="s">
        <v>25</v>
      </c>
      <c r="B25" s="7">
        <f>((((B8*B2)*(B7))*6)+((B8*B2)*(B7)*(1+D5/100))*6)</f>
        <v>1916460</v>
      </c>
      <c r="E25" s="6" t="s">
        <v>25</v>
      </c>
      <c r="F25" s="7">
        <f>((((B8*B2)*(B7))*6)+((B8*B2)*(B7)*(1+C5/100))*6)</f>
        <v>1902771</v>
      </c>
      <c r="I25" s="6" t="s">
        <v>25</v>
      </c>
      <c r="J25" s="7">
        <f>(((($B$8*$B$2)*($B$7))*6)+(($B$8*$B$2)*($B$7)*(1+$B$5/100))*6)</f>
        <v>1889082</v>
      </c>
    </row>
    <row r="26" spans="1:10" x14ac:dyDescent="0.2">
      <c r="A26" s="6" t="s">
        <v>26</v>
      </c>
      <c r="B26" s="7">
        <f>(((($B$8*$B$2)*($B$7))*7)+(($B$8*$B$2)*($B$7)*(1+$D$5/100))*5)</f>
        <v>1901250</v>
      </c>
      <c r="E26" s="6" t="s">
        <v>26</v>
      </c>
      <c r="F26" s="7">
        <f>((((B8*B2)*(B7))*7)+((B8*B2)*(B7)*(1+C5/100))*5)</f>
        <v>1889842.5</v>
      </c>
      <c r="I26" s="6" t="s">
        <v>26</v>
      </c>
      <c r="J26" s="7">
        <f>(((($B$8*$B$2)*($B$7))*7)+(($B$8*$B$2)*($B$7)*(1+$B$5/100))*5)</f>
        <v>1878435</v>
      </c>
    </row>
    <row r="27" spans="1:10" x14ac:dyDescent="0.2">
      <c r="A27" s="6" t="s">
        <v>27</v>
      </c>
      <c r="B27" s="7">
        <f>((((B8*B2)*(B7))*8)+((B8*B2)*(B7)*(1+D5/100))*4)</f>
        <v>1886040</v>
      </c>
      <c r="E27" s="6" t="s">
        <v>27</v>
      </c>
      <c r="F27" s="7">
        <f>(((($B$8*$B$2)*($B$7))*8)+(($B$8*$B$2)*($B$7)*(1+$C$5/100))*4)</f>
        <v>1876914</v>
      </c>
      <c r="I27" s="6" t="s">
        <v>27</v>
      </c>
      <c r="J27" s="7">
        <f>(((($B$8*$B$2)*($B$7))*8)+(($B$8*$B$2)*($B$7)*(1+$B$5/100))*4)</f>
        <v>1867788</v>
      </c>
    </row>
    <row r="28" spans="1:10" x14ac:dyDescent="0.2">
      <c r="A28" s="6" t="s">
        <v>28</v>
      </c>
      <c r="B28" s="7">
        <f>((((B8*B2)*(B7))*9)+((B8*B2)*(B7)*(1+D5/100))*3)</f>
        <v>1870830</v>
      </c>
      <c r="E28" s="6" t="s">
        <v>28</v>
      </c>
      <c r="F28" s="7">
        <f>(((($B$8*$B$2)*($B$7))*9)+(($B$8*$B$2)*($B$7)*(1+$C$5/100))*3)</f>
        <v>1863985.5</v>
      </c>
      <c r="I28" s="6" t="s">
        <v>28</v>
      </c>
      <c r="J28" s="7">
        <f>(((($B$8*$B$2)*($B$7))*9)+(($B$8*$B$2)*($B$7)*(1+$B$5/100))*3)</f>
        <v>1857141</v>
      </c>
    </row>
    <row r="29" spans="1:10" x14ac:dyDescent="0.2">
      <c r="A29" s="6" t="s">
        <v>29</v>
      </c>
      <c r="B29" s="7">
        <f>((((B8*B2)*(B7))*10)+((B8*B2)*(B7)*(1+D5/100))*2)</f>
        <v>1855620</v>
      </c>
      <c r="E29" s="6" t="s">
        <v>29</v>
      </c>
      <c r="F29" s="7">
        <f>(((($B$8*$B$2)*($B$7))*10)+(($B$8*$B$2)*($B$7)*(1+$C$5/100))*2)</f>
        <v>1851057</v>
      </c>
      <c r="I29" s="6" t="s">
        <v>29</v>
      </c>
      <c r="J29" s="7">
        <f>(((($B$8*$B$2)*($B$7))*10)+(($B$8*$B$2)*($B$7)*(1+$B$5/100))*2)</f>
        <v>1846494</v>
      </c>
    </row>
    <row r="30" spans="1:10" ht="17" thickBot="1" x14ac:dyDescent="0.25">
      <c r="A30" s="8" t="s">
        <v>30</v>
      </c>
      <c r="B30" s="9">
        <f>((((B8*B2)*(B7))*11)+((B8*B2)*(B7)*(1+D5/100))*1)</f>
        <v>1840410</v>
      </c>
      <c r="E30" s="8" t="s">
        <v>30</v>
      </c>
      <c r="F30" s="9">
        <f>(((($B$8*$B$2)*($B$7))*11)+(($B$8*$B$2)*($B$7)*(1+$C$5/100))*1)</f>
        <v>1838128.5</v>
      </c>
      <c r="I30" s="8" t="s">
        <v>30</v>
      </c>
      <c r="J30" s="9">
        <f>(((($B$8*$B$2)*($B$7))*11)+(($B$8*$B$2)*($B$7)*(1+$B$5/100))*1)</f>
        <v>1835847</v>
      </c>
    </row>
    <row r="31" spans="1:10" ht="17" thickBot="1" x14ac:dyDescent="0.25">
      <c r="A31" s="12" t="s">
        <v>36</v>
      </c>
      <c r="B31" s="13">
        <f>AVERAGE(B24:B30)</f>
        <v>1862138.5714285714</v>
      </c>
      <c r="E31" s="12" t="s">
        <v>36</v>
      </c>
      <c r="F31" s="13">
        <f>AVERAGE(F24:F30)</f>
        <v>1876914</v>
      </c>
      <c r="I31" s="12" t="s">
        <v>36</v>
      </c>
      <c r="J31" s="13">
        <f>AVERAGE(J24:J30)</f>
        <v>1867788</v>
      </c>
    </row>
    <row r="32" spans="1:10" x14ac:dyDescent="0.2">
      <c r="B32">
        <f>B31*B10</f>
        <v>1955245.5</v>
      </c>
      <c r="F32">
        <f>F31*B10</f>
        <v>1970759.7000000002</v>
      </c>
      <c r="J32">
        <f>J31*B10</f>
        <v>1961177.4000000001</v>
      </c>
    </row>
    <row r="37" spans="1:10" ht="17" thickBot="1" x14ac:dyDescent="0.25">
      <c r="A37" s="2" t="s">
        <v>20</v>
      </c>
      <c r="B37" s="3">
        <v>2024</v>
      </c>
      <c r="E37" s="10" t="s">
        <v>44</v>
      </c>
      <c r="F37" s="3">
        <v>2024</v>
      </c>
      <c r="I37" s="10" t="s">
        <v>44</v>
      </c>
      <c r="J37" s="3">
        <v>2024</v>
      </c>
    </row>
    <row r="38" spans="1:10" ht="17" thickBot="1" x14ac:dyDescent="0.25">
      <c r="A38" s="4" t="s">
        <v>24</v>
      </c>
      <c r="B38" s="5">
        <f>($B$2*$B$8)*(($B$11*5)+(($B$11*(1+($D$5/100)))*7))</f>
        <v>2170231.2450000001</v>
      </c>
      <c r="E38" s="4" t="s">
        <v>24</v>
      </c>
      <c r="F38" s="5">
        <f>($B$2*$B$8)*(($B$11*5)+(($B$11*(1+($C$5/100)))*7))</f>
        <v>2152288.3882500003</v>
      </c>
      <c r="I38" s="4" t="s">
        <v>24</v>
      </c>
      <c r="J38" s="5">
        <f>($B$2*$B$8)*(($B$11*5)+(($B$11*(1+($B$5/100)))*7))</f>
        <v>2134345.5315</v>
      </c>
    </row>
    <row r="39" spans="1:10" ht="17" thickBot="1" x14ac:dyDescent="0.25">
      <c r="A39" s="6" t="s">
        <v>25</v>
      </c>
      <c r="B39" s="5">
        <f>($B$2*$B$8)*(($B$11*6)+($B$11*(1+($D$5/100)))*7)</f>
        <v>2341115.5950000002</v>
      </c>
      <c r="E39" s="6" t="s">
        <v>25</v>
      </c>
      <c r="F39" s="5">
        <f>($B$2*$B$8)*(($B$11*6)+($B$11*(1+($C$5/100)))*7)</f>
        <v>2323172.7382499999</v>
      </c>
      <c r="I39" s="6" t="s">
        <v>25</v>
      </c>
      <c r="J39" s="5">
        <f>($B$2*$B$8)*(($B$11*6)+($B$11*(1+($B$5/100)))*7)</f>
        <v>2305229.8815000001</v>
      </c>
    </row>
    <row r="40" spans="1:10" ht="17" thickBot="1" x14ac:dyDescent="0.25">
      <c r="A40" s="6" t="s">
        <v>26</v>
      </c>
      <c r="B40" s="5">
        <f>($B$2*$B$8)*(($B$11*7)+(($B$11*(1+($D$5/100)))*5))</f>
        <v>2136054.375</v>
      </c>
      <c r="E40" s="6" t="s">
        <v>26</v>
      </c>
      <c r="F40" s="5">
        <f>($B$2*$B$8)*(($B$11*7)+(($B$11*(1+($C$5/100)))*5))</f>
        <v>2123238.0487500001</v>
      </c>
      <c r="I40" s="6" t="s">
        <v>26</v>
      </c>
      <c r="J40" s="5">
        <f>($B$2*$B$8)*(($B$11*7)+(($B$11*(1+($B$5/100)))*5))</f>
        <v>2110421.7225000001</v>
      </c>
    </row>
    <row r="41" spans="1:10" ht="17" thickBot="1" x14ac:dyDescent="0.25">
      <c r="A41" s="6" t="s">
        <v>27</v>
      </c>
      <c r="B41" s="5">
        <f>($B$2*$B$8)*(($B$11*8)+(($B$11*(1+($D$5/100)))*4))</f>
        <v>2118965.94</v>
      </c>
      <c r="E41" s="6" t="s">
        <v>27</v>
      </c>
      <c r="F41" s="5">
        <f>($B$2*$B$8)*(($B$11*8)+(($B$11*(1+($C$5/100)))*4))</f>
        <v>2108712.8790000002</v>
      </c>
      <c r="I41" s="6" t="s">
        <v>27</v>
      </c>
      <c r="J41" s="5">
        <f>($B$2*$B$8)*(($B$11*8)+(($B$11*(1+($B$5/100)))*4))</f>
        <v>2098459.8180000004</v>
      </c>
    </row>
    <row r="42" spans="1:10" ht="17" thickBot="1" x14ac:dyDescent="0.25">
      <c r="A42" s="6" t="s">
        <v>28</v>
      </c>
      <c r="B42" s="5">
        <f>($B$2*$B$8)*(($B$11*9)+(($B$11*(1+($D$5/100)))*3))</f>
        <v>2101877.5049999999</v>
      </c>
      <c r="E42" s="6" t="s">
        <v>28</v>
      </c>
      <c r="F42" s="5">
        <f>($B$2*$B$8)*(($B$11*9)+(($B$11*(1+($C$5/100)))*3))</f>
        <v>2094187.7092500001</v>
      </c>
      <c r="I42" s="6" t="s">
        <v>28</v>
      </c>
      <c r="J42" s="5">
        <f>($B$2*$B$8)*(($B$11*9)+(($B$11*(1+($B$5/100)))*3))</f>
        <v>2086497.9135000003</v>
      </c>
    </row>
    <row r="43" spans="1:10" ht="17" thickBot="1" x14ac:dyDescent="0.25">
      <c r="A43" s="6" t="s">
        <v>29</v>
      </c>
      <c r="B43" s="5">
        <f>($B$2*$B$8)*(($B$11*10)+(($B$11*(1+($D$5/100)))*2))</f>
        <v>2084789.07</v>
      </c>
      <c r="E43" s="6" t="s">
        <v>29</v>
      </c>
      <c r="F43" s="5">
        <f>($B$2*$B$8)*(($B$11*10)+(($B$11*(1+($C$5/100)))*2))</f>
        <v>2079662.5395000002</v>
      </c>
      <c r="I43" s="6" t="s">
        <v>29</v>
      </c>
      <c r="J43" s="5">
        <f>($B$2*$B$8)*(($B$11*10)+(($B$11*(1+($B$5/100)))*2))</f>
        <v>2074536.0090000003</v>
      </c>
    </row>
    <row r="44" spans="1:10" ht="17" thickBot="1" x14ac:dyDescent="0.25">
      <c r="A44" s="8" t="s">
        <v>30</v>
      </c>
      <c r="B44" s="5">
        <f>($B$2*$B$8)*(($B$11*11)+(($B$11*(1+($D$5/100)))*1))</f>
        <v>2067700.6350000002</v>
      </c>
      <c r="E44" s="8" t="s">
        <v>30</v>
      </c>
      <c r="F44" s="5">
        <f>($B$2*$B$8)*(($B$11*11)+(($B$11*(1+($C$5/100)))*1))</f>
        <v>2065137.3697500001</v>
      </c>
      <c r="I44" s="8" t="s">
        <v>30</v>
      </c>
      <c r="J44" s="5">
        <f>($B$2*$B$8)*(($B$11*11)+(($B$11*(1+($B$5/100)))*1))</f>
        <v>2062574.1045000001</v>
      </c>
    </row>
    <row r="45" spans="1:10" ht="17" thickBot="1" x14ac:dyDescent="0.25">
      <c r="A45" s="12" t="s">
        <v>36</v>
      </c>
      <c r="B45" s="13">
        <f>AVERAGE(B38:B44)</f>
        <v>2145819.1949999998</v>
      </c>
      <c r="E45" s="12" t="s">
        <v>36</v>
      </c>
      <c r="F45" s="13">
        <f>AVERAGE(F38:F44)</f>
        <v>2135199.9532499998</v>
      </c>
      <c r="I45" s="12" t="s">
        <v>36</v>
      </c>
      <c r="J45" s="13">
        <f>AVERAGE(J38:J44)</f>
        <v>2124580.7114999997</v>
      </c>
    </row>
    <row r="46" spans="1:10" x14ac:dyDescent="0.2">
      <c r="B46">
        <f>B45*C10</f>
        <v>2317484.7305999999</v>
      </c>
      <c r="F46">
        <f>F45*$C$10</f>
        <v>2306015.9495099997</v>
      </c>
      <c r="J46">
        <f>J45*$C$10</f>
        <v>2294547.16842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Відповідь</vt:lpstr>
      <vt:lpstr>Піддон Експортний UIC</vt:lpstr>
      <vt:lpstr>Піддон посилений євро 2023</vt:lpstr>
      <vt:lpstr>Піддон полегшений 2023</vt:lpstr>
      <vt:lpstr>Modern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 Toporovska</dc:creator>
  <cp:lastModifiedBy>Viktoriia Toporovska</cp:lastModifiedBy>
  <dcterms:created xsi:type="dcterms:W3CDTF">2024-04-29T12:45:03Z</dcterms:created>
  <dcterms:modified xsi:type="dcterms:W3CDTF">2024-04-29T16:35:55Z</dcterms:modified>
</cp:coreProperties>
</file>