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J:\Projetos\streamlit_projectmulti\"/>
    </mc:Choice>
  </mc:AlternateContent>
  <xr:revisionPtr revIDLastSave="0" documentId="13_ncr:1_{DCBCE780-512A-4877-AF67-25FA3241A584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Escalacao" sheetId="3" r:id="rId1"/>
    <sheet name="JOGOS BASE" sheetId="5" r:id="rId2"/>
    <sheet name="Cartoes" sheetId="6" r:id="rId3"/>
    <sheet name="Substituicoes" sheetId="4" r:id="rId4"/>
    <sheet name="Gols" sheetId="7" r:id="rId5"/>
  </sheets>
  <definedNames>
    <definedName name="_xlnm._FilterDatabase" localSheetId="0" hidden="1">Escalacao!$A$1:$M$1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2" i="3" l="1"/>
  <c r="L62" i="3" s="1"/>
  <c r="N27" i="4"/>
  <c r="M27" i="4"/>
  <c r="L27" i="4"/>
  <c r="I27" i="4"/>
  <c r="K27" i="4" s="1"/>
  <c r="H27" i="4"/>
  <c r="J27" i="4" s="1"/>
  <c r="G27" i="4"/>
  <c r="R27" i="4" s="1"/>
  <c r="R26" i="4"/>
  <c r="N26" i="4"/>
  <c r="Q26" i="4" s="1"/>
  <c r="M26" i="4"/>
  <c r="L26" i="4"/>
  <c r="K26" i="4"/>
  <c r="I26" i="4"/>
  <c r="H26" i="4"/>
  <c r="J26" i="4" s="1"/>
  <c r="G26" i="4"/>
  <c r="O25" i="4"/>
  <c r="N25" i="4"/>
  <c r="R25" i="4" s="1"/>
  <c r="M25" i="4"/>
  <c r="L25" i="4"/>
  <c r="I25" i="4"/>
  <c r="K25" i="4" s="1"/>
  <c r="H25" i="4"/>
  <c r="J25" i="4" s="1"/>
  <c r="G25" i="4"/>
  <c r="N24" i="4"/>
  <c r="R24" i="4" s="1"/>
  <c r="M24" i="4"/>
  <c r="L24" i="4"/>
  <c r="I24" i="4"/>
  <c r="K24" i="4" s="1"/>
  <c r="H24" i="4"/>
  <c r="J24" i="4" s="1"/>
  <c r="G24" i="4"/>
  <c r="N23" i="4"/>
  <c r="Q23" i="4" s="1"/>
  <c r="M23" i="4"/>
  <c r="L23" i="4"/>
  <c r="I23" i="4"/>
  <c r="K23" i="4" s="1"/>
  <c r="H23" i="4"/>
  <c r="J23" i="4" s="1"/>
  <c r="G23" i="4"/>
  <c r="R23" i="4" s="1"/>
  <c r="N22" i="4"/>
  <c r="R22" i="4" s="1"/>
  <c r="M22" i="4"/>
  <c r="L22" i="4"/>
  <c r="I22" i="4"/>
  <c r="K22" i="4" s="1"/>
  <c r="H22" i="4"/>
  <c r="J22" i="4" s="1"/>
  <c r="G22" i="4"/>
  <c r="J19" i="6"/>
  <c r="J18" i="6"/>
  <c r="J17" i="6"/>
  <c r="J16" i="6"/>
  <c r="K16" i="6" s="1"/>
  <c r="J15" i="6"/>
  <c r="K15" i="6" s="1"/>
  <c r="M15" i="6" s="1"/>
  <c r="J14" i="6"/>
  <c r="G19" i="6"/>
  <c r="G18" i="6"/>
  <c r="G17" i="6"/>
  <c r="G16" i="6"/>
  <c r="G15" i="6"/>
  <c r="G14" i="6"/>
  <c r="Q117" i="3"/>
  <c r="J117" i="3"/>
  <c r="I117" i="3"/>
  <c r="Q116" i="3"/>
  <c r="J116" i="3"/>
  <c r="I116" i="3"/>
  <c r="Q115" i="3"/>
  <c r="J115" i="3"/>
  <c r="I115" i="3"/>
  <c r="Q114" i="3"/>
  <c r="J114" i="3"/>
  <c r="I114" i="3"/>
  <c r="Q113" i="3"/>
  <c r="J113" i="3"/>
  <c r="I113" i="3"/>
  <c r="Q112" i="3"/>
  <c r="J112" i="3"/>
  <c r="I112" i="3"/>
  <c r="Q111" i="3"/>
  <c r="J111" i="3"/>
  <c r="I111" i="3"/>
  <c r="Q110" i="3"/>
  <c r="J110" i="3"/>
  <c r="I110" i="3"/>
  <c r="Q109" i="3"/>
  <c r="J109" i="3"/>
  <c r="I109" i="3"/>
  <c r="Q108" i="3"/>
  <c r="J108" i="3"/>
  <c r="I108" i="3"/>
  <c r="Q107" i="3"/>
  <c r="J107" i="3"/>
  <c r="I107" i="3"/>
  <c r="Q106" i="3"/>
  <c r="J106" i="3"/>
  <c r="I106" i="3"/>
  <c r="Q105" i="3"/>
  <c r="J105" i="3"/>
  <c r="I105" i="3"/>
  <c r="Q104" i="3"/>
  <c r="J104" i="3"/>
  <c r="I104" i="3"/>
  <c r="Q103" i="3"/>
  <c r="J103" i="3"/>
  <c r="I103" i="3"/>
  <c r="Q102" i="3"/>
  <c r="J102" i="3"/>
  <c r="I102" i="3"/>
  <c r="Q101" i="3"/>
  <c r="J101" i="3"/>
  <c r="I101" i="3"/>
  <c r="R100" i="3"/>
  <c r="Q100" i="3"/>
  <c r="J100" i="3"/>
  <c r="I100" i="3"/>
  <c r="Q99" i="3"/>
  <c r="J99" i="3"/>
  <c r="I99" i="3"/>
  <c r="Q98" i="3"/>
  <c r="J98" i="3"/>
  <c r="I98" i="3"/>
  <c r="Q97" i="3"/>
  <c r="J97" i="3"/>
  <c r="I97" i="3"/>
  <c r="Q96" i="3"/>
  <c r="J96" i="3"/>
  <c r="I96" i="3"/>
  <c r="Q95" i="3"/>
  <c r="J95" i="3"/>
  <c r="I95" i="3"/>
  <c r="Q94" i="3"/>
  <c r="J94" i="3"/>
  <c r="I94" i="3"/>
  <c r="Q93" i="3"/>
  <c r="J93" i="3"/>
  <c r="I93" i="3"/>
  <c r="Q92" i="3"/>
  <c r="J92" i="3"/>
  <c r="I92" i="3"/>
  <c r="Q91" i="3"/>
  <c r="J91" i="3"/>
  <c r="I91" i="3"/>
  <c r="Q90" i="3"/>
  <c r="J90" i="3"/>
  <c r="I90" i="3"/>
  <c r="Q89" i="3"/>
  <c r="J89" i="3"/>
  <c r="I89" i="3"/>
  <c r="Q88" i="3"/>
  <c r="J88" i="3"/>
  <c r="I88" i="3"/>
  <c r="H4" i="5"/>
  <c r="R115" i="3" s="1"/>
  <c r="J13" i="6"/>
  <c r="J12" i="6"/>
  <c r="J11" i="6"/>
  <c r="J10" i="6"/>
  <c r="J9" i="6"/>
  <c r="J8" i="6"/>
  <c r="J7" i="6"/>
  <c r="J6" i="6"/>
  <c r="J5" i="6"/>
  <c r="K5" i="6" s="1"/>
  <c r="G13" i="6"/>
  <c r="G12" i="6"/>
  <c r="G11" i="6"/>
  <c r="G10" i="6"/>
  <c r="G9" i="6"/>
  <c r="G8" i="6"/>
  <c r="G7" i="6"/>
  <c r="G6" i="6"/>
  <c r="G5" i="6"/>
  <c r="H3" i="5"/>
  <c r="R60" i="3" s="1"/>
  <c r="R87" i="3"/>
  <c r="Q87" i="3"/>
  <c r="J87" i="3"/>
  <c r="I87" i="3"/>
  <c r="R86" i="3"/>
  <c r="Q86" i="3"/>
  <c r="J86" i="3"/>
  <c r="I86" i="3"/>
  <c r="R85" i="3"/>
  <c r="Q85" i="3"/>
  <c r="J85" i="3"/>
  <c r="I85" i="3"/>
  <c r="R84" i="3"/>
  <c r="Q84" i="3"/>
  <c r="J84" i="3"/>
  <c r="I84" i="3"/>
  <c r="R83" i="3"/>
  <c r="Q83" i="3"/>
  <c r="J83" i="3"/>
  <c r="I83" i="3"/>
  <c r="R82" i="3"/>
  <c r="Q82" i="3"/>
  <c r="J82" i="3"/>
  <c r="I82" i="3"/>
  <c r="R81" i="3"/>
  <c r="Q81" i="3"/>
  <c r="J81" i="3"/>
  <c r="I81" i="3"/>
  <c r="R80" i="3"/>
  <c r="Q80" i="3"/>
  <c r="J80" i="3"/>
  <c r="I80" i="3"/>
  <c r="R79" i="3"/>
  <c r="Q79" i="3"/>
  <c r="J79" i="3"/>
  <c r="I79" i="3"/>
  <c r="R78" i="3"/>
  <c r="Q78" i="3"/>
  <c r="J78" i="3"/>
  <c r="I78" i="3"/>
  <c r="R77" i="3"/>
  <c r="Q77" i="3"/>
  <c r="J77" i="3"/>
  <c r="I77" i="3"/>
  <c r="R76" i="3"/>
  <c r="Q76" i="3"/>
  <c r="J76" i="3"/>
  <c r="I76" i="3"/>
  <c r="R75" i="3"/>
  <c r="Q75" i="3"/>
  <c r="J75" i="3"/>
  <c r="I75" i="3"/>
  <c r="R74" i="3"/>
  <c r="Q74" i="3"/>
  <c r="J74" i="3"/>
  <c r="I74" i="3"/>
  <c r="R73" i="3"/>
  <c r="Q73" i="3"/>
  <c r="J73" i="3"/>
  <c r="I73" i="3"/>
  <c r="R72" i="3"/>
  <c r="Q72" i="3"/>
  <c r="J72" i="3"/>
  <c r="I72" i="3"/>
  <c r="R71" i="3"/>
  <c r="Q71" i="3"/>
  <c r="J71" i="3"/>
  <c r="I71" i="3"/>
  <c r="R70" i="3"/>
  <c r="Q70" i="3"/>
  <c r="J70" i="3"/>
  <c r="I70" i="3"/>
  <c r="R69" i="3"/>
  <c r="Q69" i="3"/>
  <c r="J69" i="3"/>
  <c r="I69" i="3"/>
  <c r="R68" i="3"/>
  <c r="Q68" i="3"/>
  <c r="J68" i="3"/>
  <c r="I68" i="3"/>
  <c r="R67" i="3"/>
  <c r="Q67" i="3"/>
  <c r="J67" i="3"/>
  <c r="I67" i="3"/>
  <c r="R66" i="3"/>
  <c r="Q66" i="3"/>
  <c r="J66" i="3"/>
  <c r="I66" i="3"/>
  <c r="R65" i="3"/>
  <c r="Q65" i="3"/>
  <c r="J65" i="3"/>
  <c r="I65" i="3"/>
  <c r="R64" i="3"/>
  <c r="Q64" i="3"/>
  <c r="J64" i="3"/>
  <c r="I64" i="3"/>
  <c r="R63" i="3"/>
  <c r="Q63" i="3"/>
  <c r="J63" i="3"/>
  <c r="I63" i="3"/>
  <c r="R62" i="3"/>
  <c r="Q62" i="3"/>
  <c r="I62" i="3"/>
  <c r="R61" i="3"/>
  <c r="Q61" i="3"/>
  <c r="J61" i="3"/>
  <c r="I61" i="3"/>
  <c r="Q60" i="3"/>
  <c r="J60" i="3"/>
  <c r="I60" i="3"/>
  <c r="Q59" i="3"/>
  <c r="J59" i="3"/>
  <c r="I59" i="3"/>
  <c r="Q58" i="3"/>
  <c r="J58" i="3"/>
  <c r="I58" i="3"/>
  <c r="R57" i="3"/>
  <c r="Q57" i="3"/>
  <c r="J57" i="3"/>
  <c r="I57" i="3"/>
  <c r="R56" i="3"/>
  <c r="Q56" i="3"/>
  <c r="J56" i="3"/>
  <c r="I56" i="3"/>
  <c r="Q55" i="3"/>
  <c r="J55" i="3"/>
  <c r="I55" i="3"/>
  <c r="Q54" i="3"/>
  <c r="J54" i="3"/>
  <c r="I54" i="3"/>
  <c r="R53" i="3"/>
  <c r="Q53" i="3"/>
  <c r="J53" i="3"/>
  <c r="I53" i="3"/>
  <c r="R52" i="3"/>
  <c r="Q52" i="3"/>
  <c r="J52" i="3"/>
  <c r="I52" i="3"/>
  <c r="Q51" i="3"/>
  <c r="J51" i="3"/>
  <c r="I51" i="3"/>
  <c r="Q50" i="3"/>
  <c r="J50" i="3"/>
  <c r="I50" i="3"/>
  <c r="R49" i="3"/>
  <c r="Q49" i="3"/>
  <c r="J49" i="3"/>
  <c r="I49" i="3"/>
  <c r="R48" i="3"/>
  <c r="Q48" i="3"/>
  <c r="J48" i="3"/>
  <c r="I48" i="3"/>
  <c r="R47" i="3"/>
  <c r="Q47" i="3"/>
  <c r="J47" i="3"/>
  <c r="I47" i="3"/>
  <c r="Q46" i="3"/>
  <c r="J46" i="3"/>
  <c r="I46" i="3"/>
  <c r="R45" i="3"/>
  <c r="N13" i="6" s="1"/>
  <c r="Q45" i="3"/>
  <c r="J45" i="3"/>
  <c r="I45" i="3"/>
  <c r="N21" i="4"/>
  <c r="R21" i="4" s="1"/>
  <c r="M21" i="4"/>
  <c r="L21" i="4"/>
  <c r="I21" i="4"/>
  <c r="K21" i="4" s="1"/>
  <c r="H21" i="4"/>
  <c r="J21" i="4" s="1"/>
  <c r="G21" i="4"/>
  <c r="N20" i="4"/>
  <c r="R20" i="4" s="1"/>
  <c r="M20" i="4"/>
  <c r="L20" i="4"/>
  <c r="I20" i="4"/>
  <c r="K20" i="4" s="1"/>
  <c r="H20" i="4"/>
  <c r="J20" i="4" s="1"/>
  <c r="G20" i="4"/>
  <c r="N19" i="4"/>
  <c r="R19" i="4" s="1"/>
  <c r="M19" i="4"/>
  <c r="L19" i="4"/>
  <c r="I19" i="4"/>
  <c r="K19" i="4" s="1"/>
  <c r="H19" i="4"/>
  <c r="J19" i="4" s="1"/>
  <c r="G19" i="4"/>
  <c r="N18" i="4"/>
  <c r="R18" i="4" s="1"/>
  <c r="M18" i="4"/>
  <c r="L18" i="4"/>
  <c r="I18" i="4"/>
  <c r="K18" i="4" s="1"/>
  <c r="H18" i="4"/>
  <c r="J18" i="4" s="1"/>
  <c r="G18" i="4"/>
  <c r="N17" i="4"/>
  <c r="R17" i="4" s="1"/>
  <c r="M17" i="4"/>
  <c r="L17" i="4"/>
  <c r="I17" i="4"/>
  <c r="K17" i="4" s="1"/>
  <c r="H17" i="4"/>
  <c r="J17" i="4" s="1"/>
  <c r="G17" i="4"/>
  <c r="N16" i="4"/>
  <c r="R16" i="4" s="1"/>
  <c r="M16" i="4"/>
  <c r="L16" i="4"/>
  <c r="I16" i="4"/>
  <c r="K16" i="4" s="1"/>
  <c r="H16" i="4"/>
  <c r="J16" i="4" s="1"/>
  <c r="G16" i="4"/>
  <c r="N15" i="4"/>
  <c r="R15" i="4" s="1"/>
  <c r="M15" i="4"/>
  <c r="L15" i="4"/>
  <c r="I15" i="4"/>
  <c r="K15" i="4" s="1"/>
  <c r="H15" i="4"/>
  <c r="J15" i="4" s="1"/>
  <c r="G15" i="4"/>
  <c r="N14" i="4"/>
  <c r="R14" i="4" s="1"/>
  <c r="M14" i="4"/>
  <c r="L14" i="4"/>
  <c r="I14" i="4"/>
  <c r="K14" i="4" s="1"/>
  <c r="H14" i="4"/>
  <c r="J14" i="4" s="1"/>
  <c r="G14" i="4"/>
  <c r="N13" i="4"/>
  <c r="R13" i="4" s="1"/>
  <c r="M13" i="4"/>
  <c r="L13" i="4"/>
  <c r="I13" i="4"/>
  <c r="K13" i="4" s="1"/>
  <c r="H13" i="4"/>
  <c r="J13" i="4" s="1"/>
  <c r="G13" i="4"/>
  <c r="N12" i="4"/>
  <c r="R12" i="4" s="1"/>
  <c r="M12" i="4"/>
  <c r="L12" i="4"/>
  <c r="I12" i="4"/>
  <c r="K12" i="4" s="1"/>
  <c r="H12" i="4"/>
  <c r="J12" i="4" s="1"/>
  <c r="G12" i="4"/>
  <c r="R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2" i="3"/>
  <c r="N4" i="6" s="1"/>
  <c r="H2" i="5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2" i="3"/>
  <c r="J3" i="6"/>
  <c r="K3" i="6" s="1"/>
  <c r="M3" i="6" s="1"/>
  <c r="J4" i="6"/>
  <c r="K4" i="6" s="1"/>
  <c r="M4" i="6" s="1"/>
  <c r="J2" i="6"/>
  <c r="K2" i="6" s="1"/>
  <c r="M2" i="6" s="1"/>
  <c r="G4" i="6"/>
  <c r="G3" i="6"/>
  <c r="G2" i="6"/>
  <c r="G2" i="4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2" i="3"/>
  <c r="G3" i="4"/>
  <c r="G4" i="4"/>
  <c r="G5" i="4"/>
  <c r="G6" i="4"/>
  <c r="G7" i="4"/>
  <c r="G8" i="4"/>
  <c r="G9" i="4"/>
  <c r="G10" i="4"/>
  <c r="G11" i="4"/>
  <c r="M11" i="4"/>
  <c r="L11" i="4"/>
  <c r="M10" i="4"/>
  <c r="L10" i="4"/>
  <c r="M9" i="4"/>
  <c r="L9" i="4"/>
  <c r="M8" i="4"/>
  <c r="L8" i="4"/>
  <c r="M7" i="4"/>
  <c r="L7" i="4"/>
  <c r="M6" i="4"/>
  <c r="L6" i="4"/>
  <c r="M5" i="4"/>
  <c r="L5" i="4"/>
  <c r="M4" i="4"/>
  <c r="L4" i="4"/>
  <c r="M3" i="4"/>
  <c r="L3" i="4"/>
  <c r="M2" i="4"/>
  <c r="L2" i="4"/>
  <c r="I3" i="4"/>
  <c r="K3" i="4" s="1"/>
  <c r="I4" i="4"/>
  <c r="K4" i="4" s="1"/>
  <c r="I5" i="4"/>
  <c r="K5" i="4" s="1"/>
  <c r="I6" i="4"/>
  <c r="K6" i="4" s="1"/>
  <c r="I7" i="4"/>
  <c r="K7" i="4" s="1"/>
  <c r="I8" i="4"/>
  <c r="K8" i="4" s="1"/>
  <c r="I9" i="4"/>
  <c r="K9" i="4" s="1"/>
  <c r="I10" i="4"/>
  <c r="K10" i="4" s="1"/>
  <c r="I11" i="4"/>
  <c r="K11" i="4" s="1"/>
  <c r="I2" i="4"/>
  <c r="K2" i="4" s="1"/>
  <c r="H3" i="4"/>
  <c r="J3" i="4" s="1"/>
  <c r="H4" i="4"/>
  <c r="J4" i="4" s="1"/>
  <c r="H5" i="4"/>
  <c r="J5" i="4" s="1"/>
  <c r="H6" i="4"/>
  <c r="J6" i="4" s="1"/>
  <c r="H7" i="4"/>
  <c r="J7" i="4" s="1"/>
  <c r="H8" i="4"/>
  <c r="J8" i="4" s="1"/>
  <c r="H9" i="4"/>
  <c r="J9" i="4" s="1"/>
  <c r="H10" i="4"/>
  <c r="J10" i="4" s="1"/>
  <c r="H11" i="4"/>
  <c r="J11" i="4" s="1"/>
  <c r="H2" i="4"/>
  <c r="J2" i="4" s="1"/>
  <c r="N3" i="4"/>
  <c r="O3" i="4" s="1"/>
  <c r="N4" i="4"/>
  <c r="N5" i="4"/>
  <c r="O5" i="4" s="1"/>
  <c r="N6" i="4"/>
  <c r="N7" i="4"/>
  <c r="O7" i="4" s="1"/>
  <c r="N8" i="4"/>
  <c r="N9" i="4"/>
  <c r="N10" i="4"/>
  <c r="N11" i="4"/>
  <c r="O11" i="4" s="1"/>
  <c r="N2" i="4"/>
  <c r="R2" i="4" s="1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2" i="3"/>
  <c r="K17" i="6" l="1"/>
  <c r="K18" i="6"/>
  <c r="L18" i="6" s="1"/>
  <c r="K7" i="6"/>
  <c r="M7" i="6" s="1"/>
  <c r="K8" i="6"/>
  <c r="M8" i="6" s="1"/>
  <c r="K9" i="6"/>
  <c r="M9" i="6" s="1"/>
  <c r="K19" i="6"/>
  <c r="M19" i="6" s="1"/>
  <c r="K62" i="3"/>
  <c r="K6" i="6"/>
  <c r="M6" i="6" s="1"/>
  <c r="K10" i="6"/>
  <c r="M10" i="6" s="1"/>
  <c r="K11" i="6"/>
  <c r="L11" i="6" s="1"/>
  <c r="K12" i="6"/>
  <c r="L12" i="6" s="1"/>
  <c r="K13" i="6"/>
  <c r="M13" i="6" s="1"/>
  <c r="K14" i="6"/>
  <c r="L14" i="6" s="1"/>
  <c r="R96" i="3"/>
  <c r="R112" i="3"/>
  <c r="R92" i="3"/>
  <c r="R88" i="3"/>
  <c r="N16" i="6" s="1"/>
  <c r="R108" i="3"/>
  <c r="R104" i="3"/>
  <c r="R116" i="3"/>
  <c r="R89" i="3"/>
  <c r="R93" i="3"/>
  <c r="R97" i="3"/>
  <c r="R101" i="3"/>
  <c r="R105" i="3"/>
  <c r="R109" i="3"/>
  <c r="R113" i="3"/>
  <c r="R117" i="3"/>
  <c r="R90" i="3"/>
  <c r="R94" i="3"/>
  <c r="R98" i="3"/>
  <c r="R102" i="3"/>
  <c r="R106" i="3"/>
  <c r="R110" i="3"/>
  <c r="R114" i="3"/>
  <c r="R91" i="3"/>
  <c r="R95" i="3"/>
  <c r="R99" i="3"/>
  <c r="R103" i="3"/>
  <c r="R107" i="3"/>
  <c r="R111" i="3"/>
  <c r="N17" i="6"/>
  <c r="R46" i="3"/>
  <c r="R50" i="3"/>
  <c r="R54" i="3"/>
  <c r="R58" i="3"/>
  <c r="R51" i="3"/>
  <c r="R55" i="3"/>
  <c r="R59" i="3"/>
  <c r="N14" i="6"/>
  <c r="N15" i="6"/>
  <c r="Q27" i="4"/>
  <c r="O27" i="4"/>
  <c r="P27" i="4"/>
  <c r="O26" i="4"/>
  <c r="P26" i="4"/>
  <c r="P25" i="4"/>
  <c r="Q25" i="4"/>
  <c r="O24" i="4"/>
  <c r="P24" i="4"/>
  <c r="Q24" i="4"/>
  <c r="O23" i="4"/>
  <c r="P23" i="4"/>
  <c r="K106" i="3"/>
  <c r="K100" i="3"/>
  <c r="K97" i="3"/>
  <c r="K102" i="3"/>
  <c r="K67" i="3"/>
  <c r="K114" i="3"/>
  <c r="K108" i="3"/>
  <c r="K90" i="3"/>
  <c r="K105" i="3"/>
  <c r="K75" i="3"/>
  <c r="K59" i="3"/>
  <c r="K110" i="3"/>
  <c r="K92" i="3"/>
  <c r="K116" i="3"/>
  <c r="K113" i="3"/>
  <c r="K98" i="3"/>
  <c r="K89" i="3"/>
  <c r="K83" i="3"/>
  <c r="K51" i="3"/>
  <c r="L97" i="3"/>
  <c r="O97" i="3" s="1"/>
  <c r="L71" i="3"/>
  <c r="L78" i="3"/>
  <c r="L46" i="3"/>
  <c r="L67" i="3"/>
  <c r="L63" i="3"/>
  <c r="L114" i="3"/>
  <c r="L108" i="3"/>
  <c r="L90" i="3"/>
  <c r="L105" i="3"/>
  <c r="L99" i="3"/>
  <c r="L70" i="3"/>
  <c r="L59" i="3"/>
  <c r="L89" i="3"/>
  <c r="N89" i="3" s="1"/>
  <c r="L98" i="3"/>
  <c r="L51" i="3"/>
  <c r="L106" i="3"/>
  <c r="L87" i="3"/>
  <c r="L55" i="3"/>
  <c r="L83" i="3"/>
  <c r="L116" i="3"/>
  <c r="L92" i="3"/>
  <c r="L100" i="3"/>
  <c r="L113" i="3"/>
  <c r="L107" i="3"/>
  <c r="L79" i="3"/>
  <c r="L47" i="3"/>
  <c r="L115" i="3"/>
  <c r="L86" i="3"/>
  <c r="L54" i="3"/>
  <c r="L91" i="3"/>
  <c r="L75" i="3"/>
  <c r="K54" i="3"/>
  <c r="N54" i="3" s="1"/>
  <c r="L61" i="3"/>
  <c r="L68" i="3"/>
  <c r="K86" i="3"/>
  <c r="K94" i="3"/>
  <c r="K79" i="3"/>
  <c r="L109" i="3"/>
  <c r="L58" i="3"/>
  <c r="L65" i="3"/>
  <c r="L72" i="3"/>
  <c r="L104" i="3"/>
  <c r="K107" i="3"/>
  <c r="M62" i="3"/>
  <c r="L95" i="3"/>
  <c r="L69" i="3"/>
  <c r="K55" i="3"/>
  <c r="O55" i="3" s="1"/>
  <c r="K87" i="3"/>
  <c r="L110" i="3"/>
  <c r="L73" i="3"/>
  <c r="L101" i="3"/>
  <c r="L76" i="3"/>
  <c r="K48" i="3"/>
  <c r="L66" i="3"/>
  <c r="L80" i="3"/>
  <c r="K47" i="3"/>
  <c r="L45" i="3"/>
  <c r="K70" i="3"/>
  <c r="N70" i="3" s="1"/>
  <c r="L77" i="3"/>
  <c r="L84" i="3"/>
  <c r="L96" i="3"/>
  <c r="K99" i="3"/>
  <c r="L52" i="3"/>
  <c r="K63" i="3"/>
  <c r="K56" i="3"/>
  <c r="L74" i="3"/>
  <c r="K49" i="3"/>
  <c r="L81" i="3"/>
  <c r="L102" i="3"/>
  <c r="L111" i="3"/>
  <c r="O22" i="4"/>
  <c r="L103" i="3"/>
  <c r="K46" i="3"/>
  <c r="L60" i="3"/>
  <c r="K78" i="3"/>
  <c r="L85" i="3"/>
  <c r="L93" i="3"/>
  <c r="L117" i="3"/>
  <c r="P22" i="4"/>
  <c r="L53" i="3"/>
  <c r="K71" i="3"/>
  <c r="Q22" i="4"/>
  <c r="L50" i="3"/>
  <c r="L57" i="3"/>
  <c r="L64" i="3"/>
  <c r="L82" i="3"/>
  <c r="L88" i="3"/>
  <c r="K91" i="3"/>
  <c r="L112" i="3"/>
  <c r="K115" i="3"/>
  <c r="M18" i="6"/>
  <c r="M17" i="6"/>
  <c r="L17" i="6"/>
  <c r="M16" i="6"/>
  <c r="L16" i="6"/>
  <c r="L15" i="6"/>
  <c r="L94" i="3"/>
  <c r="K88" i="3"/>
  <c r="K96" i="3"/>
  <c r="K104" i="3"/>
  <c r="K112" i="3"/>
  <c r="K93" i="3"/>
  <c r="K101" i="3"/>
  <c r="K109" i="3"/>
  <c r="K117" i="3"/>
  <c r="K95" i="3"/>
  <c r="K103" i="3"/>
  <c r="K111" i="3"/>
  <c r="N6" i="6"/>
  <c r="N7" i="6"/>
  <c r="N8" i="6"/>
  <c r="N9" i="6"/>
  <c r="N10" i="6"/>
  <c r="N11" i="6"/>
  <c r="N12" i="6"/>
  <c r="N5" i="6"/>
  <c r="M5" i="6"/>
  <c r="L5" i="6"/>
  <c r="K64" i="3"/>
  <c r="K72" i="3"/>
  <c r="K80" i="3"/>
  <c r="K53" i="3"/>
  <c r="K61" i="3"/>
  <c r="K69" i="3"/>
  <c r="K77" i="3"/>
  <c r="K85" i="3"/>
  <c r="L56" i="3"/>
  <c r="K45" i="3"/>
  <c r="K50" i="3"/>
  <c r="K58" i="3"/>
  <c r="K66" i="3"/>
  <c r="K74" i="3"/>
  <c r="K82" i="3"/>
  <c r="L48" i="3"/>
  <c r="K52" i="3"/>
  <c r="K60" i="3"/>
  <c r="K68" i="3"/>
  <c r="K76" i="3"/>
  <c r="K84" i="3"/>
  <c r="K57" i="3"/>
  <c r="K65" i="3"/>
  <c r="K73" i="3"/>
  <c r="K81" i="3"/>
  <c r="L49" i="3"/>
  <c r="O21" i="4"/>
  <c r="P21" i="4"/>
  <c r="Q21" i="4"/>
  <c r="P20" i="4"/>
  <c r="Q20" i="4"/>
  <c r="O20" i="4"/>
  <c r="Q19" i="4"/>
  <c r="O19" i="4"/>
  <c r="P19" i="4"/>
  <c r="O18" i="4"/>
  <c r="P18" i="4"/>
  <c r="Q18" i="4"/>
  <c r="Q17" i="4"/>
  <c r="O17" i="4"/>
  <c r="P17" i="4"/>
  <c r="Q16" i="4"/>
  <c r="O16" i="4"/>
  <c r="P16" i="4"/>
  <c r="O15" i="4"/>
  <c r="P15" i="4"/>
  <c r="Q15" i="4"/>
  <c r="O14" i="4"/>
  <c r="Q14" i="4"/>
  <c r="P14" i="4"/>
  <c r="O13" i="4"/>
  <c r="P13" i="4"/>
  <c r="Q13" i="4"/>
  <c r="P12" i="4"/>
  <c r="O12" i="4"/>
  <c r="Q12" i="4"/>
  <c r="N3" i="6"/>
  <c r="N2" i="6"/>
  <c r="L2" i="6"/>
  <c r="L4" i="6"/>
  <c r="L3" i="6"/>
  <c r="Q10" i="4"/>
  <c r="P8" i="4"/>
  <c r="Q9" i="4"/>
  <c r="P4" i="4"/>
  <c r="R6" i="4"/>
  <c r="L11" i="3"/>
  <c r="Q7" i="4"/>
  <c r="R11" i="4"/>
  <c r="Q11" i="4"/>
  <c r="O8" i="4"/>
  <c r="P2" i="4"/>
  <c r="R7" i="4"/>
  <c r="P11" i="4"/>
  <c r="Q6" i="4"/>
  <c r="P6" i="4"/>
  <c r="O6" i="4"/>
  <c r="P7" i="4"/>
  <c r="R5" i="4"/>
  <c r="O4" i="4"/>
  <c r="K16" i="3"/>
  <c r="K40" i="3"/>
  <c r="K33" i="3"/>
  <c r="K10" i="3"/>
  <c r="K43" i="3"/>
  <c r="K8" i="3"/>
  <c r="K17" i="3"/>
  <c r="K26" i="3"/>
  <c r="K3" i="3"/>
  <c r="K27" i="3"/>
  <c r="K24" i="3"/>
  <c r="K9" i="3"/>
  <c r="K41" i="3"/>
  <c r="K18" i="3"/>
  <c r="K42" i="3"/>
  <c r="K11" i="3"/>
  <c r="K32" i="3"/>
  <c r="K35" i="3"/>
  <c r="K25" i="3"/>
  <c r="K34" i="3"/>
  <c r="K19" i="3"/>
  <c r="K4" i="3"/>
  <c r="L16" i="3"/>
  <c r="L17" i="3"/>
  <c r="L34" i="3"/>
  <c r="L32" i="3"/>
  <c r="L9" i="3"/>
  <c r="L42" i="3"/>
  <c r="L27" i="3"/>
  <c r="L24" i="3"/>
  <c r="L25" i="3"/>
  <c r="L10" i="3"/>
  <c r="L3" i="3"/>
  <c r="L35" i="3"/>
  <c r="L40" i="3"/>
  <c r="L33" i="3"/>
  <c r="L26" i="3"/>
  <c r="L8" i="3"/>
  <c r="L41" i="3"/>
  <c r="L18" i="3"/>
  <c r="L19" i="3"/>
  <c r="L43" i="3"/>
  <c r="L38" i="3"/>
  <c r="L15" i="3"/>
  <c r="O10" i="4"/>
  <c r="K23" i="3"/>
  <c r="R9" i="4"/>
  <c r="L6" i="3"/>
  <c r="K38" i="3"/>
  <c r="K30" i="3"/>
  <c r="K22" i="3"/>
  <c r="K14" i="3"/>
  <c r="K6" i="3"/>
  <c r="P9" i="4"/>
  <c r="P5" i="4"/>
  <c r="L23" i="3"/>
  <c r="K39" i="3"/>
  <c r="K7" i="3"/>
  <c r="L22" i="3"/>
  <c r="Q5" i="4"/>
  <c r="K2" i="3"/>
  <c r="L37" i="3"/>
  <c r="L29" i="3"/>
  <c r="L21" i="3"/>
  <c r="L13" i="3"/>
  <c r="L5" i="3"/>
  <c r="O9" i="4"/>
  <c r="L39" i="3"/>
  <c r="L7" i="3"/>
  <c r="K15" i="3"/>
  <c r="L30" i="3"/>
  <c r="L2" i="3"/>
  <c r="K37" i="3"/>
  <c r="K29" i="3"/>
  <c r="K21" i="3"/>
  <c r="K13" i="3"/>
  <c r="K5" i="3"/>
  <c r="O2" i="4"/>
  <c r="R8" i="4"/>
  <c r="R4" i="4"/>
  <c r="P10" i="4"/>
  <c r="L31" i="3"/>
  <c r="L14" i="3"/>
  <c r="L44" i="3"/>
  <c r="L36" i="3"/>
  <c r="L28" i="3"/>
  <c r="L20" i="3"/>
  <c r="L12" i="3"/>
  <c r="L4" i="3"/>
  <c r="Q2" i="4"/>
  <c r="Q8" i="4"/>
  <c r="Q4" i="4"/>
  <c r="R10" i="4"/>
  <c r="K31" i="3"/>
  <c r="K44" i="3"/>
  <c r="K36" i="3"/>
  <c r="K28" i="3"/>
  <c r="K20" i="3"/>
  <c r="K12" i="3"/>
  <c r="R3" i="4"/>
  <c r="Q3" i="4"/>
  <c r="P3" i="4"/>
  <c r="L7" i="6" l="1"/>
  <c r="O115" i="3"/>
  <c r="M110" i="3"/>
  <c r="L8" i="6"/>
  <c r="L10" i="6"/>
  <c r="M11" i="6"/>
  <c r="M106" i="3"/>
  <c r="N97" i="3"/>
  <c r="M89" i="3"/>
  <c r="L19" i="6"/>
  <c r="M12" i="6"/>
  <c r="M70" i="3"/>
  <c r="N75" i="3"/>
  <c r="L6" i="6"/>
  <c r="M14" i="6"/>
  <c r="L9" i="6"/>
  <c r="N48" i="3"/>
  <c r="N51" i="3"/>
  <c r="L13" i="6"/>
  <c r="N19" i="6"/>
  <c r="N18" i="6"/>
  <c r="O102" i="3"/>
  <c r="O54" i="3"/>
  <c r="M54" i="3"/>
  <c r="M87" i="3"/>
  <c r="O51" i="3"/>
  <c r="P51" i="3" s="1"/>
  <c r="M83" i="3"/>
  <c r="O71" i="3"/>
  <c r="M55" i="3"/>
  <c r="M114" i="3"/>
  <c r="N71" i="3"/>
  <c r="M78" i="3"/>
  <c r="O70" i="3"/>
  <c r="P70" i="3" s="1"/>
  <c r="O47" i="3"/>
  <c r="N55" i="3"/>
  <c r="P55" i="3" s="1"/>
  <c r="N106" i="3"/>
  <c r="M113" i="3"/>
  <c r="N87" i="3"/>
  <c r="N102" i="3"/>
  <c r="P102" i="3" s="1"/>
  <c r="O94" i="3"/>
  <c r="O63" i="3"/>
  <c r="N86" i="3"/>
  <c r="N67" i="3"/>
  <c r="N90" i="3"/>
  <c r="M67" i="3"/>
  <c r="N49" i="3"/>
  <c r="O87" i="3"/>
  <c r="N83" i="3"/>
  <c r="O46" i="3"/>
  <c r="O86" i="3"/>
  <c r="M86" i="3"/>
  <c r="N110" i="3"/>
  <c r="N62" i="3"/>
  <c r="N114" i="3"/>
  <c r="O75" i="3"/>
  <c r="P75" i="3" s="1"/>
  <c r="N63" i="3"/>
  <c r="O62" i="3"/>
  <c r="O110" i="3"/>
  <c r="M97" i="3"/>
  <c r="M75" i="3"/>
  <c r="M79" i="3"/>
  <c r="M99" i="3"/>
  <c r="O91" i="3"/>
  <c r="O105" i="3"/>
  <c r="O56" i="3"/>
  <c r="M71" i="3"/>
  <c r="M90" i="3"/>
  <c r="N46" i="3"/>
  <c r="N99" i="3"/>
  <c r="M46" i="3"/>
  <c r="O99" i="3"/>
  <c r="N79" i="3"/>
  <c r="M102" i="3"/>
  <c r="O67" i="3"/>
  <c r="M63" i="3"/>
  <c r="N113" i="3"/>
  <c r="N105" i="3"/>
  <c r="O79" i="3"/>
  <c r="N47" i="3"/>
  <c r="N94" i="3"/>
  <c r="M107" i="3"/>
  <c r="M115" i="3"/>
  <c r="O59" i="3"/>
  <c r="O98" i="3"/>
  <c r="O107" i="3"/>
  <c r="O113" i="3"/>
  <c r="O116" i="3"/>
  <c r="N116" i="3"/>
  <c r="M116" i="3"/>
  <c r="N107" i="3"/>
  <c r="O92" i="3"/>
  <c r="N92" i="3"/>
  <c r="M92" i="3"/>
  <c r="N78" i="3"/>
  <c r="N59" i="3"/>
  <c r="M59" i="3"/>
  <c r="O78" i="3"/>
  <c r="M56" i="3"/>
  <c r="N56" i="3"/>
  <c r="N115" i="3"/>
  <c r="P115" i="3" s="1"/>
  <c r="M105" i="3"/>
  <c r="N98" i="3"/>
  <c r="O90" i="3"/>
  <c r="M91" i="3"/>
  <c r="O108" i="3"/>
  <c r="N108" i="3"/>
  <c r="M108" i="3"/>
  <c r="M49" i="3"/>
  <c r="M47" i="3"/>
  <c r="N91" i="3"/>
  <c r="O114" i="3"/>
  <c r="M94" i="3"/>
  <c r="M51" i="3"/>
  <c r="M98" i="3"/>
  <c r="O83" i="3"/>
  <c r="O100" i="3"/>
  <c r="N100" i="3"/>
  <c r="M100" i="3"/>
  <c r="O89" i="3"/>
  <c r="P89" i="3" s="1"/>
  <c r="O106" i="3"/>
  <c r="O104" i="3"/>
  <c r="N104" i="3"/>
  <c r="M104" i="3"/>
  <c r="O88" i="3"/>
  <c r="N88" i="3"/>
  <c r="M88" i="3"/>
  <c r="N111" i="3"/>
  <c r="M111" i="3"/>
  <c r="O111" i="3"/>
  <c r="N103" i="3"/>
  <c r="M103" i="3"/>
  <c r="O103" i="3"/>
  <c r="N95" i="3"/>
  <c r="M95" i="3"/>
  <c r="O95" i="3"/>
  <c r="O117" i="3"/>
  <c r="N117" i="3"/>
  <c r="M117" i="3"/>
  <c r="O109" i="3"/>
  <c r="N109" i="3"/>
  <c r="M109" i="3"/>
  <c r="P97" i="3"/>
  <c r="O101" i="3"/>
  <c r="N101" i="3"/>
  <c r="M101" i="3"/>
  <c r="O93" i="3"/>
  <c r="N93" i="3"/>
  <c r="M93" i="3"/>
  <c r="O112" i="3"/>
  <c r="N112" i="3"/>
  <c r="M112" i="3"/>
  <c r="O96" i="3"/>
  <c r="N96" i="3"/>
  <c r="M96" i="3"/>
  <c r="P54" i="3"/>
  <c r="N65" i="3"/>
  <c r="M65" i="3"/>
  <c r="O65" i="3"/>
  <c r="O77" i="3"/>
  <c r="N77" i="3"/>
  <c r="M77" i="3"/>
  <c r="O69" i="3"/>
  <c r="N69" i="3"/>
  <c r="M69" i="3"/>
  <c r="O64" i="3"/>
  <c r="N64" i="3"/>
  <c r="M64" i="3"/>
  <c r="O76" i="3"/>
  <c r="N76" i="3"/>
  <c r="M76" i="3"/>
  <c r="O68" i="3"/>
  <c r="N68" i="3"/>
  <c r="M68" i="3"/>
  <c r="O53" i="3"/>
  <c r="N53" i="3"/>
  <c r="M53" i="3"/>
  <c r="M48" i="3"/>
  <c r="O52" i="3"/>
  <c r="N52" i="3"/>
  <c r="M52" i="3"/>
  <c r="O48" i="3"/>
  <c r="P48" i="3" s="1"/>
  <c r="O60" i="3"/>
  <c r="N60" i="3"/>
  <c r="M60" i="3"/>
  <c r="O82" i="3"/>
  <c r="N82" i="3"/>
  <c r="M82" i="3"/>
  <c r="O49" i="3"/>
  <c r="N73" i="3"/>
  <c r="M73" i="3"/>
  <c r="O73" i="3"/>
  <c r="O74" i="3"/>
  <c r="N74" i="3"/>
  <c r="M74" i="3"/>
  <c r="O61" i="3"/>
  <c r="N61" i="3"/>
  <c r="M61" i="3"/>
  <c r="N66" i="3"/>
  <c r="O66" i="3"/>
  <c r="M66" i="3"/>
  <c r="N57" i="3"/>
  <c r="M57" i="3"/>
  <c r="O57" i="3"/>
  <c r="N58" i="3"/>
  <c r="O58" i="3"/>
  <c r="M58" i="3"/>
  <c r="O80" i="3"/>
  <c r="N80" i="3"/>
  <c r="M80" i="3"/>
  <c r="O85" i="3"/>
  <c r="N85" i="3"/>
  <c r="M85" i="3"/>
  <c r="N50" i="3"/>
  <c r="O50" i="3"/>
  <c r="M50" i="3"/>
  <c r="O84" i="3"/>
  <c r="N84" i="3"/>
  <c r="M84" i="3"/>
  <c r="O45" i="3"/>
  <c r="N45" i="3"/>
  <c r="M45" i="3"/>
  <c r="O72" i="3"/>
  <c r="N72" i="3"/>
  <c r="M72" i="3"/>
  <c r="N81" i="3"/>
  <c r="M81" i="3"/>
  <c r="O81" i="3"/>
  <c r="N2" i="3"/>
  <c r="N22" i="3"/>
  <c r="N31" i="3"/>
  <c r="O31" i="3"/>
  <c r="M31" i="3"/>
  <c r="M5" i="3"/>
  <c r="N5" i="3"/>
  <c r="O5" i="3"/>
  <c r="O15" i="3"/>
  <c r="N15" i="3"/>
  <c r="M15" i="3"/>
  <c r="M17" i="3"/>
  <c r="O17" i="3"/>
  <c r="N17" i="3"/>
  <c r="N44" i="3"/>
  <c r="M44" i="3"/>
  <c r="O44" i="3"/>
  <c r="M11" i="3"/>
  <c r="O11" i="3"/>
  <c r="N11" i="3"/>
  <c r="N23" i="3"/>
  <c r="M23" i="3"/>
  <c r="O23" i="3"/>
  <c r="M18" i="3"/>
  <c r="O18" i="3"/>
  <c r="N18" i="3"/>
  <c r="M13" i="3"/>
  <c r="N13" i="3"/>
  <c r="O13" i="3"/>
  <c r="O21" i="3"/>
  <c r="M21" i="3"/>
  <c r="N21" i="3"/>
  <c r="O9" i="3"/>
  <c r="M9" i="3"/>
  <c r="N9" i="3"/>
  <c r="O29" i="3"/>
  <c r="M29" i="3"/>
  <c r="N29" i="3"/>
  <c r="M37" i="3"/>
  <c r="N37" i="3"/>
  <c r="O37" i="3"/>
  <c r="O12" i="3"/>
  <c r="M12" i="3"/>
  <c r="N14" i="3"/>
  <c r="M14" i="3"/>
  <c r="O14" i="3"/>
  <c r="M34" i="3"/>
  <c r="N34" i="3"/>
  <c r="O34" i="3"/>
  <c r="M22" i="3"/>
  <c r="N25" i="3"/>
  <c r="O25" i="3"/>
  <c r="M25" i="3"/>
  <c r="M33" i="3"/>
  <c r="N33" i="3"/>
  <c r="O33" i="3"/>
  <c r="N41" i="3"/>
  <c r="O41" i="3"/>
  <c r="M41" i="3"/>
  <c r="O7" i="3"/>
  <c r="M7" i="3"/>
  <c r="N7" i="3"/>
  <c r="O27" i="3"/>
  <c r="M27" i="3"/>
  <c r="N27" i="3"/>
  <c r="O39" i="3"/>
  <c r="N39" i="3"/>
  <c r="M39" i="3"/>
  <c r="O26" i="3"/>
  <c r="M26" i="3"/>
  <c r="N26" i="3"/>
  <c r="N12" i="3"/>
  <c r="M8" i="3"/>
  <c r="N8" i="3"/>
  <c r="O8" i="3"/>
  <c r="O6" i="3"/>
  <c r="N6" i="3"/>
  <c r="M6" i="3"/>
  <c r="O19" i="3"/>
  <c r="M19" i="3"/>
  <c r="N19" i="3"/>
  <c r="M10" i="3"/>
  <c r="O10" i="3"/>
  <c r="N10" i="3"/>
  <c r="N20" i="3"/>
  <c r="O20" i="3"/>
  <c r="M20" i="3"/>
  <c r="M28" i="3"/>
  <c r="N28" i="3"/>
  <c r="O28" i="3"/>
  <c r="N30" i="3"/>
  <c r="O30" i="3"/>
  <c r="M30" i="3"/>
  <c r="O35" i="3"/>
  <c r="M35" i="3"/>
  <c r="N35" i="3"/>
  <c r="O40" i="3"/>
  <c r="M40" i="3"/>
  <c r="N40" i="3"/>
  <c r="M42" i="3"/>
  <c r="O42" i="3"/>
  <c r="N42" i="3"/>
  <c r="M2" i="3"/>
  <c r="O2" i="3"/>
  <c r="O24" i="3"/>
  <c r="N24" i="3"/>
  <c r="M24" i="3"/>
  <c r="N3" i="3"/>
  <c r="M3" i="3"/>
  <c r="O3" i="3"/>
  <c r="O22" i="3"/>
  <c r="N4" i="3"/>
  <c r="M4" i="3"/>
  <c r="O4" i="3"/>
  <c r="N43" i="3"/>
  <c r="M43" i="3"/>
  <c r="O43" i="3"/>
  <c r="O36" i="3"/>
  <c r="M36" i="3"/>
  <c r="N36" i="3"/>
  <c r="N38" i="3"/>
  <c r="O38" i="3"/>
  <c r="M38" i="3"/>
  <c r="M32" i="3"/>
  <c r="N32" i="3"/>
  <c r="O32" i="3"/>
  <c r="M16" i="3"/>
  <c r="N16" i="3"/>
  <c r="O16" i="3"/>
  <c r="P67" i="3" l="1"/>
  <c r="P91" i="3"/>
  <c r="P71" i="3"/>
  <c r="P93" i="3"/>
  <c r="P83" i="3"/>
  <c r="P56" i="3"/>
  <c r="P46" i="3"/>
  <c r="P109" i="3"/>
  <c r="P92" i="3"/>
  <c r="P63" i="3"/>
  <c r="P88" i="3"/>
  <c r="P105" i="3"/>
  <c r="P106" i="3"/>
  <c r="P62" i="3"/>
  <c r="P90" i="3"/>
  <c r="P98" i="3"/>
  <c r="P100" i="3"/>
  <c r="P87" i="3"/>
  <c r="P110" i="3"/>
  <c r="P86" i="3"/>
  <c r="P94" i="3"/>
  <c r="P49" i="3"/>
  <c r="P47" i="3"/>
  <c r="P78" i="3"/>
  <c r="P101" i="3"/>
  <c r="P114" i="3"/>
  <c r="P79" i="3"/>
  <c r="P59" i="3"/>
  <c r="P117" i="3"/>
  <c r="P108" i="3"/>
  <c r="P107" i="3"/>
  <c r="P2" i="3"/>
  <c r="P84" i="3"/>
  <c r="P112" i="3"/>
  <c r="P113" i="3"/>
  <c r="P99" i="3"/>
  <c r="P104" i="3"/>
  <c r="P116" i="3"/>
  <c r="P95" i="3"/>
  <c r="P103" i="3"/>
  <c r="P111" i="3"/>
  <c r="P96" i="3"/>
  <c r="P53" i="3"/>
  <c r="P77" i="3"/>
  <c r="P82" i="3"/>
  <c r="P60" i="3"/>
  <c r="P76" i="3"/>
  <c r="P74" i="3"/>
  <c r="P52" i="3"/>
  <c r="P72" i="3"/>
  <c r="P68" i="3"/>
  <c r="P50" i="3"/>
  <c r="P66" i="3"/>
  <c r="P22" i="3"/>
  <c r="P61" i="3"/>
  <c r="P85" i="3"/>
  <c r="P64" i="3"/>
  <c r="P69" i="3"/>
  <c r="P45" i="3"/>
  <c r="P81" i="3"/>
  <c r="P80" i="3"/>
  <c r="P65" i="3"/>
  <c r="P57" i="3"/>
  <c r="P73" i="3"/>
  <c r="P58" i="3"/>
  <c r="P7" i="3"/>
  <c r="P36" i="3"/>
  <c r="P19" i="3"/>
  <c r="P27" i="3"/>
  <c r="P35" i="3"/>
  <c r="P21" i="3"/>
  <c r="P26" i="3"/>
  <c r="P17" i="3"/>
  <c r="P24" i="3"/>
  <c r="P15" i="3"/>
  <c r="P6" i="3"/>
  <c r="P18" i="3"/>
  <c r="P4" i="3"/>
  <c r="P20" i="3"/>
  <c r="P43" i="3"/>
  <c r="P10" i="3"/>
  <c r="P16" i="3"/>
  <c r="P34" i="3"/>
  <c r="P44" i="3"/>
  <c r="P32" i="3"/>
  <c r="P3" i="3"/>
  <c r="P14" i="3"/>
  <c r="P13" i="3"/>
  <c r="P30" i="3"/>
  <c r="P38" i="3"/>
  <c r="P8" i="3"/>
  <c r="P28" i="3"/>
  <c r="P41" i="3"/>
  <c r="P12" i="3"/>
  <c r="P37" i="3"/>
  <c r="P33" i="3"/>
  <c r="P5" i="3"/>
  <c r="P42" i="3"/>
  <c r="P29" i="3"/>
  <c r="P11" i="3"/>
  <c r="P23" i="3"/>
  <c r="P40" i="3"/>
  <c r="P39" i="3"/>
  <c r="P25" i="3"/>
  <c r="P9" i="3"/>
  <c r="P31" i="3"/>
</calcChain>
</file>

<file path=xl/sharedStrings.xml><?xml version="1.0" encoding="utf-8"?>
<sst xmlns="http://schemas.openxmlformats.org/spreadsheetml/2006/main" count="849" uniqueCount="384">
  <si>
    <t>CBF</t>
  </si>
  <si>
    <t>Fabricio</t>
  </si>
  <si>
    <t>Andre Penalva</t>
  </si>
  <si>
    <t>Negueba</t>
  </si>
  <si>
    <t>Felipinho</t>
  </si>
  <si>
    <t>Felipe Macena</t>
  </si>
  <si>
    <t>Lussandro</t>
  </si>
  <si>
    <t>Café</t>
  </si>
  <si>
    <t>Redson</t>
  </si>
  <si>
    <t>Max Maraba</t>
  </si>
  <si>
    <t>Pedro Zuccolo</t>
  </si>
  <si>
    <t>Xinayder</t>
  </si>
  <si>
    <t>Ruan</t>
  </si>
  <si>
    <t>Eduardo</t>
  </si>
  <si>
    <t>Fabio</t>
  </si>
  <si>
    <t>Cavi</t>
  </si>
  <si>
    <t>Nº</t>
  </si>
  <si>
    <t>Apelido</t>
  </si>
  <si>
    <t>Nome Completo</t>
  </si>
  <si>
    <t>T/R</t>
  </si>
  <si>
    <t>P/A</t>
  </si>
  <si>
    <t>Jr Conceiç ...</t>
  </si>
  <si>
    <t>Paulo Cesar Ferreira ...</t>
  </si>
  <si>
    <t>T(g)</t>
  </si>
  <si>
    <t>P</t>
  </si>
  <si>
    <t>Fabricio Conceicao S ...</t>
  </si>
  <si>
    <t>T</t>
  </si>
  <si>
    <t>Andre Lucas Matos Ga ...</t>
  </si>
  <si>
    <t>FELIPE</t>
  </si>
  <si>
    <t>Jose Felipe Almeida  ...</t>
  </si>
  <si>
    <t>Jeferson P ...</t>
  </si>
  <si>
    <t>Jeferson Daniel Pril ...</t>
  </si>
  <si>
    <t>Robson Piedade de Je ...</t>
  </si>
  <si>
    <t>Felipe dos Santos Fr ...</t>
  </si>
  <si>
    <t>Felipe de Souza Mace ...</t>
  </si>
  <si>
    <t>José Lussandro Souz ...</t>
  </si>
  <si>
    <t>Henrique S ...</t>
  </si>
  <si>
    <t>Jose Henrique Noguei ...</t>
  </si>
  <si>
    <t>Luis Felipe Firmino  ...</t>
  </si>
  <si>
    <t>Redson Travassos da  ...</t>
  </si>
  <si>
    <t>R(g)</t>
  </si>
  <si>
    <t>Maxilley do Nascimen ...</t>
  </si>
  <si>
    <t>R</t>
  </si>
  <si>
    <t>Raylson</t>
  </si>
  <si>
    <t>Raylson Ferreira Rib ...</t>
  </si>
  <si>
    <t>CARLOS</t>
  </si>
  <si>
    <t>Carlos Henrique Sant ...</t>
  </si>
  <si>
    <t>ADRIAN</t>
  </si>
  <si>
    <t>Adrian Sousa Oliveira</t>
  </si>
  <si>
    <t>Pedro Cardillofilho  ...</t>
  </si>
  <si>
    <t>Rhuan Xinayder Cruz  ...</t>
  </si>
  <si>
    <t>WYLDSON</t>
  </si>
  <si>
    <t>Wyldson Mateus Araú ...</t>
  </si>
  <si>
    <t>Ruan Eloy Salazar</t>
  </si>
  <si>
    <t>WESLEY CO</t>
  </si>
  <si>
    <t>Wesley Henrique Carv ...</t>
  </si>
  <si>
    <t>A</t>
  </si>
  <si>
    <t>Junior</t>
  </si>
  <si>
    <t>Sandys Junior Coelho ...</t>
  </si>
  <si>
    <t>ALAN</t>
  </si>
  <si>
    <t>Alan Silva da Costa</t>
  </si>
  <si>
    <t>JÔ</t>
  </si>
  <si>
    <t>Joshua de Souza Ribe ...</t>
  </si>
  <si>
    <t>Eduardo Henrique Sil ...</t>
  </si>
  <si>
    <t>Fabio Aguiar da Silva</t>
  </si>
  <si>
    <t>Carlos Vinicius de A ...</t>
  </si>
  <si>
    <t>Thiago Rosa</t>
  </si>
  <si>
    <t>Thiago Rosa da Conce ...</t>
  </si>
  <si>
    <t>JOÃO LENGE</t>
  </si>
  <si>
    <t>João Henrique Lenger</t>
  </si>
  <si>
    <t>Isaias</t>
  </si>
  <si>
    <t>Isaias dos Santos Vi ...</t>
  </si>
  <si>
    <t>Alan James</t>
  </si>
  <si>
    <t>Alan James Lins Barb ...</t>
  </si>
  <si>
    <t>STENCE</t>
  </si>
  <si>
    <t>Alan Matheus Stence</t>
  </si>
  <si>
    <t>Wendell</t>
  </si>
  <si>
    <t>Wendell Silva Santos ...</t>
  </si>
  <si>
    <t>Rhuan</t>
  </si>
  <si>
    <t>Rhuan dos Santos Nas ...</t>
  </si>
  <si>
    <t>GALVÃO</t>
  </si>
  <si>
    <t>Mateus Vieira Santos ...</t>
  </si>
  <si>
    <t>Ray</t>
  </si>
  <si>
    <t>Ray Cardoso Gomes</t>
  </si>
  <si>
    <t>Jairzinho</t>
  </si>
  <si>
    <t>Jair da Cruz Pilar</t>
  </si>
  <si>
    <t>Dimas</t>
  </si>
  <si>
    <t>Dimas Rafael Sousa d ...</t>
  </si>
  <si>
    <t>L7</t>
  </si>
  <si>
    <t>Lucas Guilherme Sant ...</t>
  </si>
  <si>
    <t>Bruno Matos</t>
  </si>
  <si>
    <t>Bruno Oliveira de Ma ...</t>
  </si>
  <si>
    <t>Thiago</t>
  </si>
  <si>
    <t>Thiago de Morais de  ...</t>
  </si>
  <si>
    <t>JARDSON</t>
  </si>
  <si>
    <t>Jardson de Jesus Mag ...</t>
  </si>
  <si>
    <t>ADRIANO</t>
  </si>
  <si>
    <t>Adriano dos Santos R ...</t>
  </si>
  <si>
    <t>Time</t>
  </si>
  <si>
    <t>Total</t>
  </si>
  <si>
    <t>Tempo</t>
  </si>
  <si>
    <t>1T/2T</t>
  </si>
  <si>
    <t>Equipe</t>
  </si>
  <si>
    <t>Entrou</t>
  </si>
  <si>
    <t>Saiu</t>
  </si>
  <si>
    <t>00:00</t>
  </si>
  <si>
    <t>INT</t>
  </si>
  <si>
    <t>Imperatriz - MA</t>
  </si>
  <si>
    <t>19 - Wyldson Mateus Araújo de Lima</t>
  </si>
  <si>
    <t>10 - Jose Henrique Nogueira da Si...</t>
  </si>
  <si>
    <t>13:00</t>
  </si>
  <si>
    <t>2T</t>
  </si>
  <si>
    <t>21 - Wesley Henrique Carvalho Costa</t>
  </si>
  <si>
    <t>11 - Luis Felipe Firmino Antonio</t>
  </si>
  <si>
    <t>27:00</t>
  </si>
  <si>
    <t>22 - Sandys Junior Coelho da Silva</t>
  </si>
  <si>
    <t>9 - José Lussandro Souza Pereir...</t>
  </si>
  <si>
    <t>17 - Pedro Cardillofilho Zuccolo ...</t>
  </si>
  <si>
    <t>5 - Jeferson Daniel Prill Levkov...</t>
  </si>
  <si>
    <t>40:00</t>
  </si>
  <si>
    <t>20 - Ruan Eloy Salazar</t>
  </si>
  <si>
    <t>7 - Felipe dos Santos Freitas</t>
  </si>
  <si>
    <t>Sampaio Corrêa - MA</t>
  </si>
  <si>
    <t>19 - Thiago de Morais de Souza</t>
  </si>
  <si>
    <t>7 - João Henrique Lenger</t>
  </si>
  <si>
    <t>18 - Bruno Oliveira de Matos</t>
  </si>
  <si>
    <t>10 - Alan Matheus Stence</t>
  </si>
  <si>
    <t>15 - Jair da Cruz Pilar</t>
  </si>
  <si>
    <t>6 - Thiago Rosa da Conceicao</t>
  </si>
  <si>
    <t>21 - Adriano dos Santos Rodrigues</t>
  </si>
  <si>
    <t>11 - Wendell Silva Santos dos San...</t>
  </si>
  <si>
    <t>41:00</t>
  </si>
  <si>
    <t>17 - Lucas Guilherme Santana Silva</t>
  </si>
  <si>
    <t>9 - Alan James Lins Barbosa</t>
  </si>
  <si>
    <t>Jogo</t>
  </si>
  <si>
    <t>1 T</t>
  </si>
  <si>
    <t>2 T</t>
  </si>
  <si>
    <t>Jogador concat</t>
  </si>
  <si>
    <t>Jogador Entrou</t>
  </si>
  <si>
    <t>Jogador Saiu</t>
  </si>
  <si>
    <t>Tempo troca</t>
  </si>
  <si>
    <t>1T</t>
  </si>
  <si>
    <t>1T ENTRADA</t>
  </si>
  <si>
    <t>2T ENTRADA</t>
  </si>
  <si>
    <t>Time Casa</t>
  </si>
  <si>
    <t>Time Fora</t>
  </si>
  <si>
    <t>CBF Entrou</t>
  </si>
  <si>
    <t>CBF Saiu</t>
  </si>
  <si>
    <t>Tempo Número</t>
  </si>
  <si>
    <t>1T SAIU</t>
  </si>
  <si>
    <t>2T SAIU</t>
  </si>
  <si>
    <t>Substituicao entrada</t>
  </si>
  <si>
    <t>Substuituicao saida</t>
  </si>
  <si>
    <t>Arbitro</t>
  </si>
  <si>
    <t>Paulo Jose Souza Mourao</t>
  </si>
  <si>
    <t>35:00</t>
  </si>
  <si>
    <t>31:00</t>
  </si>
  <si>
    <t>Adriano dos Santos Rodrigues</t>
  </si>
  <si>
    <t>Nome do Jogador</t>
  </si>
  <si>
    <t>43:00</t>
  </si>
  <si>
    <t>Wyldson Mateus Araújo de Lima</t>
  </si>
  <si>
    <t>Amarelo</t>
  </si>
  <si>
    <t>Jogador</t>
  </si>
  <si>
    <t>Tempo Jogado</t>
  </si>
  <si>
    <t>Chave cartoes</t>
  </si>
  <si>
    <t>Data</t>
  </si>
  <si>
    <t>Confronto</t>
  </si>
  <si>
    <t>11.01.2025</t>
  </si>
  <si>
    <t>Partidas</t>
  </si>
  <si>
    <t>Vermelho</t>
  </si>
  <si>
    <t>Mayron Frederico dos Reis Novais</t>
  </si>
  <si>
    <t>12.01.2025</t>
  </si>
  <si>
    <t>Allan</t>
  </si>
  <si>
    <t>Allan Thiago Luiz</t>
  </si>
  <si>
    <t>Vitor</t>
  </si>
  <si>
    <t>Vitor Francisco dos  ...</t>
  </si>
  <si>
    <t>Yan</t>
  </si>
  <si>
    <t>Yan Cristian Silva d ...</t>
  </si>
  <si>
    <t>Mauricio</t>
  </si>
  <si>
    <t>Mauricio Pinto</t>
  </si>
  <si>
    <t>Felipe Dias</t>
  </si>
  <si>
    <t>Felipe dos Santos Di ...</t>
  </si>
  <si>
    <t>GUSTAVO</t>
  </si>
  <si>
    <t>Gustavo Rodrigues do ...</t>
  </si>
  <si>
    <t>Gustavo</t>
  </si>
  <si>
    <t>Luis Gustavo Santos</t>
  </si>
  <si>
    <t>Lucas</t>
  </si>
  <si>
    <t>Lucas Gomes Vieira</t>
  </si>
  <si>
    <t>Bolinha</t>
  </si>
  <si>
    <t>Willyan Diogo Silva</t>
  </si>
  <si>
    <t>DANILO PIRE</t>
  </si>
  <si>
    <t>Danilo Pires Costa</t>
  </si>
  <si>
    <t>Danilo</t>
  </si>
  <si>
    <t>Danilo Perassolli da ...</t>
  </si>
  <si>
    <t>Douglas</t>
  </si>
  <si>
    <t>Douglas Henrique dos ...</t>
  </si>
  <si>
    <t>Jeferson</t>
  </si>
  <si>
    <t>Jeferson Bruno Lima  ...</t>
  </si>
  <si>
    <t>Mauricio G ...</t>
  </si>
  <si>
    <t>Mauricio Gabriel Cha ...</t>
  </si>
  <si>
    <t>Matheus Silva</t>
  </si>
  <si>
    <t>Matheus dos Santos S ...</t>
  </si>
  <si>
    <t>Wesley</t>
  </si>
  <si>
    <t>Wesley Aparecido de  ...</t>
  </si>
  <si>
    <t>LEANDERSO</t>
  </si>
  <si>
    <t>Leanderson Alves Fer ...</t>
  </si>
  <si>
    <t>Warllem</t>
  </si>
  <si>
    <t>Warllem Mateus Gato  ...</t>
  </si>
  <si>
    <t>Paulo Renato</t>
  </si>
  <si>
    <t>Paulo Renato Pereira ...</t>
  </si>
  <si>
    <t>MATHEUS</t>
  </si>
  <si>
    <t>Matheus Wladymir Fre ...</t>
  </si>
  <si>
    <t>Vanilton</t>
  </si>
  <si>
    <t>Vanilton de Jesus Fr ...</t>
  </si>
  <si>
    <t>Jean</t>
  </si>
  <si>
    <t>Jean de Melo Pereira</t>
  </si>
  <si>
    <t>Franklin</t>
  </si>
  <si>
    <t>Franklin Gomes de So ...</t>
  </si>
  <si>
    <t>Luiz Fernando</t>
  </si>
  <si>
    <t>Luis Fernando Nascim ...</t>
  </si>
  <si>
    <t>Maicon</t>
  </si>
  <si>
    <t>Maicon Martins Rodri ...</t>
  </si>
  <si>
    <t>Rodrigo Co ...</t>
  </si>
  <si>
    <t>Rodrigo dos Santos C ...</t>
  </si>
  <si>
    <t>Andre</t>
  </si>
  <si>
    <t>Andre Luiz da Concei ...</t>
  </si>
  <si>
    <t>Railson</t>
  </si>
  <si>
    <t>Railson Carvalho dos ...</t>
  </si>
  <si>
    <t>loro</t>
  </si>
  <si>
    <t>Clessione Santos Sil ...</t>
  </si>
  <si>
    <t>Jorge Rocha</t>
  </si>
  <si>
    <t>Jorge Wanderson da S ...</t>
  </si>
  <si>
    <t>Ryan</t>
  </si>
  <si>
    <t>Ryan Aparecido Lima  ...</t>
  </si>
  <si>
    <t>Jerry</t>
  </si>
  <si>
    <t>Jerry dos Santos Ven ...</t>
  </si>
  <si>
    <t>Victor</t>
  </si>
  <si>
    <t>Victor Guilherme Mot ...</t>
  </si>
  <si>
    <t>GUILHERME</t>
  </si>
  <si>
    <t>Guilherme Anjos Melo</t>
  </si>
  <si>
    <t>IGOR</t>
  </si>
  <si>
    <t>Jose Igor Nunes Lima</t>
  </si>
  <si>
    <t>Julio Nasc ...</t>
  </si>
  <si>
    <t>Julio Andre Avelino  ...</t>
  </si>
  <si>
    <t>EDSON</t>
  </si>
  <si>
    <t>Edson Fernando Diniz ...</t>
  </si>
  <si>
    <t>Gabriel</t>
  </si>
  <si>
    <t>Carlos Gabriel Gonca ...</t>
  </si>
  <si>
    <t>MARCOS</t>
  </si>
  <si>
    <t>Marcos Alexandre Oli ...</t>
  </si>
  <si>
    <t>LUCAS</t>
  </si>
  <si>
    <t>Lucas Faustino Campos</t>
  </si>
  <si>
    <t>Emerson Fr ...</t>
  </si>
  <si>
    <t>Emerson Freitas dos  ...</t>
  </si>
  <si>
    <t>Mikeias</t>
  </si>
  <si>
    <t>Mikeias Araujo Pache ...</t>
  </si>
  <si>
    <t>Diego Cant ...</t>
  </si>
  <si>
    <t>Diego Sousa Cantanhe ...</t>
  </si>
  <si>
    <r>
      <rPr>
        <sz val="8"/>
        <rFont val="Arial MT"/>
        <family val="2"/>
      </rPr>
      <t>05:00</t>
    </r>
  </si>
  <si>
    <t>Danilo Perassolli da Cruz Albuquerque</t>
  </si>
  <si>
    <t>Maranhão - MA</t>
  </si>
  <si>
    <t>14 - Julio Andre Avelino do Nasci...</t>
  </si>
  <si>
    <t>11 - Ryan Aparecido Lima Cassiano</t>
  </si>
  <si>
    <t>19 - Emerson Freitas dos Anjos</t>
  </si>
  <si>
    <t>10 - Jorge Wanderson da Silva Rocha</t>
  </si>
  <si>
    <t>18 - Lucas Faustino Campos</t>
  </si>
  <si>
    <t>8 - Railson Carvalho dos Santos</t>
  </si>
  <si>
    <t>20 - Mikeias Araujo Pacheco de Lima</t>
  </si>
  <si>
    <t>22 - Jerry dos Santos Venceslau</t>
  </si>
  <si>
    <t>23:00</t>
  </si>
  <si>
    <t>13 - Jose Igor Nunes Lima</t>
  </si>
  <si>
    <t>2 - Franklin Gomes de Sousa</t>
  </si>
  <si>
    <t>15:00</t>
  </si>
  <si>
    <t>Moto Club - MA</t>
  </si>
  <si>
    <t>19 - Warllem Mateus Gato de Azevedo</t>
  </si>
  <si>
    <t>10 - Danilo Pires Costa</t>
  </si>
  <si>
    <t>15 - Mauricio Gabriel Chaves dos ...</t>
  </si>
  <si>
    <t>9 - Willyan Diogo Silva</t>
  </si>
  <si>
    <t>20:00</t>
  </si>
  <si>
    <t>16 - Matheus dos Santos Silva</t>
  </si>
  <si>
    <t>6 - Gustavo Rodrigues dos Santos</t>
  </si>
  <si>
    <t>24:00</t>
  </si>
  <si>
    <t>17 - Wesley Aparecido de Souza</t>
  </si>
  <si>
    <t>3 - Yan Cristian Silva do Carmo</t>
  </si>
  <si>
    <t>20 - Paulo Renato Pereira Dias</t>
  </si>
  <si>
    <t>8 - Lucas Gomes Vieira</t>
  </si>
  <si>
    <t>Clessione Santos Silva</t>
  </si>
  <si>
    <r>
      <rPr>
        <sz val="8"/>
        <rFont val="Arial MT"/>
        <family val="2"/>
      </rPr>
      <t>28:00</t>
    </r>
  </si>
  <si>
    <r>
      <rPr>
        <sz val="8"/>
        <rFont val="Arial MT"/>
        <family val="2"/>
      </rPr>
      <t>43:00</t>
    </r>
  </si>
  <si>
    <r>
      <rPr>
        <sz val="8"/>
        <rFont val="Arial MT"/>
        <family val="2"/>
      </rPr>
      <t>26:00</t>
    </r>
  </si>
  <si>
    <r>
      <rPr>
        <sz val="8"/>
        <rFont val="Arial MT"/>
        <family val="2"/>
      </rPr>
      <t>22:00</t>
    </r>
  </si>
  <si>
    <r>
      <rPr>
        <sz val="8"/>
        <rFont val="Arial MT"/>
        <family val="2"/>
      </rPr>
      <t>29:00</t>
    </r>
  </si>
  <si>
    <t>Paulo Renato Pereira Dias</t>
  </si>
  <si>
    <t>Felipe dos Santos Dias</t>
  </si>
  <si>
    <t>Ryan Aparecido Lima Cassiano</t>
  </si>
  <si>
    <t>Franklin Gomes de Sousa</t>
  </si>
  <si>
    <t>Luis Fernando Nascimento Macedo</t>
  </si>
  <si>
    <t>PJ</t>
  </si>
  <si>
    <t>Rodrigo dos Santos Correia - Maranhão</t>
  </si>
  <si>
    <t>Edson Fernando Diniz Santos Junior - Maranhão</t>
  </si>
  <si>
    <t>Marcos Vinicius Muniz Teixeira</t>
  </si>
  <si>
    <t>Mateus</t>
  </si>
  <si>
    <t>Mateus Sousa Machado</t>
  </si>
  <si>
    <t>Italo</t>
  </si>
  <si>
    <t>Italo Roberto Sousa  ...</t>
  </si>
  <si>
    <t>Henrique</t>
  </si>
  <si>
    <t>Henrique Colombo Soa ...</t>
  </si>
  <si>
    <t>Rikelmmer</t>
  </si>
  <si>
    <t>Rikelmmer Willemen d ...</t>
  </si>
  <si>
    <t>Rayandeson</t>
  </si>
  <si>
    <t>Rayandeson Ribeiro F ...</t>
  </si>
  <si>
    <t>Gabriel da Silva Mat ...</t>
  </si>
  <si>
    <t>FRANCISCO</t>
  </si>
  <si>
    <t>Francisco Silva E Si ...</t>
  </si>
  <si>
    <t>Tulio</t>
  </si>
  <si>
    <t>Tulio Gabriel Teixei ...</t>
  </si>
  <si>
    <t>Cleber</t>
  </si>
  <si>
    <t>Cleber Nilson Pereir ...</t>
  </si>
  <si>
    <t>Neto</t>
  </si>
  <si>
    <t>Benony Ribeiro Neto</t>
  </si>
  <si>
    <t>Joao Pedro</t>
  </si>
  <si>
    <t>João Pedro de Sousa ...</t>
  </si>
  <si>
    <t>LUAN</t>
  </si>
  <si>
    <t>Luan Sousa Silva</t>
  </si>
  <si>
    <t>Aldomir</t>
  </si>
  <si>
    <t>Aldomir Carlos Sodre ...</t>
  </si>
  <si>
    <t>Igor Mineiro</t>
  </si>
  <si>
    <t>Igor Rangel Lima Min ...</t>
  </si>
  <si>
    <t>George</t>
  </si>
  <si>
    <t>George Miguel da Cos ...</t>
  </si>
  <si>
    <t>Jean Felipe Penha Si ...</t>
  </si>
  <si>
    <t>KAYKY</t>
  </si>
  <si>
    <t>Kayky Pereira dos Sa ...</t>
  </si>
  <si>
    <t>BASTICO</t>
  </si>
  <si>
    <t>Niemisson Mendonça  ...</t>
  </si>
  <si>
    <t>Saulo</t>
  </si>
  <si>
    <t>Saulo Araujo Fontes</t>
  </si>
  <si>
    <t>ARTHUR CAR</t>
  </si>
  <si>
    <t>Arthur Cardial Soares</t>
  </si>
  <si>
    <t>Brener Bessa</t>
  </si>
  <si>
    <t>Brener Bessa Bezerra ...</t>
  </si>
  <si>
    <t>LUIZ HENRIQ</t>
  </si>
  <si>
    <t>Luiz Henrique Macena ...</t>
  </si>
  <si>
    <t>RIQUELME</t>
  </si>
  <si>
    <t>Riquelme Gabriel Per ...</t>
  </si>
  <si>
    <t>Leleu</t>
  </si>
  <si>
    <t>Denilson Alves de Ol ...</t>
  </si>
  <si>
    <t>Thiago Pereira Magal ...</t>
  </si>
  <si>
    <t>Julio</t>
  </si>
  <si>
    <t>Julio Cesar do Nasci ...</t>
  </si>
  <si>
    <t>Lucas Ramos</t>
  </si>
  <si>
    <t>Lucas Correa Ramos</t>
  </si>
  <si>
    <t>Anderson Thiago Nune ...</t>
  </si>
  <si>
    <t>ARIEL</t>
  </si>
  <si>
    <t>Ariel Robert da Silv ...</t>
  </si>
  <si>
    <t>PAULO</t>
  </si>
  <si>
    <t>Paulo Guilherme Oliv ...</t>
  </si>
  <si>
    <t>38:00</t>
  </si>
  <si>
    <t>Gabriel da Silva Matias</t>
  </si>
  <si>
    <t>28:00</t>
  </si>
  <si>
    <t>Italo Roberto Sousa Soares</t>
  </si>
  <si>
    <t>14:00</t>
  </si>
  <si>
    <t>21:00</t>
  </si>
  <si>
    <t>Luiz Henrique Macena de Moura</t>
  </si>
  <si>
    <t>34:00</t>
  </si>
  <si>
    <t>Paulo Guilherme Oliveira Mouzinho</t>
  </si>
  <si>
    <t>Denilson Alves de Oliveira</t>
  </si>
  <si>
    <t>25:00</t>
  </si>
  <si>
    <t>Pinheiro - MA</t>
  </si>
  <si>
    <t>18 - Niemisson Mendonça Pinheiro</t>
  </si>
  <si>
    <t>11 - João Pedro de Sousa Fonseca...</t>
  </si>
  <si>
    <t>32:00</t>
  </si>
  <si>
    <t>13 - Aldomir Carlos Sodre Souza J...</t>
  </si>
  <si>
    <t>7 - Francisco Silva E Silva</t>
  </si>
  <si>
    <t>17 - Kayky Pereira dos Santos Gomes</t>
  </si>
  <si>
    <t>9 - Cleber Nilson Pereira Rodrig...</t>
  </si>
  <si>
    <t>15 - George Miguel da Costa Garcia</t>
  </si>
  <si>
    <t>6 - Gabriel da Silva Matias</t>
  </si>
  <si>
    <t>42:00</t>
  </si>
  <si>
    <t>14 - Igor Rangel Lima Mineiro</t>
  </si>
  <si>
    <t>2 - Italo Roberto Sousa Soares</t>
  </si>
  <si>
    <t>Viana - MA</t>
  </si>
  <si>
    <t>13 - Paulo Guilherme Oliveira Mou...</t>
  </si>
  <si>
    <t>8 - Julio Cesar do Nascimento Ol...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</si>
</sst>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sz val="8"/>
      <color rgb="FF000000"/>
      <name val="Arial"/>
      <family val="2"/>
    </font>
    <font>
      <sz val="8"/>
      <name val="Arial"/>
    </font>
    <font>
      <sz val="8"/>
      <name val="Arial"/>
      <family val="2"/>
    </font>
    <font>
      <b/>
      <sz val="7"/>
      <name val="Arial"/>
    </font>
    <font>
      <b/>
      <sz val="7"/>
      <name val="Arial"/>
      <family val="2"/>
    </font>
    <font>
      <sz val="8"/>
      <name val="Arial MT"/>
    </font>
    <font>
      <sz val="8"/>
      <name val="Arial MT"/>
      <family val="2"/>
    </font>
    <font>
      <sz val="8"/>
      <color rgb="FF000000"/>
      <name val="Arial MT"/>
      <family val="2"/>
    </font>
  </fonts>
  <fills count="7">
    <fill>
      <patternFill patternType="none"/>
    </fill>
    <fill>
      <patternFill patternType="gray125"/>
    </fill>
    <fill>
      <patternFill patternType="solid">
        <fgColor rgb="FFB3E6B3"/>
        <bgColor rgb="FFFFFFFF"/>
      </patternFill>
    </fill>
    <fill>
      <patternFill patternType="solid">
        <fgColor rgb="FFA90F4A"/>
        <bgColor rgb="FFFFFFFF"/>
      </patternFill>
    </fill>
    <fill>
      <patternFill patternType="solid">
        <fgColor rgb="FFA90F4A"/>
        <bgColor indexed="64"/>
      </patternFill>
    </fill>
    <fill>
      <patternFill patternType="solid">
        <fgColor theme="0" tint="-0.34998626667073579"/>
        <bgColor rgb="FFFFFFFF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n">
        <color rgb="FF666666"/>
      </left>
      <right style="thin">
        <color rgb="FF666666"/>
      </right>
      <top style="thin">
        <color rgb="FF666666"/>
      </top>
      <bottom style="thin">
        <color rgb="FF66666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666666"/>
      </left>
      <right/>
      <top style="thin">
        <color rgb="FF666666"/>
      </top>
      <bottom style="thin">
        <color rgb="FF666666"/>
      </bottom>
      <diagonal/>
    </border>
  </borders>
  <cellStyleXfs count="1">
    <xf numFmtId="0" fontId="0" fillId="0" borderId="0"/>
  </cellStyleXfs>
  <cellXfs count="50">
    <xf numFmtId="0" fontId="0" fillId="0" borderId="0" xfId="0"/>
    <xf numFmtId="1" fontId="1" fillId="0" borderId="1" xfId="0" applyNumberFormat="1" applyFont="1" applyBorder="1" applyAlignment="1">
      <alignment horizontal="center" vertical="top" shrinkToFit="1"/>
    </xf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center" vertical="top" wrapText="1"/>
    </xf>
    <xf numFmtId="0" fontId="4" fillId="2" borderId="1" xfId="0" applyFont="1" applyFill="1" applyBorder="1" applyAlignment="1">
      <alignment horizontal="center" vertical="top" wrapText="1"/>
    </xf>
    <xf numFmtId="1" fontId="0" fillId="0" borderId="0" xfId="0" applyNumberFormat="1"/>
    <xf numFmtId="0" fontId="4" fillId="2" borderId="2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1" fontId="1" fillId="0" borderId="2" xfId="0" applyNumberFormat="1" applyFont="1" applyBorder="1" applyAlignment="1">
      <alignment horizontal="center" vertical="center" shrinkToFit="1"/>
    </xf>
    <xf numFmtId="1" fontId="1" fillId="0" borderId="4" xfId="0" applyNumberFormat="1" applyFont="1" applyBorder="1" applyAlignment="1">
      <alignment horizontal="center" vertical="top" shrinkToFit="1"/>
    </xf>
    <xf numFmtId="1" fontId="5" fillId="2" borderId="2" xfId="0" applyNumberFormat="1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left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0" fillId="4" borderId="0" xfId="0" applyFill="1"/>
    <xf numFmtId="0" fontId="5" fillId="3" borderId="2" xfId="0" applyFont="1" applyFill="1" applyBorder="1" applyAlignment="1">
      <alignment horizontal="center" vertical="center" wrapText="1"/>
    </xf>
    <xf numFmtId="1" fontId="1" fillId="4" borderId="2" xfId="0" applyNumberFormat="1" applyFont="1" applyFill="1" applyBorder="1" applyAlignment="1">
      <alignment horizontal="center" vertical="top" shrinkToFit="1"/>
    </xf>
    <xf numFmtId="0" fontId="0" fillId="4" borderId="2" xfId="0" applyFill="1" applyBorder="1" applyAlignment="1">
      <alignment horizontal="center" vertical="center"/>
    </xf>
    <xf numFmtId="1" fontId="0" fillId="4" borderId="2" xfId="0" applyNumberFormat="1" applyFill="1" applyBorder="1" applyAlignment="1">
      <alignment horizontal="center" vertical="center"/>
    </xf>
    <xf numFmtId="1" fontId="0" fillId="4" borderId="0" xfId="0" applyNumberFormat="1" applyFill="1"/>
    <xf numFmtId="0" fontId="4" fillId="5" borderId="2" xfId="0" applyFont="1" applyFill="1" applyBorder="1" applyAlignment="1">
      <alignment horizontal="center" vertical="center" wrapText="1"/>
    </xf>
    <xf numFmtId="0" fontId="0" fillId="6" borderId="2" xfId="0" applyFill="1" applyBorder="1" applyAlignment="1">
      <alignment horizontal="center" vertical="center"/>
    </xf>
    <xf numFmtId="0" fontId="0" fillId="6" borderId="0" xfId="0" applyFill="1"/>
    <xf numFmtId="0" fontId="5" fillId="5" borderId="2" xfId="0" applyFont="1" applyFill="1" applyBorder="1" applyAlignment="1">
      <alignment horizontal="center" vertical="center" wrapText="1"/>
    </xf>
    <xf numFmtId="1" fontId="5" fillId="5" borderId="2" xfId="0" applyNumberFormat="1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top" wrapText="1"/>
    </xf>
    <xf numFmtId="1" fontId="0" fillId="6" borderId="2" xfId="0" applyNumberFormat="1" applyFill="1" applyBorder="1" applyAlignment="1">
      <alignment horizontal="center" vertical="center"/>
    </xf>
    <xf numFmtId="0" fontId="0" fillId="6" borderId="2" xfId="0" applyFill="1" applyBorder="1"/>
    <xf numFmtId="1" fontId="0" fillId="6" borderId="2" xfId="0" applyNumberFormat="1" applyFill="1" applyBorder="1"/>
    <xf numFmtId="2" fontId="5" fillId="5" borderId="1" xfId="0" applyNumberFormat="1" applyFont="1" applyFill="1" applyBorder="1" applyAlignment="1">
      <alignment horizontal="center" vertical="top" wrapText="1"/>
    </xf>
    <xf numFmtId="0" fontId="5" fillId="5" borderId="1" xfId="0" applyFont="1" applyFill="1" applyBorder="1" applyAlignment="1">
      <alignment horizontal="center" vertical="top" wrapText="1"/>
    </xf>
    <xf numFmtId="1" fontId="4" fillId="5" borderId="1" xfId="0" applyNumberFormat="1" applyFont="1" applyFill="1" applyBorder="1" applyAlignment="1">
      <alignment horizontal="center" vertical="top" wrapText="1"/>
    </xf>
    <xf numFmtId="1" fontId="5" fillId="5" borderId="1" xfId="0" applyNumberFormat="1" applyFont="1" applyFill="1" applyBorder="1" applyAlignment="1">
      <alignment horizontal="center" vertical="top" wrapText="1"/>
    </xf>
    <xf numFmtId="1" fontId="3" fillId="6" borderId="1" xfId="0" applyNumberFormat="1" applyFont="1" applyFill="1" applyBorder="1" applyAlignment="1">
      <alignment horizontal="left" vertical="top" wrapText="1"/>
    </xf>
    <xf numFmtId="0" fontId="3" fillId="6" borderId="1" xfId="0" applyFont="1" applyFill="1" applyBorder="1" applyAlignment="1">
      <alignment horizontal="left" vertical="top" wrapText="1"/>
    </xf>
    <xf numFmtId="0" fontId="2" fillId="6" borderId="1" xfId="0" applyFont="1" applyFill="1" applyBorder="1" applyAlignment="1">
      <alignment horizontal="left" vertical="top" wrapText="1"/>
    </xf>
    <xf numFmtId="1" fontId="2" fillId="6" borderId="1" xfId="0" applyNumberFormat="1" applyFont="1" applyFill="1" applyBorder="1" applyAlignment="1">
      <alignment horizontal="center" vertical="top" wrapText="1"/>
    </xf>
    <xf numFmtId="0" fontId="2" fillId="6" borderId="1" xfId="0" applyFont="1" applyFill="1" applyBorder="1" applyAlignment="1">
      <alignment horizontal="center" vertical="top" wrapText="1"/>
    </xf>
    <xf numFmtId="2" fontId="0" fillId="6" borderId="0" xfId="0" applyNumberFormat="1" applyFill="1"/>
    <xf numFmtId="1" fontId="0" fillId="6" borderId="0" xfId="0" applyNumberFormat="1" applyFill="1"/>
    <xf numFmtId="0" fontId="4" fillId="3" borderId="1" xfId="0" applyFont="1" applyFill="1" applyBorder="1" applyAlignment="1">
      <alignment horizontal="center" vertical="top" wrapText="1"/>
    </xf>
    <xf numFmtId="0" fontId="2" fillId="4" borderId="1" xfId="0" applyFont="1" applyFill="1" applyBorder="1" applyAlignment="1">
      <alignment horizontal="left" vertical="top" wrapText="1"/>
    </xf>
    <xf numFmtId="49" fontId="0" fillId="4" borderId="2" xfId="0" applyNumberFormat="1" applyFill="1" applyBorder="1" applyAlignment="1">
      <alignment horizontal="center" vertical="center"/>
    </xf>
    <xf numFmtId="49" fontId="0" fillId="4" borderId="0" xfId="0" applyNumberFormat="1" applyFill="1"/>
    <xf numFmtId="0" fontId="6" fillId="0" borderId="1" xfId="0" applyFont="1" applyBorder="1" applyAlignment="1">
      <alignment horizontal="left" vertical="top" wrapText="1"/>
    </xf>
    <xf numFmtId="1" fontId="8" fillId="0" borderId="1" xfId="0" applyNumberFormat="1" applyFont="1" applyBorder="1" applyAlignment="1">
      <alignment horizontal="center" vertical="top" shrinkToFit="1"/>
    </xf>
    <xf numFmtId="0" fontId="6" fillId="0" borderId="1" xfId="0" applyFont="1" applyBorder="1" applyAlignment="1">
      <alignment horizontal="center" vertical="top" wrapText="1"/>
    </xf>
    <xf numFmtId="46" fontId="2" fillId="0" borderId="1" xfId="0" applyNumberFormat="1" applyFont="1" applyBorder="1" applyAlignment="1">
      <alignment horizontal="center" vertical="top" wrapText="1"/>
    </xf>
    <xf numFmtId="20" fontId="2" fillId="0" borderId="2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A90F4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CA54F-3F2D-4DC4-9242-0EAF8210CE31}">
  <dimension ref="A1:R117"/>
  <sheetViews>
    <sheetView showGridLines="0" topLeftCell="A106" workbookViewId="0">
      <selection activeCell="H106" sqref="H106:H117"/>
    </sheetView>
  </sheetViews>
  <sheetFormatPr defaultRowHeight="14.4"/>
  <cols>
    <col min="1" max="1" width="8.88671875" style="15"/>
    <col min="2" max="2" width="8.88671875" style="5"/>
    <col min="3" max="3" width="8.77734375" bestFit="1" customWidth="1"/>
    <col min="8" max="8" width="8.88671875" style="15"/>
    <col min="9" max="10" width="8.88671875" style="28"/>
    <col min="11" max="12" width="21.6640625" style="27" bestFit="1" customWidth="1"/>
    <col min="13" max="13" width="11.77734375" style="28" bestFit="1" customWidth="1"/>
    <col min="14" max="14" width="8.88671875" style="29"/>
    <col min="15" max="17" width="8.88671875" style="28"/>
    <col min="18" max="18" width="44.33203125" style="28" bestFit="1" customWidth="1"/>
  </cols>
  <sheetData>
    <row r="1" spans="1:18" ht="19.2">
      <c r="A1" s="16" t="s">
        <v>134</v>
      </c>
      <c r="B1" s="10" t="s">
        <v>16</v>
      </c>
      <c r="C1" s="11" t="s">
        <v>17</v>
      </c>
      <c r="D1" s="11" t="s">
        <v>18</v>
      </c>
      <c r="E1" s="12" t="s">
        <v>19</v>
      </c>
      <c r="F1" s="12" t="s">
        <v>20</v>
      </c>
      <c r="G1" s="13" t="s">
        <v>0</v>
      </c>
      <c r="H1" s="16" t="s">
        <v>98</v>
      </c>
      <c r="I1" s="24" t="s">
        <v>162</v>
      </c>
      <c r="J1" s="24" t="s">
        <v>137</v>
      </c>
      <c r="K1" s="25" t="s">
        <v>151</v>
      </c>
      <c r="L1" s="25" t="s">
        <v>152</v>
      </c>
      <c r="M1" s="24" t="s">
        <v>99</v>
      </c>
      <c r="N1" s="25" t="s">
        <v>135</v>
      </c>
      <c r="O1" s="24" t="s">
        <v>136</v>
      </c>
      <c r="P1" s="24" t="s">
        <v>163</v>
      </c>
      <c r="Q1" s="24" t="s">
        <v>164</v>
      </c>
      <c r="R1" s="24" t="s">
        <v>166</v>
      </c>
    </row>
    <row r="2" spans="1:18" ht="20.399999999999999">
      <c r="A2" s="17">
        <v>1</v>
      </c>
      <c r="B2" s="1">
        <v>1</v>
      </c>
      <c r="C2" s="2" t="s">
        <v>21</v>
      </c>
      <c r="D2" s="2" t="s">
        <v>22</v>
      </c>
      <c r="E2" s="3" t="s">
        <v>23</v>
      </c>
      <c r="F2" s="3" t="s">
        <v>24</v>
      </c>
      <c r="G2" s="9">
        <v>459328</v>
      </c>
      <c r="H2" s="17" t="s">
        <v>107</v>
      </c>
      <c r="I2" s="26" t="str">
        <f>C2</f>
        <v>Jr Conceiç ...</v>
      </c>
      <c r="J2" s="26" t="str">
        <f>A2&amp;H2&amp;B2</f>
        <v>1Imperatriz - MA1</v>
      </c>
      <c r="K2" s="27" t="str">
        <f>IFERROR(VLOOKUP(J2,Substituicoes!J:J,1,0),"SS")</f>
        <v>SS</v>
      </c>
      <c r="L2" s="27" t="str">
        <f>IFERROR(VLOOKUP(J2,Substituicoes!K:K,1,0),"SS")</f>
        <v>SS</v>
      </c>
      <c r="M2" s="28" t="b">
        <f>K2=L2</f>
        <v>1</v>
      </c>
      <c r="N2" s="29">
        <f>IF(AND(K2=L2,LEFT(E2,1)="T"),VLOOKUP(A2,'JOGOS BASE'!A:E,4,0),IF(K2=J2,VLOOKUP(J2,Substituicoes!J:R,6,0),IF(L2=J2,VLOOKUP(Escalacao!J2,Substituicoes!K:R,7,0),0)))</f>
        <v>49</v>
      </c>
      <c r="O2" s="28">
        <f>IF(AND(K2=L2,LEFT(E2,1)="T"),VLOOKUP(A2,'JOGOS BASE'!A:E,5,0),IF(K2=J2,VLOOKUP(J2,Substituicoes!J:R,7,0),IF(L2=J2,VLOOKUP(Escalacao!J2,Substituicoes!K:R,8,0),0)))</f>
        <v>50</v>
      </c>
      <c r="P2" s="29">
        <f>N2+O2</f>
        <v>99</v>
      </c>
      <c r="Q2" s="28" t="str">
        <f>A2&amp;B2&amp;H2</f>
        <v>11Imperatriz - MA</v>
      </c>
      <c r="R2" s="28" t="str">
        <f>VLOOKUP(A2,'JOGOS BASE'!A:H,8)</f>
        <v>11.01.2025 - Imperatriz - MA x Sampaio Corrêa - MA</v>
      </c>
    </row>
    <row r="3" spans="1:18" ht="30.6">
      <c r="A3" s="17">
        <v>1</v>
      </c>
      <c r="B3" s="1">
        <v>2</v>
      </c>
      <c r="C3" s="2" t="s">
        <v>1</v>
      </c>
      <c r="D3" s="2" t="s">
        <v>25</v>
      </c>
      <c r="E3" s="3" t="s">
        <v>26</v>
      </c>
      <c r="F3" s="3" t="s">
        <v>24</v>
      </c>
      <c r="G3" s="9">
        <v>451402</v>
      </c>
      <c r="H3" s="17" t="s">
        <v>107</v>
      </c>
      <c r="I3" s="26" t="str">
        <f t="shared" ref="I3:I44" si="0">C3</f>
        <v>Fabricio</v>
      </c>
      <c r="J3" s="26" t="str">
        <f t="shared" ref="J3:J44" si="1">A3&amp;H3&amp;B3</f>
        <v>1Imperatriz - MA2</v>
      </c>
      <c r="K3" s="27" t="str">
        <f>IFERROR(VLOOKUP(J3,Substituicoes!J:J,1,0),"SS")</f>
        <v>SS</v>
      </c>
      <c r="L3" s="27" t="str">
        <f>IFERROR(VLOOKUP(J3,Substituicoes!K:K,1,0),"SS")</f>
        <v>SS</v>
      </c>
      <c r="M3" s="28" t="b">
        <f t="shared" ref="M3:M44" si="2">K3=L3</f>
        <v>1</v>
      </c>
      <c r="N3" s="29">
        <f>IF(AND(K3=L3,LEFT(E3,1)="T"),VLOOKUP(A3,'JOGOS BASE'!A:E,4,0),IF(K3=J3,VLOOKUP(J3,Substituicoes!J:R,6,0),IF(L3=J3,VLOOKUP(Escalacao!J3,Substituicoes!K:R,7,0),0)))</f>
        <v>49</v>
      </c>
      <c r="O3" s="28">
        <f>IF(AND(K3=L3,LEFT(E3,1)="T"),VLOOKUP(A3,'JOGOS BASE'!A:E,5,0),IF(K3=J3,VLOOKUP(J3,Substituicoes!J:R,7,0),IF(L3=J3,VLOOKUP(Escalacao!J3,Substituicoes!K:R,8,0),0)))</f>
        <v>50</v>
      </c>
      <c r="P3" s="28">
        <f t="shared" ref="P3:P44" si="3">N3+O3</f>
        <v>99</v>
      </c>
      <c r="Q3" s="28" t="str">
        <f t="shared" ref="Q3:Q44" si="4">A3&amp;B3&amp;H3</f>
        <v>12Imperatriz - MA</v>
      </c>
      <c r="R3" s="28" t="str">
        <f>VLOOKUP(A3,'JOGOS BASE'!A:H,8)</f>
        <v>11.01.2025 - Imperatriz - MA x Sampaio Corrêa - MA</v>
      </c>
    </row>
    <row r="4" spans="1:18" ht="20.399999999999999">
      <c r="A4" s="17">
        <v>1</v>
      </c>
      <c r="B4" s="1">
        <v>3</v>
      </c>
      <c r="C4" s="2" t="s">
        <v>2</v>
      </c>
      <c r="D4" s="2" t="s">
        <v>27</v>
      </c>
      <c r="E4" s="3" t="s">
        <v>26</v>
      </c>
      <c r="F4" s="3" t="s">
        <v>24</v>
      </c>
      <c r="G4" s="9">
        <v>393115</v>
      </c>
      <c r="H4" s="17" t="s">
        <v>107</v>
      </c>
      <c r="I4" s="26" t="str">
        <f t="shared" si="0"/>
        <v>Andre Penalva</v>
      </c>
      <c r="J4" s="26" t="str">
        <f t="shared" si="1"/>
        <v>1Imperatriz - MA3</v>
      </c>
      <c r="K4" s="27" t="str">
        <f>IFERROR(VLOOKUP(J4,Substituicoes!J:J,1,0),"SS")</f>
        <v>SS</v>
      </c>
      <c r="L4" s="27" t="str">
        <f>IFERROR(VLOOKUP(J4,Substituicoes!K:K,1,0),"SS")</f>
        <v>SS</v>
      </c>
      <c r="M4" s="28" t="b">
        <f t="shared" si="2"/>
        <v>1</v>
      </c>
      <c r="N4" s="29">
        <f>IF(AND(K4=L4,LEFT(E4,1)="T"),VLOOKUP(A4,'JOGOS BASE'!A:E,4,0),IF(K4=J4,VLOOKUP(J4,Substituicoes!J:R,6,0),IF(L4=J4,VLOOKUP(Escalacao!J4,Substituicoes!K:R,7,0),0)))</f>
        <v>49</v>
      </c>
      <c r="O4" s="28">
        <f>IF(AND(K4=L4,LEFT(E4,1)="T"),VLOOKUP(A4,'JOGOS BASE'!A:E,5,0),IF(K4=J4,VLOOKUP(J4,Substituicoes!J:R,7,0),IF(L4=J4,VLOOKUP(Escalacao!J4,Substituicoes!K:R,8,0),0)))</f>
        <v>50</v>
      </c>
      <c r="P4" s="28">
        <f t="shared" si="3"/>
        <v>99</v>
      </c>
      <c r="Q4" s="28" t="str">
        <f t="shared" si="4"/>
        <v>13Imperatriz - MA</v>
      </c>
      <c r="R4" s="28" t="str">
        <f>VLOOKUP(A4,'JOGOS BASE'!A:H,8)</f>
        <v>11.01.2025 - Imperatriz - MA x Sampaio Corrêa - MA</v>
      </c>
    </row>
    <row r="5" spans="1:18" ht="20.399999999999999">
      <c r="A5" s="17">
        <v>1</v>
      </c>
      <c r="B5" s="1">
        <v>4</v>
      </c>
      <c r="C5" s="2" t="s">
        <v>28</v>
      </c>
      <c r="D5" s="2" t="s">
        <v>29</v>
      </c>
      <c r="E5" s="3" t="s">
        <v>26</v>
      </c>
      <c r="F5" s="3" t="s">
        <v>24</v>
      </c>
      <c r="G5" s="9">
        <v>373479</v>
      </c>
      <c r="H5" s="17" t="s">
        <v>107</v>
      </c>
      <c r="I5" s="26" t="str">
        <f t="shared" si="0"/>
        <v>FELIPE</v>
      </c>
      <c r="J5" s="26" t="str">
        <f t="shared" si="1"/>
        <v>1Imperatriz - MA4</v>
      </c>
      <c r="K5" s="27" t="str">
        <f>IFERROR(VLOOKUP(J5,Substituicoes!J:J,1,0),"SS")</f>
        <v>SS</v>
      </c>
      <c r="L5" s="27" t="str">
        <f>IFERROR(VLOOKUP(J5,Substituicoes!K:K,1,0),"SS")</f>
        <v>SS</v>
      </c>
      <c r="M5" s="28" t="b">
        <f t="shared" si="2"/>
        <v>1</v>
      </c>
      <c r="N5" s="29">
        <f>IF(AND(K5=L5,LEFT(E5,1)="T"),VLOOKUP(A5,'JOGOS BASE'!A:E,4,0),IF(K5=J5,VLOOKUP(J5,Substituicoes!J:R,6,0),IF(L5=J5,VLOOKUP(Escalacao!J5,Substituicoes!K:R,7,0),0)))</f>
        <v>49</v>
      </c>
      <c r="O5" s="28">
        <f>IF(AND(K5=L5,LEFT(E5,1)="T"),VLOOKUP(A5,'JOGOS BASE'!A:E,5,0),IF(K5=J5,VLOOKUP(J5,Substituicoes!J:R,7,0),IF(L5=J5,VLOOKUP(Escalacao!J5,Substituicoes!K:R,8,0),0)))</f>
        <v>50</v>
      </c>
      <c r="P5" s="28">
        <f t="shared" si="3"/>
        <v>99</v>
      </c>
      <c r="Q5" s="28" t="str">
        <f t="shared" si="4"/>
        <v>14Imperatriz - MA</v>
      </c>
      <c r="R5" s="28" t="str">
        <f>VLOOKUP(A5,'JOGOS BASE'!A:H,8)</f>
        <v>11.01.2025 - Imperatriz - MA x Sampaio Corrêa - MA</v>
      </c>
    </row>
    <row r="6" spans="1:18" ht="30.6">
      <c r="A6" s="17">
        <v>1</v>
      </c>
      <c r="B6" s="1">
        <v>5</v>
      </c>
      <c r="C6" s="2" t="s">
        <v>30</v>
      </c>
      <c r="D6" s="2" t="s">
        <v>31</v>
      </c>
      <c r="E6" s="3" t="s">
        <v>26</v>
      </c>
      <c r="F6" s="3" t="s">
        <v>24</v>
      </c>
      <c r="G6" s="9">
        <v>345029</v>
      </c>
      <c r="H6" s="17" t="s">
        <v>107</v>
      </c>
      <c r="I6" s="26" t="str">
        <f t="shared" si="0"/>
        <v>Jeferson P ...</v>
      </c>
      <c r="J6" s="26" t="str">
        <f t="shared" si="1"/>
        <v>1Imperatriz - MA5</v>
      </c>
      <c r="K6" s="27" t="str">
        <f>IFERROR(VLOOKUP(J6,Substituicoes!J:J,1,0),"SS")</f>
        <v>SS</v>
      </c>
      <c r="L6" s="27" t="str">
        <f>IFERROR(VLOOKUP(J6,Substituicoes!K:K,1,0),"SS")</f>
        <v>1Imperatriz - MA5</v>
      </c>
      <c r="M6" s="28" t="b">
        <f t="shared" si="2"/>
        <v>0</v>
      </c>
      <c r="N6" s="29">
        <f>IF(AND(K6=L6,LEFT(E6,1)="T"),VLOOKUP(A6,'JOGOS BASE'!A:E,4,0),IF(K6=J6,VLOOKUP(J6,Substituicoes!J:R,6,0),IF(L6=J6,VLOOKUP(Escalacao!J6,Substituicoes!K:R,7,0),0)))</f>
        <v>49</v>
      </c>
      <c r="O6" s="28">
        <f>IF(AND(K6=L6,LEFT(E6,1)="T"),VLOOKUP(A6,'JOGOS BASE'!A:E,5,0),IF(K6=J6,VLOOKUP(J6,Substituicoes!J:R,7,0),IF(L6=J6,VLOOKUP(Escalacao!J6,Substituicoes!K:R,8,0),0)))</f>
        <v>27</v>
      </c>
      <c r="P6" s="28">
        <f t="shared" si="3"/>
        <v>76</v>
      </c>
      <c r="Q6" s="28" t="str">
        <f t="shared" si="4"/>
        <v>15Imperatriz - MA</v>
      </c>
      <c r="R6" s="28" t="str">
        <f>VLOOKUP(A6,'JOGOS BASE'!A:H,8)</f>
        <v>11.01.2025 - Imperatriz - MA x Sampaio Corrêa - MA</v>
      </c>
    </row>
    <row r="7" spans="1:18" ht="30.6">
      <c r="A7" s="17">
        <v>1</v>
      </c>
      <c r="B7" s="1">
        <v>6</v>
      </c>
      <c r="C7" s="2" t="s">
        <v>3</v>
      </c>
      <c r="D7" s="2" t="s">
        <v>32</v>
      </c>
      <c r="E7" s="3" t="s">
        <v>26</v>
      </c>
      <c r="F7" s="3" t="s">
        <v>24</v>
      </c>
      <c r="G7" s="9">
        <v>634279</v>
      </c>
      <c r="H7" s="17" t="s">
        <v>107</v>
      </c>
      <c r="I7" s="26" t="str">
        <f t="shared" si="0"/>
        <v>Negueba</v>
      </c>
      <c r="J7" s="26" t="str">
        <f t="shared" si="1"/>
        <v>1Imperatriz - MA6</v>
      </c>
      <c r="K7" s="27" t="str">
        <f>IFERROR(VLOOKUP(J7,Substituicoes!J:J,1,0),"SS")</f>
        <v>SS</v>
      </c>
      <c r="L7" s="27" t="str">
        <f>IFERROR(VLOOKUP(J7,Substituicoes!K:K,1,0),"SS")</f>
        <v>SS</v>
      </c>
      <c r="M7" s="28" t="b">
        <f t="shared" si="2"/>
        <v>1</v>
      </c>
      <c r="N7" s="29">
        <f>IF(AND(K7=L7,LEFT(E7,1)="T"),VLOOKUP(A7,'JOGOS BASE'!A:E,4,0),IF(K7=J7,VLOOKUP(J7,Substituicoes!J:R,6,0),IF(L7=J7,VLOOKUP(Escalacao!J7,Substituicoes!K:R,7,0),0)))</f>
        <v>49</v>
      </c>
      <c r="O7" s="28">
        <f>IF(AND(K7=L7,LEFT(E7,1)="T"),VLOOKUP(A7,'JOGOS BASE'!A:E,5,0),IF(K7=J7,VLOOKUP(J7,Substituicoes!J:R,7,0),IF(L7=J7,VLOOKUP(Escalacao!J7,Substituicoes!K:R,8,0),0)))</f>
        <v>50</v>
      </c>
      <c r="P7" s="28">
        <f t="shared" si="3"/>
        <v>99</v>
      </c>
      <c r="Q7" s="28" t="str">
        <f t="shared" si="4"/>
        <v>16Imperatriz - MA</v>
      </c>
      <c r="R7" s="28" t="str">
        <f>VLOOKUP(A7,'JOGOS BASE'!A:H,8)</f>
        <v>11.01.2025 - Imperatriz - MA x Sampaio Corrêa - MA</v>
      </c>
    </row>
    <row r="8" spans="1:18" ht="20.399999999999999">
      <c r="A8" s="17">
        <v>1</v>
      </c>
      <c r="B8" s="1">
        <v>7</v>
      </c>
      <c r="C8" s="2" t="s">
        <v>4</v>
      </c>
      <c r="D8" s="2" t="s">
        <v>33</v>
      </c>
      <c r="E8" s="3" t="s">
        <v>26</v>
      </c>
      <c r="F8" s="3" t="s">
        <v>24</v>
      </c>
      <c r="G8" s="9">
        <v>546130</v>
      </c>
      <c r="H8" s="17" t="s">
        <v>107</v>
      </c>
      <c r="I8" s="26" t="str">
        <f t="shared" si="0"/>
        <v>Felipinho</v>
      </c>
      <c r="J8" s="26" t="str">
        <f t="shared" si="1"/>
        <v>1Imperatriz - MA7</v>
      </c>
      <c r="K8" s="27" t="str">
        <f>IFERROR(VLOOKUP(J8,Substituicoes!J:J,1,0),"SS")</f>
        <v>SS</v>
      </c>
      <c r="L8" s="27" t="str">
        <f>IFERROR(VLOOKUP(J8,Substituicoes!K:K,1,0),"SS")</f>
        <v>1Imperatriz - MA7</v>
      </c>
      <c r="M8" s="28" t="b">
        <f t="shared" si="2"/>
        <v>0</v>
      </c>
      <c r="N8" s="29">
        <f>IF(AND(K8=L8,LEFT(E8,1)="T"),VLOOKUP(A8,'JOGOS BASE'!A:E,4,0),IF(K8=J8,VLOOKUP(J8,Substituicoes!J:R,6,0),IF(L8=J8,VLOOKUP(Escalacao!J8,Substituicoes!K:R,7,0),0)))</f>
        <v>49</v>
      </c>
      <c r="O8" s="28">
        <f>IF(AND(K8=L8,LEFT(E8,1)="T"),VLOOKUP(A8,'JOGOS BASE'!A:E,5,0),IF(K8=J8,VLOOKUP(J8,Substituicoes!J:R,7,0),IF(L8=J8,VLOOKUP(Escalacao!J8,Substituicoes!K:R,8,0),0)))</f>
        <v>40</v>
      </c>
      <c r="P8" s="28">
        <f t="shared" si="3"/>
        <v>89</v>
      </c>
      <c r="Q8" s="28" t="str">
        <f t="shared" si="4"/>
        <v>17Imperatriz - MA</v>
      </c>
      <c r="R8" s="28" t="str">
        <f>VLOOKUP(A8,'JOGOS BASE'!A:H,8)</f>
        <v>11.01.2025 - Imperatriz - MA x Sampaio Corrêa - MA</v>
      </c>
    </row>
    <row r="9" spans="1:18" ht="30.6">
      <c r="A9" s="17">
        <v>1</v>
      </c>
      <c r="B9" s="1">
        <v>8</v>
      </c>
      <c r="C9" s="2" t="s">
        <v>5</v>
      </c>
      <c r="D9" s="2" t="s">
        <v>34</v>
      </c>
      <c r="E9" s="3" t="s">
        <v>26</v>
      </c>
      <c r="F9" s="3" t="s">
        <v>24</v>
      </c>
      <c r="G9" s="9">
        <v>348355</v>
      </c>
      <c r="H9" s="17" t="s">
        <v>107</v>
      </c>
      <c r="I9" s="26" t="str">
        <f t="shared" si="0"/>
        <v>Felipe Macena</v>
      </c>
      <c r="J9" s="26" t="str">
        <f t="shared" si="1"/>
        <v>1Imperatriz - MA8</v>
      </c>
      <c r="K9" s="27" t="str">
        <f>IFERROR(VLOOKUP(J9,Substituicoes!J:J,1,0),"SS")</f>
        <v>SS</v>
      </c>
      <c r="L9" s="27" t="str">
        <f>IFERROR(VLOOKUP(J9,Substituicoes!K:K,1,0),"SS")</f>
        <v>SS</v>
      </c>
      <c r="M9" s="28" t="b">
        <f t="shared" si="2"/>
        <v>1</v>
      </c>
      <c r="N9" s="29">
        <f>IF(AND(K9=L9,LEFT(E9,1)="T"),VLOOKUP(A9,'JOGOS BASE'!A:E,4,0),IF(K9=J9,VLOOKUP(J9,Substituicoes!J:R,6,0),IF(L9=J9,VLOOKUP(Escalacao!J9,Substituicoes!K:R,7,0),0)))</f>
        <v>49</v>
      </c>
      <c r="O9" s="28">
        <f>IF(AND(K9=L9,LEFT(E9,1)="T"),VLOOKUP(A9,'JOGOS BASE'!A:E,5,0),IF(K9=J9,VLOOKUP(J9,Substituicoes!J:R,7,0),IF(L9=J9,VLOOKUP(Escalacao!J9,Substituicoes!K:R,8,0),0)))</f>
        <v>50</v>
      </c>
      <c r="P9" s="28">
        <f t="shared" si="3"/>
        <v>99</v>
      </c>
      <c r="Q9" s="28" t="str">
        <f t="shared" si="4"/>
        <v>18Imperatriz - MA</v>
      </c>
      <c r="R9" s="28" t="str">
        <f>VLOOKUP(A9,'JOGOS BASE'!A:H,8)</f>
        <v>11.01.2025 - Imperatriz - MA x Sampaio Corrêa - MA</v>
      </c>
    </row>
    <row r="10" spans="1:18" ht="30.6">
      <c r="A10" s="17">
        <v>1</v>
      </c>
      <c r="B10" s="1">
        <v>9</v>
      </c>
      <c r="C10" s="2" t="s">
        <v>6</v>
      </c>
      <c r="D10" s="2" t="s">
        <v>35</v>
      </c>
      <c r="E10" s="3" t="s">
        <v>26</v>
      </c>
      <c r="F10" s="3" t="s">
        <v>24</v>
      </c>
      <c r="G10" s="9">
        <v>637641</v>
      </c>
      <c r="H10" s="17" t="s">
        <v>107</v>
      </c>
      <c r="I10" s="26" t="str">
        <f t="shared" si="0"/>
        <v>Lussandro</v>
      </c>
      <c r="J10" s="26" t="str">
        <f t="shared" si="1"/>
        <v>1Imperatriz - MA9</v>
      </c>
      <c r="K10" s="27" t="str">
        <f>IFERROR(VLOOKUP(J10,Substituicoes!J:J,1,0),"SS")</f>
        <v>SS</v>
      </c>
      <c r="L10" s="27" t="str">
        <f>IFERROR(VLOOKUP(J10,Substituicoes!K:K,1,0),"SS")</f>
        <v>1Imperatriz - MA9</v>
      </c>
      <c r="M10" s="28" t="b">
        <f t="shared" si="2"/>
        <v>0</v>
      </c>
      <c r="N10" s="29">
        <f>IF(AND(K10=L10,LEFT(E10,1)="T"),VLOOKUP(A10,'JOGOS BASE'!A:E,4,0),IF(K10=J10,VLOOKUP(J10,Substituicoes!J:R,6,0),IF(L10=J10,VLOOKUP(Escalacao!J10,Substituicoes!K:R,7,0),0)))</f>
        <v>49</v>
      </c>
      <c r="O10" s="28">
        <f>IF(AND(K10=L10,LEFT(E10,1)="T"),VLOOKUP(A10,'JOGOS BASE'!A:E,5,0),IF(K10=J10,VLOOKUP(J10,Substituicoes!J:R,7,0),IF(L10=J10,VLOOKUP(Escalacao!J10,Substituicoes!K:R,8,0),0)))</f>
        <v>27</v>
      </c>
      <c r="P10" s="28">
        <f t="shared" si="3"/>
        <v>76</v>
      </c>
      <c r="Q10" s="28" t="str">
        <f t="shared" si="4"/>
        <v>19Imperatriz - MA</v>
      </c>
      <c r="R10" s="28" t="str">
        <f>VLOOKUP(A10,'JOGOS BASE'!A:H,8)</f>
        <v>11.01.2025 - Imperatriz - MA x Sampaio Corrêa - MA</v>
      </c>
    </row>
    <row r="11" spans="1:18" ht="30.6">
      <c r="A11" s="17">
        <v>1</v>
      </c>
      <c r="B11" s="1">
        <v>10</v>
      </c>
      <c r="C11" s="2" t="s">
        <v>36</v>
      </c>
      <c r="D11" s="2" t="s">
        <v>37</v>
      </c>
      <c r="E11" s="3" t="s">
        <v>26</v>
      </c>
      <c r="F11" s="3" t="s">
        <v>24</v>
      </c>
      <c r="G11" s="9">
        <v>293426</v>
      </c>
      <c r="H11" s="17" t="s">
        <v>107</v>
      </c>
      <c r="I11" s="26" t="str">
        <f t="shared" si="0"/>
        <v>Henrique S ...</v>
      </c>
      <c r="J11" s="26" t="str">
        <f t="shared" si="1"/>
        <v>1Imperatriz - MA10</v>
      </c>
      <c r="K11" s="27" t="str">
        <f>IFERROR(VLOOKUP(J11,Substituicoes!J:J,1,0),"SS")</f>
        <v>SS</v>
      </c>
      <c r="L11" s="27" t="str">
        <f>IFERROR(VLOOKUP(J11,Substituicoes!K:K,1,0),"SS")</f>
        <v>1Imperatriz - MA10</v>
      </c>
      <c r="M11" s="28" t="b">
        <f t="shared" si="2"/>
        <v>0</v>
      </c>
      <c r="N11" s="29">
        <f>IF(AND(K11=L11,LEFT(E11,1)="T"),VLOOKUP(A11,'JOGOS BASE'!A:E,4,0),IF(K11=J11,VLOOKUP(J11,Substituicoes!J:R,6,0),IF(L11=J11,VLOOKUP(Escalacao!J11,Substituicoes!K:R,7,0),0)))</f>
        <v>49</v>
      </c>
      <c r="O11" s="28">
        <f>IF(AND(K11=L11,LEFT(E11,1)="T"),VLOOKUP(A11,'JOGOS BASE'!A:E,5,0),IF(K11=J11,VLOOKUP(J11,Substituicoes!J:R,7,0),IF(L11=J11,VLOOKUP(Escalacao!J11,Substituicoes!K:R,8,0),0)))</f>
        <v>0</v>
      </c>
      <c r="P11" s="28">
        <f t="shared" si="3"/>
        <v>49</v>
      </c>
      <c r="Q11" s="28" t="str">
        <f t="shared" si="4"/>
        <v>110Imperatriz - MA</v>
      </c>
      <c r="R11" s="28" t="str">
        <f>VLOOKUP(A11,'JOGOS BASE'!A:H,8)</f>
        <v>11.01.2025 - Imperatriz - MA x Sampaio Corrêa - MA</v>
      </c>
    </row>
    <row r="12" spans="1:18" ht="20.399999999999999">
      <c r="A12" s="17">
        <v>1</v>
      </c>
      <c r="B12" s="1">
        <v>11</v>
      </c>
      <c r="C12" s="2" t="s">
        <v>7</v>
      </c>
      <c r="D12" s="2" t="s">
        <v>38</v>
      </c>
      <c r="E12" s="3" t="s">
        <v>26</v>
      </c>
      <c r="F12" s="3" t="s">
        <v>24</v>
      </c>
      <c r="G12" s="9">
        <v>386286</v>
      </c>
      <c r="H12" s="17" t="s">
        <v>107</v>
      </c>
      <c r="I12" s="26" t="str">
        <f t="shared" si="0"/>
        <v>Café</v>
      </c>
      <c r="J12" s="26" t="str">
        <f t="shared" si="1"/>
        <v>1Imperatriz - MA11</v>
      </c>
      <c r="K12" s="27" t="str">
        <f>IFERROR(VLOOKUP(J12,Substituicoes!J:J,1,0),"SS")</f>
        <v>SS</v>
      </c>
      <c r="L12" s="27" t="str">
        <f>IFERROR(VLOOKUP(J12,Substituicoes!K:K,1,0),"SS")</f>
        <v>1Imperatriz - MA11</v>
      </c>
      <c r="M12" s="28" t="b">
        <f t="shared" si="2"/>
        <v>0</v>
      </c>
      <c r="N12" s="29">
        <f>IF(AND(K12=L12,LEFT(E12,1)="T"),VLOOKUP(A12,'JOGOS BASE'!A:E,4,0),IF(K12=J12,VLOOKUP(J12,Substituicoes!J:R,6,0),IF(L12=J12,VLOOKUP(Escalacao!J12,Substituicoes!K:R,7,0),0)))</f>
        <v>49</v>
      </c>
      <c r="O12" s="28">
        <f>IF(AND(K12=L12,LEFT(E12,1)="T"),VLOOKUP(A12,'JOGOS BASE'!A:E,5,0),IF(K12=J12,VLOOKUP(J12,Substituicoes!J:R,7,0),IF(L12=J12,VLOOKUP(Escalacao!J12,Substituicoes!K:R,8,0),0)))</f>
        <v>13</v>
      </c>
      <c r="P12" s="28">
        <f t="shared" si="3"/>
        <v>62</v>
      </c>
      <c r="Q12" s="28" t="str">
        <f t="shared" si="4"/>
        <v>111Imperatriz - MA</v>
      </c>
      <c r="R12" s="28" t="str">
        <f>VLOOKUP(A12,'JOGOS BASE'!A:H,8)</f>
        <v>11.01.2025 - Imperatriz - MA x Sampaio Corrêa - MA</v>
      </c>
    </row>
    <row r="13" spans="1:18" ht="30.6">
      <c r="A13" s="17">
        <v>1</v>
      </c>
      <c r="B13" s="1">
        <v>12</v>
      </c>
      <c r="C13" s="2" t="s">
        <v>8</v>
      </c>
      <c r="D13" s="2" t="s">
        <v>39</v>
      </c>
      <c r="E13" s="3" t="s">
        <v>40</v>
      </c>
      <c r="F13" s="3" t="s">
        <v>24</v>
      </c>
      <c r="G13" s="9">
        <v>426518</v>
      </c>
      <c r="H13" s="17" t="s">
        <v>107</v>
      </c>
      <c r="I13" s="26" t="str">
        <f t="shared" si="0"/>
        <v>Redson</v>
      </c>
      <c r="J13" s="26" t="str">
        <f t="shared" si="1"/>
        <v>1Imperatriz - MA12</v>
      </c>
      <c r="K13" s="27" t="str">
        <f>IFERROR(VLOOKUP(J13,Substituicoes!J:J,1,0),"SS")</f>
        <v>SS</v>
      </c>
      <c r="L13" s="27" t="str">
        <f>IFERROR(VLOOKUP(J13,Substituicoes!K:K,1,0),"SS")</f>
        <v>SS</v>
      </c>
      <c r="M13" s="28" t="b">
        <f t="shared" si="2"/>
        <v>1</v>
      </c>
      <c r="N13" s="29">
        <f>IF(AND(K13=L13,LEFT(E13,1)="T"),VLOOKUP(A13,'JOGOS BASE'!A:E,4,0),IF(K13=J13,VLOOKUP(J13,Substituicoes!J:R,6,0),IF(L13=J13,VLOOKUP(Escalacao!J13,Substituicoes!K:R,7,0),0)))</f>
        <v>0</v>
      </c>
      <c r="O13" s="28">
        <f>IF(AND(K13=L13,LEFT(E13,1)="T"),VLOOKUP(A13,'JOGOS BASE'!A:E,5,0),IF(K13=J13,VLOOKUP(J13,Substituicoes!J:R,7,0),IF(L13=J13,VLOOKUP(Escalacao!J13,Substituicoes!K:R,8,0),0)))</f>
        <v>0</v>
      </c>
      <c r="P13" s="28">
        <f t="shared" si="3"/>
        <v>0</v>
      </c>
      <c r="Q13" s="28" t="str">
        <f t="shared" si="4"/>
        <v>112Imperatriz - MA</v>
      </c>
      <c r="R13" s="28" t="str">
        <f>VLOOKUP(A13,'JOGOS BASE'!A:H,8)</f>
        <v>11.01.2025 - Imperatriz - MA x Sampaio Corrêa - MA</v>
      </c>
    </row>
    <row r="14" spans="1:18" ht="30.6">
      <c r="A14" s="17">
        <v>1</v>
      </c>
      <c r="B14" s="1">
        <v>13</v>
      </c>
      <c r="C14" s="2" t="s">
        <v>9</v>
      </c>
      <c r="D14" s="2" t="s">
        <v>41</v>
      </c>
      <c r="E14" s="3" t="s">
        <v>42</v>
      </c>
      <c r="F14" s="3" t="s">
        <v>24</v>
      </c>
      <c r="G14" s="9">
        <v>460285</v>
      </c>
      <c r="H14" s="17" t="s">
        <v>107</v>
      </c>
      <c r="I14" s="26" t="str">
        <f t="shared" si="0"/>
        <v>Max Maraba</v>
      </c>
      <c r="J14" s="26" t="str">
        <f t="shared" si="1"/>
        <v>1Imperatriz - MA13</v>
      </c>
      <c r="K14" s="27" t="str">
        <f>IFERROR(VLOOKUP(J14,Substituicoes!J:J,1,0),"SS")</f>
        <v>SS</v>
      </c>
      <c r="L14" s="27" t="str">
        <f>IFERROR(VLOOKUP(J14,Substituicoes!K:K,1,0),"SS")</f>
        <v>SS</v>
      </c>
      <c r="M14" s="28" t="b">
        <f t="shared" si="2"/>
        <v>1</v>
      </c>
      <c r="N14" s="29">
        <f>IF(AND(K14=L14,LEFT(E14,1)="T"),VLOOKUP(A14,'JOGOS BASE'!A:E,4,0),IF(K14=J14,VLOOKUP(J14,Substituicoes!J:R,6,0),IF(L14=J14,VLOOKUP(Escalacao!J14,Substituicoes!K:R,7,0),0)))</f>
        <v>0</v>
      </c>
      <c r="O14" s="28">
        <f>IF(AND(K14=L14,LEFT(E14,1)="T"),VLOOKUP(A14,'JOGOS BASE'!A:E,5,0),IF(K14=J14,VLOOKUP(J14,Substituicoes!J:R,7,0),IF(L14=J14,VLOOKUP(Escalacao!J14,Substituicoes!K:R,8,0),0)))</f>
        <v>0</v>
      </c>
      <c r="P14" s="28">
        <f t="shared" si="3"/>
        <v>0</v>
      </c>
      <c r="Q14" s="28" t="str">
        <f t="shared" si="4"/>
        <v>113Imperatriz - MA</v>
      </c>
      <c r="R14" s="28" t="str">
        <f>VLOOKUP(A14,'JOGOS BASE'!A:H,8)</f>
        <v>11.01.2025 - Imperatriz - MA x Sampaio Corrêa - MA</v>
      </c>
    </row>
    <row r="15" spans="1:18" ht="30.6">
      <c r="A15" s="17">
        <v>1</v>
      </c>
      <c r="B15" s="1">
        <v>14</v>
      </c>
      <c r="C15" s="2" t="s">
        <v>43</v>
      </c>
      <c r="D15" s="2" t="s">
        <v>44</v>
      </c>
      <c r="E15" s="3" t="s">
        <v>42</v>
      </c>
      <c r="F15" s="3" t="s">
        <v>24</v>
      </c>
      <c r="G15" s="9">
        <v>782606</v>
      </c>
      <c r="H15" s="17" t="s">
        <v>107</v>
      </c>
      <c r="I15" s="26" t="str">
        <f t="shared" si="0"/>
        <v>Raylson</v>
      </c>
      <c r="J15" s="26" t="str">
        <f t="shared" si="1"/>
        <v>1Imperatriz - MA14</v>
      </c>
      <c r="K15" s="27" t="str">
        <f>IFERROR(VLOOKUP(J15,Substituicoes!J:J,1,0),"SS")</f>
        <v>SS</v>
      </c>
      <c r="L15" s="27" t="str">
        <f>IFERROR(VLOOKUP(J15,Substituicoes!K:K,1,0),"SS")</f>
        <v>SS</v>
      </c>
      <c r="M15" s="28" t="b">
        <f t="shared" si="2"/>
        <v>1</v>
      </c>
      <c r="N15" s="29">
        <f>IF(AND(K15=L15,LEFT(E15,1)="T"),VLOOKUP(A15,'JOGOS BASE'!A:E,4,0),IF(K15=J15,VLOOKUP(J15,Substituicoes!J:R,6,0),IF(L15=J15,VLOOKUP(Escalacao!J15,Substituicoes!K:R,7,0),0)))</f>
        <v>0</v>
      </c>
      <c r="O15" s="28">
        <f>IF(AND(K15=L15,LEFT(E15,1)="T"),VLOOKUP(A15,'JOGOS BASE'!A:E,5,0),IF(K15=J15,VLOOKUP(J15,Substituicoes!J:R,7,0),IF(L15=J15,VLOOKUP(Escalacao!J15,Substituicoes!K:R,8,0),0)))</f>
        <v>0</v>
      </c>
      <c r="P15" s="28">
        <f t="shared" si="3"/>
        <v>0</v>
      </c>
      <c r="Q15" s="28" t="str">
        <f t="shared" si="4"/>
        <v>114Imperatriz - MA</v>
      </c>
      <c r="R15" s="28" t="str">
        <f>VLOOKUP(A15,'JOGOS BASE'!A:H,8)</f>
        <v>11.01.2025 - Imperatriz - MA x Sampaio Corrêa - MA</v>
      </c>
    </row>
    <row r="16" spans="1:18" ht="30.6">
      <c r="A16" s="17">
        <v>1</v>
      </c>
      <c r="B16" s="1">
        <v>15</v>
      </c>
      <c r="C16" s="2" t="s">
        <v>45</v>
      </c>
      <c r="D16" s="2" t="s">
        <v>46</v>
      </c>
      <c r="E16" s="3" t="s">
        <v>42</v>
      </c>
      <c r="F16" s="3" t="s">
        <v>24</v>
      </c>
      <c r="G16" s="9">
        <v>500483</v>
      </c>
      <c r="H16" s="17" t="s">
        <v>107</v>
      </c>
      <c r="I16" s="26" t="str">
        <f t="shared" si="0"/>
        <v>CARLOS</v>
      </c>
      <c r="J16" s="26" t="str">
        <f t="shared" si="1"/>
        <v>1Imperatriz - MA15</v>
      </c>
      <c r="K16" s="27" t="str">
        <f>IFERROR(VLOOKUP(J16,Substituicoes!J:J,1,0),"SS")</f>
        <v>SS</v>
      </c>
      <c r="L16" s="27" t="str">
        <f>IFERROR(VLOOKUP(J16,Substituicoes!K:K,1,0),"SS")</f>
        <v>SS</v>
      </c>
      <c r="M16" s="28" t="b">
        <f t="shared" si="2"/>
        <v>1</v>
      </c>
      <c r="N16" s="29">
        <f>IF(AND(K16=L16,LEFT(E16,1)="T"),VLOOKUP(A16,'JOGOS BASE'!A:E,4,0),IF(K16=J16,VLOOKUP(J16,Substituicoes!J:R,6,0),IF(L16=J16,VLOOKUP(Escalacao!J16,Substituicoes!K:R,7,0),0)))</f>
        <v>0</v>
      </c>
      <c r="O16" s="28">
        <f>IF(AND(K16=L16,LEFT(E16,1)="T"),VLOOKUP(A16,'JOGOS BASE'!A:E,5,0),IF(K16=J16,VLOOKUP(J16,Substituicoes!J:R,7,0),IF(L16=J16,VLOOKUP(Escalacao!J16,Substituicoes!K:R,8,0),0)))</f>
        <v>0</v>
      </c>
      <c r="P16" s="28">
        <f t="shared" si="3"/>
        <v>0</v>
      </c>
      <c r="Q16" s="28" t="str">
        <f t="shared" si="4"/>
        <v>115Imperatriz - MA</v>
      </c>
      <c r="R16" s="28" t="str">
        <f>VLOOKUP(A16,'JOGOS BASE'!A:H,8)</f>
        <v>11.01.2025 - Imperatriz - MA x Sampaio Corrêa - MA</v>
      </c>
    </row>
    <row r="17" spans="1:18" ht="30.6">
      <c r="A17" s="17">
        <v>1</v>
      </c>
      <c r="B17" s="1">
        <v>16</v>
      </c>
      <c r="C17" s="2" t="s">
        <v>47</v>
      </c>
      <c r="D17" s="2" t="s">
        <v>48</v>
      </c>
      <c r="E17" s="3" t="s">
        <v>42</v>
      </c>
      <c r="F17" s="3" t="s">
        <v>24</v>
      </c>
      <c r="G17" s="9">
        <v>762553</v>
      </c>
      <c r="H17" s="17" t="s">
        <v>107</v>
      </c>
      <c r="I17" s="26" t="str">
        <f t="shared" si="0"/>
        <v>ADRIAN</v>
      </c>
      <c r="J17" s="26" t="str">
        <f t="shared" si="1"/>
        <v>1Imperatriz - MA16</v>
      </c>
      <c r="K17" s="27" t="str">
        <f>IFERROR(VLOOKUP(J17,Substituicoes!J:J,1,0),"SS")</f>
        <v>SS</v>
      </c>
      <c r="L17" s="27" t="str">
        <f>IFERROR(VLOOKUP(J17,Substituicoes!K:K,1,0),"SS")</f>
        <v>SS</v>
      </c>
      <c r="M17" s="28" t="b">
        <f t="shared" si="2"/>
        <v>1</v>
      </c>
      <c r="N17" s="29">
        <f>IF(AND(K17=L17,LEFT(E17,1)="T"),VLOOKUP(A17,'JOGOS BASE'!A:E,4,0),IF(K17=J17,VLOOKUP(J17,Substituicoes!J:R,6,0),IF(L17=J17,VLOOKUP(Escalacao!J17,Substituicoes!K:R,7,0),0)))</f>
        <v>0</v>
      </c>
      <c r="O17" s="28">
        <f>IF(AND(K17=L17,LEFT(E17,1)="T"),VLOOKUP(A17,'JOGOS BASE'!A:E,5,0),IF(K17=J17,VLOOKUP(J17,Substituicoes!J:R,7,0),IF(L17=J17,VLOOKUP(Escalacao!J17,Substituicoes!K:R,8,0),0)))</f>
        <v>0</v>
      </c>
      <c r="P17" s="28">
        <f t="shared" si="3"/>
        <v>0</v>
      </c>
      <c r="Q17" s="28" t="str">
        <f t="shared" si="4"/>
        <v>116Imperatriz - MA</v>
      </c>
      <c r="R17" s="28" t="str">
        <f>VLOOKUP(A17,'JOGOS BASE'!A:H,8)</f>
        <v>11.01.2025 - Imperatriz - MA x Sampaio Corrêa - MA</v>
      </c>
    </row>
    <row r="18" spans="1:18" ht="30.6">
      <c r="A18" s="17">
        <v>1</v>
      </c>
      <c r="B18" s="1">
        <v>17</v>
      </c>
      <c r="C18" s="2" t="s">
        <v>10</v>
      </c>
      <c r="D18" s="2" t="s">
        <v>49</v>
      </c>
      <c r="E18" s="3" t="s">
        <v>42</v>
      </c>
      <c r="F18" s="3" t="s">
        <v>24</v>
      </c>
      <c r="G18" s="9">
        <v>647823</v>
      </c>
      <c r="H18" s="17" t="s">
        <v>107</v>
      </c>
      <c r="I18" s="26" t="str">
        <f t="shared" si="0"/>
        <v>Pedro Zuccolo</v>
      </c>
      <c r="J18" s="26" t="str">
        <f t="shared" si="1"/>
        <v>1Imperatriz - MA17</v>
      </c>
      <c r="K18" s="27" t="str">
        <f>IFERROR(VLOOKUP(J18,Substituicoes!J:J,1,0),"SS")</f>
        <v>1Imperatriz - MA17</v>
      </c>
      <c r="L18" s="27" t="str">
        <f>IFERROR(VLOOKUP(J18,Substituicoes!K:K,1,0),"SS")</f>
        <v>SS</v>
      </c>
      <c r="M18" s="28" t="b">
        <f t="shared" si="2"/>
        <v>0</v>
      </c>
      <c r="N18" s="29">
        <f>IF(AND(K18=L18,LEFT(E18,1)="T"),VLOOKUP(A18,'JOGOS BASE'!A:E,4,0),IF(K18=J18,VLOOKUP(J18,Substituicoes!J:R,6,0),IF(L18=J18,VLOOKUP(Escalacao!J18,Substituicoes!K:R,7,0),0)))</f>
        <v>0</v>
      </c>
      <c r="O18" s="28">
        <f>IF(AND(K18=L18,LEFT(E18,1)="T"),VLOOKUP(A18,'JOGOS BASE'!A:E,5,0),IF(K18=J18,VLOOKUP(J18,Substituicoes!J:R,7,0),IF(L18=J18,VLOOKUP(Escalacao!J18,Substituicoes!K:R,8,0),0)))</f>
        <v>23</v>
      </c>
      <c r="P18" s="28">
        <f t="shared" si="3"/>
        <v>23</v>
      </c>
      <c r="Q18" s="28" t="str">
        <f t="shared" si="4"/>
        <v>117Imperatriz - MA</v>
      </c>
      <c r="R18" s="28" t="str">
        <f>VLOOKUP(A18,'JOGOS BASE'!A:H,8)</f>
        <v>11.01.2025 - Imperatriz - MA x Sampaio Corrêa - MA</v>
      </c>
    </row>
    <row r="19" spans="1:18" ht="30.6">
      <c r="A19" s="17">
        <v>1</v>
      </c>
      <c r="B19" s="1">
        <v>18</v>
      </c>
      <c r="C19" s="2" t="s">
        <v>11</v>
      </c>
      <c r="D19" s="2" t="s">
        <v>50</v>
      </c>
      <c r="E19" s="3" t="s">
        <v>42</v>
      </c>
      <c r="F19" s="3" t="s">
        <v>24</v>
      </c>
      <c r="G19" s="9">
        <v>753179</v>
      </c>
      <c r="H19" s="17" t="s">
        <v>107</v>
      </c>
      <c r="I19" s="26" t="str">
        <f t="shared" si="0"/>
        <v>Xinayder</v>
      </c>
      <c r="J19" s="26" t="str">
        <f t="shared" si="1"/>
        <v>1Imperatriz - MA18</v>
      </c>
      <c r="K19" s="27" t="str">
        <f>IFERROR(VLOOKUP(J19,Substituicoes!J:J,1,0),"SS")</f>
        <v>SS</v>
      </c>
      <c r="L19" s="27" t="str">
        <f>IFERROR(VLOOKUP(J19,Substituicoes!K:K,1,0),"SS")</f>
        <v>SS</v>
      </c>
      <c r="M19" s="28" t="b">
        <f t="shared" si="2"/>
        <v>1</v>
      </c>
      <c r="N19" s="29">
        <f>IF(AND(K19=L19,LEFT(E19,1)="T"),VLOOKUP(A19,'JOGOS BASE'!A:E,4,0),IF(K19=J19,VLOOKUP(J19,Substituicoes!J:R,6,0),IF(L19=J19,VLOOKUP(Escalacao!J19,Substituicoes!K:R,7,0),0)))</f>
        <v>0</v>
      </c>
      <c r="O19" s="28">
        <f>IF(AND(K19=L19,LEFT(E19,1)="T"),VLOOKUP(A19,'JOGOS BASE'!A:E,5,0),IF(K19=J19,VLOOKUP(J19,Substituicoes!J:R,7,0),IF(L19=J19,VLOOKUP(Escalacao!J19,Substituicoes!K:R,8,0),0)))</f>
        <v>0</v>
      </c>
      <c r="P19" s="28">
        <f t="shared" si="3"/>
        <v>0</v>
      </c>
      <c r="Q19" s="28" t="str">
        <f t="shared" si="4"/>
        <v>118Imperatriz - MA</v>
      </c>
      <c r="R19" s="28" t="str">
        <f>VLOOKUP(A19,'JOGOS BASE'!A:H,8)</f>
        <v>11.01.2025 - Imperatriz - MA x Sampaio Corrêa - MA</v>
      </c>
    </row>
    <row r="20" spans="1:18" ht="30.6">
      <c r="A20" s="17">
        <v>1</v>
      </c>
      <c r="B20" s="1">
        <v>19</v>
      </c>
      <c r="C20" s="2" t="s">
        <v>51</v>
      </c>
      <c r="D20" s="2" t="s">
        <v>52</v>
      </c>
      <c r="E20" s="3" t="s">
        <v>42</v>
      </c>
      <c r="F20" s="3" t="s">
        <v>24</v>
      </c>
      <c r="G20" s="9">
        <v>611147</v>
      </c>
      <c r="H20" s="17" t="s">
        <v>107</v>
      </c>
      <c r="I20" s="26" t="str">
        <f t="shared" si="0"/>
        <v>WYLDSON</v>
      </c>
      <c r="J20" s="26" t="str">
        <f t="shared" si="1"/>
        <v>1Imperatriz - MA19</v>
      </c>
      <c r="K20" s="27" t="str">
        <f>IFERROR(VLOOKUP(J20,Substituicoes!J:J,1,0),"SS")</f>
        <v>1Imperatriz - MA19</v>
      </c>
      <c r="L20" s="27" t="str">
        <f>IFERROR(VLOOKUP(J20,Substituicoes!K:K,1,0),"SS")</f>
        <v>SS</v>
      </c>
      <c r="M20" s="28" t="b">
        <f t="shared" si="2"/>
        <v>0</v>
      </c>
      <c r="N20" s="29">
        <f>IF(AND(K20=L20,LEFT(E20,1)="T"),VLOOKUP(A20,'JOGOS BASE'!A:E,4,0),IF(K20=J20,VLOOKUP(J20,Substituicoes!J:R,6,0),IF(L20=J20,VLOOKUP(Escalacao!J20,Substituicoes!K:R,7,0),0)))</f>
        <v>0</v>
      </c>
      <c r="O20" s="28">
        <f>IF(AND(K20=L20,LEFT(E20,1)="T"),VLOOKUP(A20,'JOGOS BASE'!A:E,5,0),IF(K20=J20,VLOOKUP(J20,Substituicoes!J:R,7,0),IF(L20=J20,VLOOKUP(Escalacao!J20,Substituicoes!K:R,8,0),0)))</f>
        <v>50</v>
      </c>
      <c r="P20" s="28">
        <f t="shared" si="3"/>
        <v>50</v>
      </c>
      <c r="Q20" s="28" t="str">
        <f t="shared" si="4"/>
        <v>119Imperatriz - MA</v>
      </c>
      <c r="R20" s="28" t="str">
        <f>VLOOKUP(A20,'JOGOS BASE'!A:H,8)</f>
        <v>11.01.2025 - Imperatriz - MA x Sampaio Corrêa - MA</v>
      </c>
    </row>
    <row r="21" spans="1:18" ht="20.399999999999999">
      <c r="A21" s="17">
        <v>1</v>
      </c>
      <c r="B21" s="1">
        <v>20</v>
      </c>
      <c r="C21" s="2" t="s">
        <v>12</v>
      </c>
      <c r="D21" s="2" t="s">
        <v>53</v>
      </c>
      <c r="E21" s="3" t="s">
        <v>42</v>
      </c>
      <c r="F21" s="3" t="s">
        <v>24</v>
      </c>
      <c r="G21" s="9">
        <v>582303</v>
      </c>
      <c r="H21" s="17" t="s">
        <v>107</v>
      </c>
      <c r="I21" s="26" t="str">
        <f t="shared" si="0"/>
        <v>Ruan</v>
      </c>
      <c r="J21" s="26" t="str">
        <f t="shared" si="1"/>
        <v>1Imperatriz - MA20</v>
      </c>
      <c r="K21" s="27" t="str">
        <f>IFERROR(VLOOKUP(J21,Substituicoes!J:J,1,0),"SS")</f>
        <v>1Imperatriz - MA20</v>
      </c>
      <c r="L21" s="27" t="str">
        <f>IFERROR(VLOOKUP(J21,Substituicoes!K:K,1,0),"SS")</f>
        <v>SS</v>
      </c>
      <c r="M21" s="28" t="b">
        <f t="shared" si="2"/>
        <v>0</v>
      </c>
      <c r="N21" s="29">
        <f>IF(AND(K21=L21,LEFT(E21,1)="T"),VLOOKUP(A21,'JOGOS BASE'!A:E,4,0),IF(K21=J21,VLOOKUP(J21,Substituicoes!J:R,6,0),IF(L21=J21,VLOOKUP(Escalacao!J21,Substituicoes!K:R,7,0),0)))</f>
        <v>0</v>
      </c>
      <c r="O21" s="28">
        <f>IF(AND(K21=L21,LEFT(E21,1)="T"),VLOOKUP(A21,'JOGOS BASE'!A:E,5,0),IF(K21=J21,VLOOKUP(J21,Substituicoes!J:R,7,0),IF(L21=J21,VLOOKUP(Escalacao!J21,Substituicoes!K:R,8,0),0)))</f>
        <v>10</v>
      </c>
      <c r="P21" s="28">
        <f t="shared" si="3"/>
        <v>10</v>
      </c>
      <c r="Q21" s="28" t="str">
        <f t="shared" si="4"/>
        <v>120Imperatriz - MA</v>
      </c>
      <c r="R21" s="28" t="str">
        <f>VLOOKUP(A21,'JOGOS BASE'!A:H,8)</f>
        <v>11.01.2025 - Imperatriz - MA x Sampaio Corrêa - MA</v>
      </c>
    </row>
    <row r="22" spans="1:18" ht="30.6">
      <c r="A22" s="17">
        <v>1</v>
      </c>
      <c r="B22" s="1">
        <v>21</v>
      </c>
      <c r="C22" s="2" t="s">
        <v>54</v>
      </c>
      <c r="D22" s="2" t="s">
        <v>55</v>
      </c>
      <c r="E22" s="3" t="s">
        <v>42</v>
      </c>
      <c r="F22" s="3" t="s">
        <v>56</v>
      </c>
      <c r="G22" s="9">
        <v>688309</v>
      </c>
      <c r="H22" s="17" t="s">
        <v>107</v>
      </c>
      <c r="I22" s="26" t="str">
        <f t="shared" si="0"/>
        <v>WESLEY CO</v>
      </c>
      <c r="J22" s="26" t="str">
        <f t="shared" si="1"/>
        <v>1Imperatriz - MA21</v>
      </c>
      <c r="K22" s="27" t="str">
        <f>IFERROR(VLOOKUP(J22,Substituicoes!J:J,1,0),"SS")</f>
        <v>1Imperatriz - MA21</v>
      </c>
      <c r="L22" s="27" t="str">
        <f>IFERROR(VLOOKUP(J22,Substituicoes!K:K,1,0),"SS")</f>
        <v>SS</v>
      </c>
      <c r="M22" s="28" t="b">
        <f t="shared" si="2"/>
        <v>0</v>
      </c>
      <c r="N22" s="29">
        <f>IF(AND(K22=L22,LEFT(E22,1)="T"),VLOOKUP(A22,'JOGOS BASE'!A:E,4,0),IF(K22=J22,VLOOKUP(J22,Substituicoes!J:R,6,0),IF(L22=J22,VLOOKUP(Escalacao!J22,Substituicoes!K:R,7,0),0)))</f>
        <v>0</v>
      </c>
      <c r="O22" s="28">
        <f>IF(AND(K22=L22,LEFT(E22,1)="T"),VLOOKUP(A22,'JOGOS BASE'!A:E,5,0),IF(K22=J22,VLOOKUP(J22,Substituicoes!J:R,7,0),IF(L22=J22,VLOOKUP(Escalacao!J22,Substituicoes!K:R,8,0),0)))</f>
        <v>37</v>
      </c>
      <c r="P22" s="28">
        <f t="shared" si="3"/>
        <v>37</v>
      </c>
      <c r="Q22" s="28" t="str">
        <f t="shared" si="4"/>
        <v>121Imperatriz - MA</v>
      </c>
      <c r="R22" s="28" t="str">
        <f>VLOOKUP(A22,'JOGOS BASE'!A:H,8)</f>
        <v>11.01.2025 - Imperatriz - MA x Sampaio Corrêa - MA</v>
      </c>
    </row>
    <row r="23" spans="1:18" ht="30.6">
      <c r="A23" s="17">
        <v>1</v>
      </c>
      <c r="B23" s="1">
        <v>22</v>
      </c>
      <c r="C23" s="2" t="s">
        <v>57</v>
      </c>
      <c r="D23" s="2" t="s">
        <v>58</v>
      </c>
      <c r="E23" s="3" t="s">
        <v>42</v>
      </c>
      <c r="F23" s="3" t="s">
        <v>24</v>
      </c>
      <c r="G23" s="9">
        <v>762150</v>
      </c>
      <c r="H23" s="17" t="s">
        <v>107</v>
      </c>
      <c r="I23" s="26" t="str">
        <f t="shared" si="0"/>
        <v>Junior</v>
      </c>
      <c r="J23" s="26" t="str">
        <f t="shared" si="1"/>
        <v>1Imperatriz - MA22</v>
      </c>
      <c r="K23" s="27" t="str">
        <f>IFERROR(VLOOKUP(J23,Substituicoes!J:J,1,0),"SS")</f>
        <v>1Imperatriz - MA22</v>
      </c>
      <c r="L23" s="27" t="str">
        <f>IFERROR(VLOOKUP(J23,Substituicoes!K:K,1,0),"SS")</f>
        <v>SS</v>
      </c>
      <c r="M23" s="28" t="b">
        <f t="shared" si="2"/>
        <v>0</v>
      </c>
      <c r="N23" s="29">
        <f>IF(AND(K23=L23,LEFT(E23,1)="T"),VLOOKUP(A23,'JOGOS BASE'!A:E,4,0),IF(K23=J23,VLOOKUP(J23,Substituicoes!J:R,6,0),IF(L23=J23,VLOOKUP(Escalacao!J23,Substituicoes!K:R,7,0),0)))</f>
        <v>0</v>
      </c>
      <c r="O23" s="28">
        <f>IF(AND(K23=L23,LEFT(E23,1)="T"),VLOOKUP(A23,'JOGOS BASE'!A:E,5,0),IF(K23=J23,VLOOKUP(J23,Substituicoes!J:R,7,0),IF(L23=J23,VLOOKUP(Escalacao!J23,Substituicoes!K:R,8,0),0)))</f>
        <v>23</v>
      </c>
      <c r="P23" s="28">
        <f t="shared" si="3"/>
        <v>23</v>
      </c>
      <c r="Q23" s="28" t="str">
        <f t="shared" si="4"/>
        <v>122Imperatriz - MA</v>
      </c>
      <c r="R23" s="28" t="str">
        <f>VLOOKUP(A23,'JOGOS BASE'!A:H,8)</f>
        <v>11.01.2025 - Imperatriz - MA x Sampaio Corrêa - MA</v>
      </c>
    </row>
    <row r="24" spans="1:18" ht="30.6">
      <c r="A24" s="17">
        <v>1</v>
      </c>
      <c r="B24" s="1">
        <v>1</v>
      </c>
      <c r="C24" s="2" t="s">
        <v>59</v>
      </c>
      <c r="D24" s="2" t="s">
        <v>60</v>
      </c>
      <c r="E24" s="3" t="s">
        <v>23</v>
      </c>
      <c r="F24" s="3" t="s">
        <v>24</v>
      </c>
      <c r="G24" s="9">
        <v>639922</v>
      </c>
      <c r="H24" s="17" t="s">
        <v>122</v>
      </c>
      <c r="I24" s="26" t="str">
        <f t="shared" si="0"/>
        <v>ALAN</v>
      </c>
      <c r="J24" s="26" t="str">
        <f t="shared" si="1"/>
        <v>1Sampaio Corrêa - MA1</v>
      </c>
      <c r="K24" s="27" t="str">
        <f>IFERROR(VLOOKUP(J24,Substituicoes!J:J,1,0),"SS")</f>
        <v>SS</v>
      </c>
      <c r="L24" s="27" t="str">
        <f>IFERROR(VLOOKUP(J24,Substituicoes!K:K,1,0),"SS")</f>
        <v>SS</v>
      </c>
      <c r="M24" s="28" t="b">
        <f t="shared" si="2"/>
        <v>1</v>
      </c>
      <c r="N24" s="29">
        <f>IF(AND(K24=L24,LEFT(E24,1)="T"),VLOOKUP(A24,'JOGOS BASE'!A:E,4,0),IF(K24=J24,VLOOKUP(J24,Substituicoes!J:R,6,0),IF(L24=J24,VLOOKUP(Escalacao!J24,Substituicoes!K:R,7,0),0)))</f>
        <v>49</v>
      </c>
      <c r="O24" s="28">
        <f>IF(AND(K24=L24,LEFT(E24,1)="T"),VLOOKUP(A24,'JOGOS BASE'!A:E,5,0),IF(K24=J24,VLOOKUP(J24,Substituicoes!J:R,7,0),IF(L24=J24,VLOOKUP(Escalacao!J24,Substituicoes!K:R,8,0),0)))</f>
        <v>50</v>
      </c>
      <c r="P24" s="28">
        <f t="shared" si="3"/>
        <v>99</v>
      </c>
      <c r="Q24" s="28" t="str">
        <f t="shared" si="4"/>
        <v>11Sampaio Corrêa - MA</v>
      </c>
      <c r="R24" s="28" t="str">
        <f>VLOOKUP(A24,'JOGOS BASE'!A:H,8)</f>
        <v>11.01.2025 - Imperatriz - MA x Sampaio Corrêa - MA</v>
      </c>
    </row>
    <row r="25" spans="1:18" ht="30.6">
      <c r="A25" s="17">
        <v>1</v>
      </c>
      <c r="B25" s="1">
        <v>2</v>
      </c>
      <c r="C25" s="2" t="s">
        <v>61</v>
      </c>
      <c r="D25" s="2" t="s">
        <v>62</v>
      </c>
      <c r="E25" s="3" t="s">
        <v>26</v>
      </c>
      <c r="F25" s="3" t="s">
        <v>24</v>
      </c>
      <c r="G25" s="9">
        <v>400878</v>
      </c>
      <c r="H25" s="17" t="s">
        <v>122</v>
      </c>
      <c r="I25" s="26" t="str">
        <f t="shared" si="0"/>
        <v>JÔ</v>
      </c>
      <c r="J25" s="26" t="str">
        <f t="shared" si="1"/>
        <v>1Sampaio Corrêa - MA2</v>
      </c>
      <c r="K25" s="27" t="str">
        <f>IFERROR(VLOOKUP(J25,Substituicoes!J:J,1,0),"SS")</f>
        <v>SS</v>
      </c>
      <c r="L25" s="27" t="str">
        <f>IFERROR(VLOOKUP(J25,Substituicoes!K:K,1,0),"SS")</f>
        <v>SS</v>
      </c>
      <c r="M25" s="28" t="b">
        <f t="shared" si="2"/>
        <v>1</v>
      </c>
      <c r="N25" s="29">
        <f>IF(AND(K25=L25,LEFT(E25,1)="T"),VLOOKUP(A25,'JOGOS BASE'!A:E,4,0),IF(K25=J25,VLOOKUP(J25,Substituicoes!J:R,6,0),IF(L25=J25,VLOOKUP(Escalacao!J25,Substituicoes!K:R,7,0),0)))</f>
        <v>49</v>
      </c>
      <c r="O25" s="28">
        <f>IF(AND(K25=L25,LEFT(E25,1)="T"),VLOOKUP(A25,'JOGOS BASE'!A:E,5,0),IF(K25=J25,VLOOKUP(J25,Substituicoes!J:R,7,0),IF(L25=J25,VLOOKUP(Escalacao!J25,Substituicoes!K:R,8,0),0)))</f>
        <v>50</v>
      </c>
      <c r="P25" s="28">
        <f t="shared" si="3"/>
        <v>99</v>
      </c>
      <c r="Q25" s="28" t="str">
        <f t="shared" si="4"/>
        <v>12Sampaio Corrêa - MA</v>
      </c>
      <c r="R25" s="28" t="str">
        <f>VLOOKUP(A25,'JOGOS BASE'!A:H,8)</f>
        <v>11.01.2025 - Imperatriz - MA x Sampaio Corrêa - MA</v>
      </c>
    </row>
    <row r="26" spans="1:18" ht="30.6">
      <c r="A26" s="17">
        <v>1</v>
      </c>
      <c r="B26" s="1">
        <v>3</v>
      </c>
      <c r="C26" s="2" t="s">
        <v>13</v>
      </c>
      <c r="D26" s="2" t="s">
        <v>63</v>
      </c>
      <c r="E26" s="3" t="s">
        <v>26</v>
      </c>
      <c r="F26" s="3" t="s">
        <v>24</v>
      </c>
      <c r="G26" s="9">
        <v>657429</v>
      </c>
      <c r="H26" s="17" t="s">
        <v>122</v>
      </c>
      <c r="I26" s="26" t="str">
        <f t="shared" si="0"/>
        <v>Eduardo</v>
      </c>
      <c r="J26" s="26" t="str">
        <f t="shared" si="1"/>
        <v>1Sampaio Corrêa - MA3</v>
      </c>
      <c r="K26" s="27" t="str">
        <f>IFERROR(VLOOKUP(J26,Substituicoes!J:J,1,0),"SS")</f>
        <v>SS</v>
      </c>
      <c r="L26" s="27" t="str">
        <f>IFERROR(VLOOKUP(J26,Substituicoes!K:K,1,0),"SS")</f>
        <v>SS</v>
      </c>
      <c r="M26" s="28" t="b">
        <f t="shared" si="2"/>
        <v>1</v>
      </c>
      <c r="N26" s="29">
        <f>IF(AND(K26=L26,LEFT(E26,1)="T"),VLOOKUP(A26,'JOGOS BASE'!A:E,4,0),IF(K26=J26,VLOOKUP(J26,Substituicoes!J:R,6,0),IF(L26=J26,VLOOKUP(Escalacao!J26,Substituicoes!K:R,7,0),0)))</f>
        <v>49</v>
      </c>
      <c r="O26" s="28">
        <f>IF(AND(K26=L26,LEFT(E26,1)="T"),VLOOKUP(A26,'JOGOS BASE'!A:E,5,0),IF(K26=J26,VLOOKUP(J26,Substituicoes!J:R,7,0),IF(L26=J26,VLOOKUP(Escalacao!J26,Substituicoes!K:R,8,0),0)))</f>
        <v>50</v>
      </c>
      <c r="P26" s="28">
        <f t="shared" si="3"/>
        <v>99</v>
      </c>
      <c r="Q26" s="28" t="str">
        <f t="shared" si="4"/>
        <v>13Sampaio Corrêa - MA</v>
      </c>
      <c r="R26" s="28" t="str">
        <f>VLOOKUP(A26,'JOGOS BASE'!A:H,8)</f>
        <v>11.01.2025 - Imperatriz - MA x Sampaio Corrêa - MA</v>
      </c>
    </row>
    <row r="27" spans="1:18" ht="30.6">
      <c r="A27" s="17">
        <v>1</v>
      </c>
      <c r="B27" s="1">
        <v>4</v>
      </c>
      <c r="C27" s="2" t="s">
        <v>14</v>
      </c>
      <c r="D27" s="2" t="s">
        <v>64</v>
      </c>
      <c r="E27" s="3" t="s">
        <v>26</v>
      </c>
      <c r="F27" s="3" t="s">
        <v>24</v>
      </c>
      <c r="G27" s="9">
        <v>298371</v>
      </c>
      <c r="H27" s="17" t="s">
        <v>122</v>
      </c>
      <c r="I27" s="26" t="str">
        <f t="shared" si="0"/>
        <v>Fabio</v>
      </c>
      <c r="J27" s="26" t="str">
        <f t="shared" si="1"/>
        <v>1Sampaio Corrêa - MA4</v>
      </c>
      <c r="K27" s="27" t="str">
        <f>IFERROR(VLOOKUP(J27,Substituicoes!J:J,1,0),"SS")</f>
        <v>SS</v>
      </c>
      <c r="L27" s="27" t="str">
        <f>IFERROR(VLOOKUP(J27,Substituicoes!K:K,1,0),"SS")</f>
        <v>SS</v>
      </c>
      <c r="M27" s="28" t="b">
        <f t="shared" si="2"/>
        <v>1</v>
      </c>
      <c r="N27" s="29">
        <f>IF(AND(K27=L27,LEFT(E27,1)="T"),VLOOKUP(A27,'JOGOS BASE'!A:E,4,0),IF(K27=J27,VLOOKUP(J27,Substituicoes!J:R,6,0),IF(L27=J27,VLOOKUP(Escalacao!J27,Substituicoes!K:R,7,0),0)))</f>
        <v>49</v>
      </c>
      <c r="O27" s="28">
        <f>IF(AND(K27=L27,LEFT(E27,1)="T"),VLOOKUP(A27,'JOGOS BASE'!A:E,5,0),IF(K27=J27,VLOOKUP(J27,Substituicoes!J:R,7,0),IF(L27=J27,VLOOKUP(Escalacao!J27,Substituicoes!K:R,8,0),0)))</f>
        <v>50</v>
      </c>
      <c r="P27" s="28">
        <f t="shared" si="3"/>
        <v>99</v>
      </c>
      <c r="Q27" s="28" t="str">
        <f t="shared" si="4"/>
        <v>14Sampaio Corrêa - MA</v>
      </c>
      <c r="R27" s="28" t="str">
        <f>VLOOKUP(A27,'JOGOS BASE'!A:H,8)</f>
        <v>11.01.2025 - Imperatriz - MA x Sampaio Corrêa - MA</v>
      </c>
    </row>
    <row r="28" spans="1:18" ht="30.6">
      <c r="A28" s="17">
        <v>1</v>
      </c>
      <c r="B28" s="1">
        <v>5</v>
      </c>
      <c r="C28" s="2" t="s">
        <v>15</v>
      </c>
      <c r="D28" s="2" t="s">
        <v>65</v>
      </c>
      <c r="E28" s="3" t="s">
        <v>26</v>
      </c>
      <c r="F28" s="3" t="s">
        <v>24</v>
      </c>
      <c r="G28" s="9">
        <v>509723</v>
      </c>
      <c r="H28" s="17" t="s">
        <v>122</v>
      </c>
      <c r="I28" s="26" t="str">
        <f t="shared" si="0"/>
        <v>Cavi</v>
      </c>
      <c r="J28" s="26" t="str">
        <f t="shared" si="1"/>
        <v>1Sampaio Corrêa - MA5</v>
      </c>
      <c r="K28" s="27" t="str">
        <f>IFERROR(VLOOKUP(J28,Substituicoes!J:J,1,0),"SS")</f>
        <v>SS</v>
      </c>
      <c r="L28" s="27" t="str">
        <f>IFERROR(VLOOKUP(J28,Substituicoes!K:K,1,0),"SS")</f>
        <v>SS</v>
      </c>
      <c r="M28" s="28" t="b">
        <f t="shared" si="2"/>
        <v>1</v>
      </c>
      <c r="N28" s="29">
        <f>IF(AND(K28=L28,LEFT(E28,1)="T"),VLOOKUP(A28,'JOGOS BASE'!A:E,4,0),IF(K28=J28,VLOOKUP(J28,Substituicoes!J:R,6,0),IF(L28=J28,VLOOKUP(Escalacao!J28,Substituicoes!K:R,7,0),0)))</f>
        <v>49</v>
      </c>
      <c r="O28" s="28">
        <f>IF(AND(K28=L28,LEFT(E28,1)="T"),VLOOKUP(A28,'JOGOS BASE'!A:E,5,0),IF(K28=J28,VLOOKUP(J28,Substituicoes!J:R,7,0),IF(L28=J28,VLOOKUP(Escalacao!J28,Substituicoes!K:R,8,0),0)))</f>
        <v>50</v>
      </c>
      <c r="P28" s="28">
        <f t="shared" si="3"/>
        <v>99</v>
      </c>
      <c r="Q28" s="28" t="str">
        <f t="shared" si="4"/>
        <v>15Sampaio Corrêa - MA</v>
      </c>
      <c r="R28" s="28" t="str">
        <f>VLOOKUP(A28,'JOGOS BASE'!A:H,8)</f>
        <v>11.01.2025 - Imperatriz - MA x Sampaio Corrêa - MA</v>
      </c>
    </row>
    <row r="29" spans="1:18" ht="30.6">
      <c r="A29" s="17">
        <v>1</v>
      </c>
      <c r="B29" s="1">
        <v>6</v>
      </c>
      <c r="C29" s="2" t="s">
        <v>66</v>
      </c>
      <c r="D29" s="2" t="s">
        <v>67</v>
      </c>
      <c r="E29" s="3" t="s">
        <v>26</v>
      </c>
      <c r="F29" s="3" t="s">
        <v>24</v>
      </c>
      <c r="G29" s="9">
        <v>520878</v>
      </c>
      <c r="H29" s="17" t="s">
        <v>122</v>
      </c>
      <c r="I29" s="26" t="str">
        <f t="shared" si="0"/>
        <v>Thiago Rosa</v>
      </c>
      <c r="J29" s="26" t="str">
        <f t="shared" si="1"/>
        <v>1Sampaio Corrêa - MA6</v>
      </c>
      <c r="K29" s="27" t="str">
        <f>IFERROR(VLOOKUP(J29,Substituicoes!J:J,1,0),"SS")</f>
        <v>SS</v>
      </c>
      <c r="L29" s="27" t="str">
        <f>IFERROR(VLOOKUP(J29,Substituicoes!K:K,1,0),"SS")</f>
        <v>1Sampaio Corrêa - MA6</v>
      </c>
      <c r="M29" s="28" t="b">
        <f t="shared" si="2"/>
        <v>0</v>
      </c>
      <c r="N29" s="29">
        <f>IF(AND(K29=L29,LEFT(E29,1)="T"),VLOOKUP(A29,'JOGOS BASE'!A:E,4,0),IF(K29=J29,VLOOKUP(J29,Substituicoes!J:R,6,0),IF(L29=J29,VLOOKUP(Escalacao!J29,Substituicoes!K:R,7,0),0)))</f>
        <v>49</v>
      </c>
      <c r="O29" s="28">
        <f>IF(AND(K29=L29,LEFT(E29,1)="T"),VLOOKUP(A29,'JOGOS BASE'!A:E,5,0),IF(K29=J29,VLOOKUP(J29,Substituicoes!J:R,7,0),IF(L29=J29,VLOOKUP(Escalacao!J29,Substituicoes!K:R,8,0),0)))</f>
        <v>13</v>
      </c>
      <c r="P29" s="28">
        <f t="shared" si="3"/>
        <v>62</v>
      </c>
      <c r="Q29" s="28" t="str">
        <f t="shared" si="4"/>
        <v>16Sampaio Corrêa - MA</v>
      </c>
      <c r="R29" s="28" t="str">
        <f>VLOOKUP(A29,'JOGOS BASE'!A:H,8)</f>
        <v>11.01.2025 - Imperatriz - MA x Sampaio Corrêa - MA</v>
      </c>
    </row>
    <row r="30" spans="1:18" ht="30.6">
      <c r="A30" s="17">
        <v>1</v>
      </c>
      <c r="B30" s="1">
        <v>7</v>
      </c>
      <c r="C30" s="2" t="s">
        <v>68</v>
      </c>
      <c r="D30" s="2" t="s">
        <v>69</v>
      </c>
      <c r="E30" s="3" t="s">
        <v>26</v>
      </c>
      <c r="F30" s="3" t="s">
        <v>24</v>
      </c>
      <c r="G30" s="9">
        <v>725771</v>
      </c>
      <c r="H30" s="17" t="s">
        <v>122</v>
      </c>
      <c r="I30" s="26" t="str">
        <f t="shared" si="0"/>
        <v>JOÃO LENGE</v>
      </c>
      <c r="J30" s="26" t="str">
        <f t="shared" si="1"/>
        <v>1Sampaio Corrêa - MA7</v>
      </c>
      <c r="K30" s="27" t="str">
        <f>IFERROR(VLOOKUP(J30,Substituicoes!J:J,1,0),"SS")</f>
        <v>SS</v>
      </c>
      <c r="L30" s="27" t="str">
        <f>IFERROR(VLOOKUP(J30,Substituicoes!K:K,1,0),"SS")</f>
        <v>1Sampaio Corrêa - MA7</v>
      </c>
      <c r="M30" s="28" t="b">
        <f t="shared" si="2"/>
        <v>0</v>
      </c>
      <c r="N30" s="29">
        <f>IF(AND(K30=L30,LEFT(E30,1)="T"),VLOOKUP(A30,'JOGOS BASE'!A:E,4,0),IF(K30=J30,VLOOKUP(J30,Substituicoes!J:R,6,0),IF(L30=J30,VLOOKUP(Escalacao!J30,Substituicoes!K:R,7,0),0)))</f>
        <v>49</v>
      </c>
      <c r="O30" s="28">
        <f>IF(AND(K30=L30,LEFT(E30,1)="T"),VLOOKUP(A30,'JOGOS BASE'!A:E,5,0),IF(K30=J30,VLOOKUP(J30,Substituicoes!J:R,7,0),IF(L30=J30,VLOOKUP(Escalacao!J30,Substituicoes!K:R,8,0),0)))</f>
        <v>0</v>
      </c>
      <c r="P30" s="28">
        <f t="shared" si="3"/>
        <v>49</v>
      </c>
      <c r="Q30" s="28" t="str">
        <f t="shared" si="4"/>
        <v>17Sampaio Corrêa - MA</v>
      </c>
      <c r="R30" s="28" t="str">
        <f>VLOOKUP(A30,'JOGOS BASE'!A:H,8)</f>
        <v>11.01.2025 - Imperatriz - MA x Sampaio Corrêa - MA</v>
      </c>
    </row>
    <row r="31" spans="1:18" ht="30.6">
      <c r="A31" s="17">
        <v>1</v>
      </c>
      <c r="B31" s="1">
        <v>8</v>
      </c>
      <c r="C31" s="2" t="s">
        <v>70</v>
      </c>
      <c r="D31" s="2" t="s">
        <v>71</v>
      </c>
      <c r="E31" s="3" t="s">
        <v>26</v>
      </c>
      <c r="F31" s="3" t="s">
        <v>24</v>
      </c>
      <c r="G31" s="9">
        <v>525569</v>
      </c>
      <c r="H31" s="17" t="s">
        <v>122</v>
      </c>
      <c r="I31" s="26" t="str">
        <f t="shared" si="0"/>
        <v>Isaias</v>
      </c>
      <c r="J31" s="26" t="str">
        <f t="shared" si="1"/>
        <v>1Sampaio Corrêa - MA8</v>
      </c>
      <c r="K31" s="27" t="str">
        <f>IFERROR(VLOOKUP(J31,Substituicoes!J:J,1,0),"SS")</f>
        <v>SS</v>
      </c>
      <c r="L31" s="27" t="str">
        <f>IFERROR(VLOOKUP(J31,Substituicoes!K:K,1,0),"SS")</f>
        <v>SS</v>
      </c>
      <c r="M31" s="28" t="b">
        <f t="shared" si="2"/>
        <v>1</v>
      </c>
      <c r="N31" s="29">
        <f>IF(AND(K31=L31,LEFT(E31,1)="T"),VLOOKUP(A31,'JOGOS BASE'!A:E,4,0),IF(K31=J31,VLOOKUP(J31,Substituicoes!J:R,6,0),IF(L31=J31,VLOOKUP(Escalacao!J31,Substituicoes!K:R,7,0),0)))</f>
        <v>49</v>
      </c>
      <c r="O31" s="28">
        <f>IF(AND(K31=L31,LEFT(E31,1)="T"),VLOOKUP(A31,'JOGOS BASE'!A:E,5,0),IF(K31=J31,VLOOKUP(J31,Substituicoes!J:R,7,0),IF(L31=J31,VLOOKUP(Escalacao!J31,Substituicoes!K:R,8,0),0)))</f>
        <v>50</v>
      </c>
      <c r="P31" s="28">
        <f t="shared" si="3"/>
        <v>99</v>
      </c>
      <c r="Q31" s="28" t="str">
        <f t="shared" si="4"/>
        <v>18Sampaio Corrêa - MA</v>
      </c>
      <c r="R31" s="28" t="str">
        <f>VLOOKUP(A31,'JOGOS BASE'!A:H,8)</f>
        <v>11.01.2025 - Imperatriz - MA x Sampaio Corrêa - MA</v>
      </c>
    </row>
    <row r="32" spans="1:18" ht="30.6">
      <c r="A32" s="17">
        <v>1</v>
      </c>
      <c r="B32" s="1">
        <v>9</v>
      </c>
      <c r="C32" s="2" t="s">
        <v>72</v>
      </c>
      <c r="D32" s="2" t="s">
        <v>73</v>
      </c>
      <c r="E32" s="3" t="s">
        <v>26</v>
      </c>
      <c r="F32" s="3" t="s">
        <v>24</v>
      </c>
      <c r="G32" s="9">
        <v>436356</v>
      </c>
      <c r="H32" s="17" t="s">
        <v>122</v>
      </c>
      <c r="I32" s="26" t="str">
        <f t="shared" si="0"/>
        <v>Alan James</v>
      </c>
      <c r="J32" s="26" t="str">
        <f t="shared" si="1"/>
        <v>1Sampaio Corrêa - MA9</v>
      </c>
      <c r="K32" s="27" t="str">
        <f>IFERROR(VLOOKUP(J32,Substituicoes!J:J,1,0),"SS")</f>
        <v>SS</v>
      </c>
      <c r="L32" s="27" t="str">
        <f>IFERROR(VLOOKUP(J32,Substituicoes!K:K,1,0),"SS")</f>
        <v>1Sampaio Corrêa - MA9</v>
      </c>
      <c r="M32" s="28" t="b">
        <f t="shared" si="2"/>
        <v>0</v>
      </c>
      <c r="N32" s="29">
        <f>IF(AND(K32=L32,LEFT(E32,1)="T"),VLOOKUP(A32,'JOGOS BASE'!A:E,4,0),IF(K32=J32,VLOOKUP(J32,Substituicoes!J:R,6,0),IF(L32=J32,VLOOKUP(Escalacao!J32,Substituicoes!K:R,7,0),0)))</f>
        <v>49</v>
      </c>
      <c r="O32" s="28">
        <f>IF(AND(K32=L32,LEFT(E32,1)="T"),VLOOKUP(A32,'JOGOS BASE'!A:E,5,0),IF(K32=J32,VLOOKUP(J32,Substituicoes!J:R,7,0),IF(L32=J32,VLOOKUP(Escalacao!J32,Substituicoes!K:R,8,0),0)))</f>
        <v>41</v>
      </c>
      <c r="P32" s="28">
        <f t="shared" si="3"/>
        <v>90</v>
      </c>
      <c r="Q32" s="28" t="str">
        <f t="shared" si="4"/>
        <v>19Sampaio Corrêa - MA</v>
      </c>
      <c r="R32" s="28" t="str">
        <f>VLOOKUP(A32,'JOGOS BASE'!A:H,8)</f>
        <v>11.01.2025 - Imperatriz - MA x Sampaio Corrêa - MA</v>
      </c>
    </row>
    <row r="33" spans="1:18" ht="30.6">
      <c r="A33" s="17">
        <v>1</v>
      </c>
      <c r="B33" s="1">
        <v>10</v>
      </c>
      <c r="C33" s="2" t="s">
        <v>74</v>
      </c>
      <c r="D33" s="2" t="s">
        <v>75</v>
      </c>
      <c r="E33" s="3" t="s">
        <v>26</v>
      </c>
      <c r="F33" s="3" t="s">
        <v>24</v>
      </c>
      <c r="G33" s="9">
        <v>668800</v>
      </c>
      <c r="H33" s="17" t="s">
        <v>122</v>
      </c>
      <c r="I33" s="26" t="str">
        <f t="shared" si="0"/>
        <v>STENCE</v>
      </c>
      <c r="J33" s="26" t="str">
        <f t="shared" si="1"/>
        <v>1Sampaio Corrêa - MA10</v>
      </c>
      <c r="K33" s="27" t="str">
        <f>IFERROR(VLOOKUP(J33,Substituicoes!J:J,1,0),"SS")</f>
        <v>SS</v>
      </c>
      <c r="L33" s="27" t="str">
        <f>IFERROR(VLOOKUP(J33,Substituicoes!K:K,1,0),"SS")</f>
        <v>1Sampaio Corrêa - MA10</v>
      </c>
      <c r="M33" s="28" t="b">
        <f t="shared" si="2"/>
        <v>0</v>
      </c>
      <c r="N33" s="29">
        <f>IF(AND(K33=L33,LEFT(E33,1)="T"),VLOOKUP(A33,'JOGOS BASE'!A:E,4,0),IF(K33=J33,VLOOKUP(J33,Substituicoes!J:R,6,0),IF(L33=J33,VLOOKUP(Escalacao!J33,Substituicoes!K:R,7,0),0)))</f>
        <v>49</v>
      </c>
      <c r="O33" s="28">
        <f>IF(AND(K33=L33,LEFT(E33,1)="T"),VLOOKUP(A33,'JOGOS BASE'!A:E,5,0),IF(K33=J33,VLOOKUP(J33,Substituicoes!J:R,7,0),IF(L33=J33,VLOOKUP(Escalacao!J33,Substituicoes!K:R,8,0),0)))</f>
        <v>13</v>
      </c>
      <c r="P33" s="28">
        <f t="shared" si="3"/>
        <v>62</v>
      </c>
      <c r="Q33" s="28" t="str">
        <f t="shared" si="4"/>
        <v>110Sampaio Corrêa - MA</v>
      </c>
      <c r="R33" s="28" t="str">
        <f>VLOOKUP(A33,'JOGOS BASE'!A:H,8)</f>
        <v>11.01.2025 - Imperatriz - MA x Sampaio Corrêa - MA</v>
      </c>
    </row>
    <row r="34" spans="1:18" ht="30.6">
      <c r="A34" s="17">
        <v>1</v>
      </c>
      <c r="B34" s="1">
        <v>11</v>
      </c>
      <c r="C34" s="2" t="s">
        <v>76</v>
      </c>
      <c r="D34" s="2" t="s">
        <v>77</v>
      </c>
      <c r="E34" s="3" t="s">
        <v>26</v>
      </c>
      <c r="F34" s="3" t="s">
        <v>24</v>
      </c>
      <c r="G34" s="9">
        <v>612220</v>
      </c>
      <c r="H34" s="17" t="s">
        <v>122</v>
      </c>
      <c r="I34" s="26" t="str">
        <f t="shared" si="0"/>
        <v>Wendell</v>
      </c>
      <c r="J34" s="26" t="str">
        <f t="shared" si="1"/>
        <v>1Sampaio Corrêa - MA11</v>
      </c>
      <c r="K34" s="27" t="str">
        <f>IFERROR(VLOOKUP(J34,Substituicoes!J:J,1,0),"SS")</f>
        <v>SS</v>
      </c>
      <c r="L34" s="27" t="str">
        <f>IFERROR(VLOOKUP(J34,Substituicoes!K:K,1,0),"SS")</f>
        <v>1Sampaio Corrêa - MA11</v>
      </c>
      <c r="M34" s="28" t="b">
        <f t="shared" si="2"/>
        <v>0</v>
      </c>
      <c r="N34" s="29">
        <f>IF(AND(K34=L34,LEFT(E34,1)="T"),VLOOKUP(A34,'JOGOS BASE'!A:E,4,0),IF(K34=J34,VLOOKUP(J34,Substituicoes!J:R,6,0),IF(L34=J34,VLOOKUP(Escalacao!J34,Substituicoes!K:R,7,0),0)))</f>
        <v>49</v>
      </c>
      <c r="O34" s="28">
        <f>IF(AND(K34=L34,LEFT(E34,1)="T"),VLOOKUP(A34,'JOGOS BASE'!A:E,5,0),IF(K34=J34,VLOOKUP(J34,Substituicoes!J:R,7,0),IF(L34=J34,VLOOKUP(Escalacao!J34,Substituicoes!K:R,8,0),0)))</f>
        <v>27</v>
      </c>
      <c r="P34" s="28">
        <f t="shared" si="3"/>
        <v>76</v>
      </c>
      <c r="Q34" s="28" t="str">
        <f t="shared" si="4"/>
        <v>111Sampaio Corrêa - MA</v>
      </c>
      <c r="R34" s="28" t="str">
        <f>VLOOKUP(A34,'JOGOS BASE'!A:H,8)</f>
        <v>11.01.2025 - Imperatriz - MA x Sampaio Corrêa - MA</v>
      </c>
    </row>
    <row r="35" spans="1:18" ht="30.6">
      <c r="A35" s="17">
        <v>1</v>
      </c>
      <c r="B35" s="1">
        <v>32</v>
      </c>
      <c r="C35" s="2" t="s">
        <v>78</v>
      </c>
      <c r="D35" s="2" t="s">
        <v>79</v>
      </c>
      <c r="E35" s="3" t="s">
        <v>40</v>
      </c>
      <c r="F35" s="3" t="s">
        <v>24</v>
      </c>
      <c r="G35" s="9">
        <v>387319</v>
      </c>
      <c r="H35" s="17" t="s">
        <v>122</v>
      </c>
      <c r="I35" s="26" t="str">
        <f t="shared" si="0"/>
        <v>Rhuan</v>
      </c>
      <c r="J35" s="26" t="str">
        <f t="shared" si="1"/>
        <v>1Sampaio Corrêa - MA32</v>
      </c>
      <c r="K35" s="27" t="str">
        <f>IFERROR(VLOOKUP(J35,Substituicoes!J:J,1,0),"SS")</f>
        <v>SS</v>
      </c>
      <c r="L35" s="27" t="str">
        <f>IFERROR(VLOOKUP(J35,Substituicoes!K:K,1,0),"SS")</f>
        <v>SS</v>
      </c>
      <c r="M35" s="28" t="b">
        <f t="shared" si="2"/>
        <v>1</v>
      </c>
      <c r="N35" s="29">
        <f>IF(AND(K35=L35,LEFT(E35,1)="T"),VLOOKUP(A35,'JOGOS BASE'!A:E,4,0),IF(K35=J35,VLOOKUP(J35,Substituicoes!J:R,6,0),IF(L35=J35,VLOOKUP(Escalacao!J35,Substituicoes!K:R,7,0),0)))</f>
        <v>0</v>
      </c>
      <c r="O35" s="28">
        <f>IF(AND(K35=L35,LEFT(E35,1)="T"),VLOOKUP(A35,'JOGOS BASE'!A:E,5,0),IF(K35=J35,VLOOKUP(J35,Substituicoes!J:R,7,0),IF(L35=J35,VLOOKUP(Escalacao!J35,Substituicoes!K:R,8,0),0)))</f>
        <v>0</v>
      </c>
      <c r="P35" s="28">
        <f t="shared" si="3"/>
        <v>0</v>
      </c>
      <c r="Q35" s="28" t="str">
        <f t="shared" si="4"/>
        <v>132Sampaio Corrêa - MA</v>
      </c>
      <c r="R35" s="28" t="str">
        <f>VLOOKUP(A35,'JOGOS BASE'!A:H,8)</f>
        <v>11.01.2025 - Imperatriz - MA x Sampaio Corrêa - MA</v>
      </c>
    </row>
    <row r="36" spans="1:18" ht="30.6">
      <c r="A36" s="17">
        <v>1</v>
      </c>
      <c r="B36" s="1">
        <v>13</v>
      </c>
      <c r="C36" s="2" t="s">
        <v>80</v>
      </c>
      <c r="D36" s="2" t="s">
        <v>81</v>
      </c>
      <c r="E36" s="3" t="s">
        <v>42</v>
      </c>
      <c r="F36" s="3" t="s">
        <v>24</v>
      </c>
      <c r="G36" s="9">
        <v>590518</v>
      </c>
      <c r="H36" s="17" t="s">
        <v>122</v>
      </c>
      <c r="I36" s="26" t="str">
        <f t="shared" si="0"/>
        <v>GALVÃO</v>
      </c>
      <c r="J36" s="26" t="str">
        <f t="shared" si="1"/>
        <v>1Sampaio Corrêa - MA13</v>
      </c>
      <c r="K36" s="27" t="str">
        <f>IFERROR(VLOOKUP(J36,Substituicoes!J:J,1,0),"SS")</f>
        <v>SS</v>
      </c>
      <c r="L36" s="27" t="str">
        <f>IFERROR(VLOOKUP(J36,Substituicoes!K:K,1,0),"SS")</f>
        <v>SS</v>
      </c>
      <c r="M36" s="28" t="b">
        <f t="shared" si="2"/>
        <v>1</v>
      </c>
      <c r="N36" s="29">
        <f>IF(AND(K36=L36,LEFT(E36,1)="T"),VLOOKUP(A36,'JOGOS BASE'!A:E,4,0),IF(K36=J36,VLOOKUP(J36,Substituicoes!J:R,6,0),IF(L36=J36,VLOOKUP(Escalacao!J36,Substituicoes!K:R,7,0),0)))</f>
        <v>0</v>
      </c>
      <c r="O36" s="28">
        <f>IF(AND(K36=L36,LEFT(E36,1)="T"),VLOOKUP(A36,'JOGOS BASE'!A:E,5,0),IF(K36=J36,VLOOKUP(J36,Substituicoes!J:R,7,0),IF(L36=J36,VLOOKUP(Escalacao!J36,Substituicoes!K:R,8,0),0)))</f>
        <v>0</v>
      </c>
      <c r="P36" s="28">
        <f t="shared" si="3"/>
        <v>0</v>
      </c>
      <c r="Q36" s="28" t="str">
        <f t="shared" si="4"/>
        <v>113Sampaio Corrêa - MA</v>
      </c>
      <c r="R36" s="28" t="str">
        <f>VLOOKUP(A36,'JOGOS BASE'!A:H,8)</f>
        <v>11.01.2025 - Imperatriz - MA x Sampaio Corrêa - MA</v>
      </c>
    </row>
    <row r="37" spans="1:18" ht="30.6">
      <c r="A37" s="17">
        <v>1</v>
      </c>
      <c r="B37" s="1">
        <v>14</v>
      </c>
      <c r="C37" s="2" t="s">
        <v>82</v>
      </c>
      <c r="D37" s="2" t="s">
        <v>83</v>
      </c>
      <c r="E37" s="3" t="s">
        <v>42</v>
      </c>
      <c r="F37" s="3" t="s">
        <v>24</v>
      </c>
      <c r="G37" s="9">
        <v>552526</v>
      </c>
      <c r="H37" s="17" t="s">
        <v>122</v>
      </c>
      <c r="I37" s="26" t="str">
        <f t="shared" si="0"/>
        <v>Ray</v>
      </c>
      <c r="J37" s="26" t="str">
        <f t="shared" si="1"/>
        <v>1Sampaio Corrêa - MA14</v>
      </c>
      <c r="K37" s="27" t="str">
        <f>IFERROR(VLOOKUP(J37,Substituicoes!J:J,1,0),"SS")</f>
        <v>SS</v>
      </c>
      <c r="L37" s="27" t="str">
        <f>IFERROR(VLOOKUP(J37,Substituicoes!K:K,1,0),"SS")</f>
        <v>SS</v>
      </c>
      <c r="M37" s="28" t="b">
        <f t="shared" si="2"/>
        <v>1</v>
      </c>
      <c r="N37" s="29">
        <f>IF(AND(K37=L37,LEFT(E37,1)="T"),VLOOKUP(A37,'JOGOS BASE'!A:E,4,0),IF(K37=J37,VLOOKUP(J37,Substituicoes!J:R,6,0),IF(L37=J37,VLOOKUP(Escalacao!J37,Substituicoes!K:R,7,0),0)))</f>
        <v>0</v>
      </c>
      <c r="O37" s="28">
        <f>IF(AND(K37=L37,LEFT(E37,1)="T"),VLOOKUP(A37,'JOGOS BASE'!A:E,5,0),IF(K37=J37,VLOOKUP(J37,Substituicoes!J:R,7,0),IF(L37=J37,VLOOKUP(Escalacao!J37,Substituicoes!K:R,8,0),0)))</f>
        <v>0</v>
      </c>
      <c r="P37" s="28">
        <f t="shared" si="3"/>
        <v>0</v>
      </c>
      <c r="Q37" s="28" t="str">
        <f t="shared" si="4"/>
        <v>114Sampaio Corrêa - MA</v>
      </c>
      <c r="R37" s="28" t="str">
        <f>VLOOKUP(A37,'JOGOS BASE'!A:H,8)</f>
        <v>11.01.2025 - Imperatriz - MA x Sampaio Corrêa - MA</v>
      </c>
    </row>
    <row r="38" spans="1:18" ht="30.6">
      <c r="A38" s="17">
        <v>1</v>
      </c>
      <c r="B38" s="1">
        <v>15</v>
      </c>
      <c r="C38" s="2" t="s">
        <v>84</v>
      </c>
      <c r="D38" s="2" t="s">
        <v>85</v>
      </c>
      <c r="E38" s="3" t="s">
        <v>42</v>
      </c>
      <c r="F38" s="3" t="s">
        <v>24</v>
      </c>
      <c r="G38" s="9">
        <v>523681</v>
      </c>
      <c r="H38" s="17" t="s">
        <v>122</v>
      </c>
      <c r="I38" s="26" t="str">
        <f t="shared" si="0"/>
        <v>Jairzinho</v>
      </c>
      <c r="J38" s="26" t="str">
        <f t="shared" si="1"/>
        <v>1Sampaio Corrêa - MA15</v>
      </c>
      <c r="K38" s="27" t="str">
        <f>IFERROR(VLOOKUP(J38,Substituicoes!J:J,1,0),"SS")</f>
        <v>1Sampaio Corrêa - MA15</v>
      </c>
      <c r="L38" s="27" t="str">
        <f>IFERROR(VLOOKUP(J38,Substituicoes!K:K,1,0),"SS")</f>
        <v>SS</v>
      </c>
      <c r="M38" s="28" t="b">
        <f t="shared" si="2"/>
        <v>0</v>
      </c>
      <c r="N38" s="29">
        <f>IF(AND(K38=L38,LEFT(E38,1)="T"),VLOOKUP(A38,'JOGOS BASE'!A:E,4,0),IF(K38=J38,VLOOKUP(J38,Substituicoes!J:R,6,0),IF(L38=J38,VLOOKUP(Escalacao!J38,Substituicoes!K:R,7,0),0)))</f>
        <v>0</v>
      </c>
      <c r="O38" s="28">
        <f>IF(AND(K38=L38,LEFT(E38,1)="T"),VLOOKUP(A38,'JOGOS BASE'!A:E,5,0),IF(K38=J38,VLOOKUP(J38,Substituicoes!J:R,7,0),IF(L38=J38,VLOOKUP(Escalacao!J38,Substituicoes!K:R,8,0),0)))</f>
        <v>37</v>
      </c>
      <c r="P38" s="28">
        <f t="shared" si="3"/>
        <v>37</v>
      </c>
      <c r="Q38" s="28" t="str">
        <f t="shared" si="4"/>
        <v>115Sampaio Corrêa - MA</v>
      </c>
      <c r="R38" s="28" t="str">
        <f>VLOOKUP(A38,'JOGOS BASE'!A:H,8)</f>
        <v>11.01.2025 - Imperatriz - MA x Sampaio Corrêa - MA</v>
      </c>
    </row>
    <row r="39" spans="1:18" ht="30.6">
      <c r="A39" s="17">
        <v>1</v>
      </c>
      <c r="B39" s="1">
        <v>16</v>
      </c>
      <c r="C39" s="2" t="s">
        <v>86</v>
      </c>
      <c r="D39" s="2" t="s">
        <v>87</v>
      </c>
      <c r="E39" s="3" t="s">
        <v>42</v>
      </c>
      <c r="F39" s="3" t="s">
        <v>24</v>
      </c>
      <c r="G39" s="9">
        <v>709331</v>
      </c>
      <c r="H39" s="17" t="s">
        <v>122</v>
      </c>
      <c r="I39" s="26" t="str">
        <f t="shared" si="0"/>
        <v>Dimas</v>
      </c>
      <c r="J39" s="26" t="str">
        <f t="shared" si="1"/>
        <v>1Sampaio Corrêa - MA16</v>
      </c>
      <c r="K39" s="27" t="str">
        <f>IFERROR(VLOOKUP(J39,Substituicoes!J:J,1,0),"SS")</f>
        <v>SS</v>
      </c>
      <c r="L39" s="27" t="str">
        <f>IFERROR(VLOOKUP(J39,Substituicoes!K:K,1,0),"SS")</f>
        <v>SS</v>
      </c>
      <c r="M39" s="28" t="b">
        <f t="shared" si="2"/>
        <v>1</v>
      </c>
      <c r="N39" s="29">
        <f>IF(AND(K39=L39,LEFT(E39,1)="T"),VLOOKUP(A39,'JOGOS BASE'!A:E,4,0),IF(K39=J39,VLOOKUP(J39,Substituicoes!J:R,6,0),IF(L39=J39,VLOOKUP(Escalacao!J39,Substituicoes!K:R,7,0),0)))</f>
        <v>0</v>
      </c>
      <c r="O39" s="28">
        <f>IF(AND(K39=L39,LEFT(E39,1)="T"),VLOOKUP(A39,'JOGOS BASE'!A:E,5,0),IF(K39=J39,VLOOKUP(J39,Substituicoes!J:R,7,0),IF(L39=J39,VLOOKUP(Escalacao!J39,Substituicoes!K:R,8,0),0)))</f>
        <v>0</v>
      </c>
      <c r="P39" s="28">
        <f t="shared" si="3"/>
        <v>0</v>
      </c>
      <c r="Q39" s="28" t="str">
        <f t="shared" si="4"/>
        <v>116Sampaio Corrêa - MA</v>
      </c>
      <c r="R39" s="28" t="str">
        <f>VLOOKUP(A39,'JOGOS BASE'!A:H,8)</f>
        <v>11.01.2025 - Imperatriz - MA x Sampaio Corrêa - MA</v>
      </c>
    </row>
    <row r="40" spans="1:18" ht="30.6">
      <c r="A40" s="17">
        <v>1</v>
      </c>
      <c r="B40" s="1">
        <v>17</v>
      </c>
      <c r="C40" s="2" t="s">
        <v>88</v>
      </c>
      <c r="D40" s="2" t="s">
        <v>89</v>
      </c>
      <c r="E40" s="3" t="s">
        <v>42</v>
      </c>
      <c r="F40" s="3" t="s">
        <v>24</v>
      </c>
      <c r="G40" s="9">
        <v>673834</v>
      </c>
      <c r="H40" s="17" t="s">
        <v>122</v>
      </c>
      <c r="I40" s="26" t="str">
        <f t="shared" si="0"/>
        <v>L7</v>
      </c>
      <c r="J40" s="26" t="str">
        <f t="shared" si="1"/>
        <v>1Sampaio Corrêa - MA17</v>
      </c>
      <c r="K40" s="27" t="str">
        <f>IFERROR(VLOOKUP(J40,Substituicoes!J:J,1,0),"SS")</f>
        <v>1Sampaio Corrêa - MA17</v>
      </c>
      <c r="L40" s="27" t="str">
        <f>IFERROR(VLOOKUP(J40,Substituicoes!K:K,1,0),"SS")</f>
        <v>SS</v>
      </c>
      <c r="M40" s="28" t="b">
        <f t="shared" si="2"/>
        <v>0</v>
      </c>
      <c r="N40" s="29">
        <f>IF(AND(K40=L40,LEFT(E40,1)="T"),VLOOKUP(A40,'JOGOS BASE'!A:E,4,0),IF(K40=J40,VLOOKUP(J40,Substituicoes!J:R,6,0),IF(L40=J40,VLOOKUP(Escalacao!J40,Substituicoes!K:R,7,0),0)))</f>
        <v>0</v>
      </c>
      <c r="O40" s="28">
        <f>IF(AND(K40=L40,LEFT(E40,1)="T"),VLOOKUP(A40,'JOGOS BASE'!A:E,5,0),IF(K40=J40,VLOOKUP(J40,Substituicoes!J:R,7,0),IF(L40=J40,VLOOKUP(Escalacao!J40,Substituicoes!K:R,8,0),0)))</f>
        <v>9</v>
      </c>
      <c r="P40" s="28">
        <f t="shared" si="3"/>
        <v>9</v>
      </c>
      <c r="Q40" s="28" t="str">
        <f t="shared" si="4"/>
        <v>117Sampaio Corrêa - MA</v>
      </c>
      <c r="R40" s="28" t="str">
        <f>VLOOKUP(A40,'JOGOS BASE'!A:H,8)</f>
        <v>11.01.2025 - Imperatriz - MA x Sampaio Corrêa - MA</v>
      </c>
    </row>
    <row r="41" spans="1:18" ht="30.6">
      <c r="A41" s="17">
        <v>1</v>
      </c>
      <c r="B41" s="1">
        <v>18</v>
      </c>
      <c r="C41" s="2" t="s">
        <v>90</v>
      </c>
      <c r="D41" s="2" t="s">
        <v>91</v>
      </c>
      <c r="E41" s="3" t="s">
        <v>42</v>
      </c>
      <c r="F41" s="3" t="s">
        <v>24</v>
      </c>
      <c r="G41" s="9">
        <v>335977</v>
      </c>
      <c r="H41" s="17" t="s">
        <v>122</v>
      </c>
      <c r="I41" s="26" t="str">
        <f t="shared" si="0"/>
        <v>Bruno Matos</v>
      </c>
      <c r="J41" s="26" t="str">
        <f t="shared" si="1"/>
        <v>1Sampaio Corrêa - MA18</v>
      </c>
      <c r="K41" s="27" t="str">
        <f>IFERROR(VLOOKUP(J41,Substituicoes!J:J,1,0),"SS")</f>
        <v>1Sampaio Corrêa - MA18</v>
      </c>
      <c r="L41" s="27" t="str">
        <f>IFERROR(VLOOKUP(J41,Substituicoes!K:K,1,0),"SS")</f>
        <v>SS</v>
      </c>
      <c r="M41" s="28" t="b">
        <f t="shared" si="2"/>
        <v>0</v>
      </c>
      <c r="N41" s="29">
        <f>IF(AND(K41=L41,LEFT(E41,1)="T"),VLOOKUP(A41,'JOGOS BASE'!A:E,4,0),IF(K41=J41,VLOOKUP(J41,Substituicoes!J:R,6,0),IF(L41=J41,VLOOKUP(Escalacao!J41,Substituicoes!K:R,7,0),0)))</f>
        <v>0</v>
      </c>
      <c r="O41" s="28">
        <f>IF(AND(K41=L41,LEFT(E41,1)="T"),VLOOKUP(A41,'JOGOS BASE'!A:E,5,0),IF(K41=J41,VLOOKUP(J41,Substituicoes!J:R,7,0),IF(L41=J41,VLOOKUP(Escalacao!J41,Substituicoes!K:R,8,0),0)))</f>
        <v>37</v>
      </c>
      <c r="P41" s="28">
        <f t="shared" si="3"/>
        <v>37</v>
      </c>
      <c r="Q41" s="28" t="str">
        <f t="shared" si="4"/>
        <v>118Sampaio Corrêa - MA</v>
      </c>
      <c r="R41" s="28" t="str">
        <f>VLOOKUP(A41,'JOGOS BASE'!A:H,8)</f>
        <v>11.01.2025 - Imperatriz - MA x Sampaio Corrêa - MA</v>
      </c>
    </row>
    <row r="42" spans="1:18" ht="30.6">
      <c r="A42" s="17">
        <v>1</v>
      </c>
      <c r="B42" s="1">
        <v>19</v>
      </c>
      <c r="C42" s="2" t="s">
        <v>92</v>
      </c>
      <c r="D42" s="2" t="s">
        <v>93</v>
      </c>
      <c r="E42" s="3" t="s">
        <v>42</v>
      </c>
      <c r="F42" s="3" t="s">
        <v>24</v>
      </c>
      <c r="G42" s="9">
        <v>432056</v>
      </c>
      <c r="H42" s="17" t="s">
        <v>122</v>
      </c>
      <c r="I42" s="26" t="str">
        <f t="shared" si="0"/>
        <v>Thiago</v>
      </c>
      <c r="J42" s="26" t="str">
        <f t="shared" si="1"/>
        <v>1Sampaio Corrêa - MA19</v>
      </c>
      <c r="K42" s="27" t="str">
        <f>IFERROR(VLOOKUP(J42,Substituicoes!J:J,1,0),"SS")</f>
        <v>1Sampaio Corrêa - MA19</v>
      </c>
      <c r="L42" s="27" t="str">
        <f>IFERROR(VLOOKUP(J42,Substituicoes!K:K,1,0),"SS")</f>
        <v>SS</v>
      </c>
      <c r="M42" s="28" t="b">
        <f t="shared" si="2"/>
        <v>0</v>
      </c>
      <c r="N42" s="29">
        <f>IF(AND(K42=L42,LEFT(E42,1)="T"),VLOOKUP(A42,'JOGOS BASE'!A:E,4,0),IF(K42=J42,VLOOKUP(J42,Substituicoes!J:R,6,0),IF(L42=J42,VLOOKUP(Escalacao!J42,Substituicoes!K:R,7,0),0)))</f>
        <v>0</v>
      </c>
      <c r="O42" s="28">
        <f>IF(AND(K42=L42,LEFT(E42,1)="T"),VLOOKUP(A42,'JOGOS BASE'!A:E,5,0),IF(K42=J42,VLOOKUP(J42,Substituicoes!J:R,7,0),IF(L42=J42,VLOOKUP(Escalacao!J42,Substituicoes!K:R,8,0),0)))</f>
        <v>50</v>
      </c>
      <c r="P42" s="28">
        <f t="shared" si="3"/>
        <v>50</v>
      </c>
      <c r="Q42" s="28" t="str">
        <f t="shared" si="4"/>
        <v>119Sampaio Corrêa - MA</v>
      </c>
      <c r="R42" s="28" t="str">
        <f>VLOOKUP(A42,'JOGOS BASE'!A:H,8)</f>
        <v>11.01.2025 - Imperatriz - MA x Sampaio Corrêa - MA</v>
      </c>
    </row>
    <row r="43" spans="1:18" ht="30.6">
      <c r="A43" s="17">
        <v>1</v>
      </c>
      <c r="B43" s="1">
        <v>20</v>
      </c>
      <c r="C43" s="2" t="s">
        <v>94</v>
      </c>
      <c r="D43" s="2" t="s">
        <v>95</v>
      </c>
      <c r="E43" s="3" t="s">
        <v>42</v>
      </c>
      <c r="F43" s="3" t="s">
        <v>24</v>
      </c>
      <c r="G43" s="9">
        <v>757475</v>
      </c>
      <c r="H43" s="17" t="s">
        <v>122</v>
      </c>
      <c r="I43" s="26" t="str">
        <f t="shared" si="0"/>
        <v>JARDSON</v>
      </c>
      <c r="J43" s="26" t="str">
        <f t="shared" si="1"/>
        <v>1Sampaio Corrêa - MA20</v>
      </c>
      <c r="K43" s="27" t="str">
        <f>IFERROR(VLOOKUP(J43,Substituicoes!J:J,1,0),"SS")</f>
        <v>SS</v>
      </c>
      <c r="L43" s="27" t="str">
        <f>IFERROR(VLOOKUP(J43,Substituicoes!K:K,1,0),"SS")</f>
        <v>SS</v>
      </c>
      <c r="M43" s="28" t="b">
        <f t="shared" si="2"/>
        <v>1</v>
      </c>
      <c r="N43" s="29">
        <f>IF(AND(K43=L43,LEFT(E43,1)="T"),VLOOKUP(A43,'JOGOS BASE'!A:E,4,0),IF(K43=J43,VLOOKUP(J43,Substituicoes!J:R,6,0),IF(L43=J43,VLOOKUP(Escalacao!J43,Substituicoes!K:R,7,0),0)))</f>
        <v>0</v>
      </c>
      <c r="O43" s="28">
        <f>IF(AND(K43=L43,LEFT(E43,1)="T"),VLOOKUP(A43,'JOGOS BASE'!A:E,5,0),IF(K43=J43,VLOOKUP(J43,Substituicoes!J:R,7,0),IF(L43=J43,VLOOKUP(Escalacao!J43,Substituicoes!K:R,8,0),0)))</f>
        <v>0</v>
      </c>
      <c r="P43" s="28">
        <f t="shared" si="3"/>
        <v>0</v>
      </c>
      <c r="Q43" s="28" t="str">
        <f t="shared" si="4"/>
        <v>120Sampaio Corrêa - MA</v>
      </c>
      <c r="R43" s="28" t="str">
        <f>VLOOKUP(A43,'JOGOS BASE'!A:H,8)</f>
        <v>11.01.2025 - Imperatriz - MA x Sampaio Corrêa - MA</v>
      </c>
    </row>
    <row r="44" spans="1:18" ht="30.6">
      <c r="A44" s="17">
        <v>1</v>
      </c>
      <c r="B44" s="1">
        <v>21</v>
      </c>
      <c r="C44" s="2" t="s">
        <v>96</v>
      </c>
      <c r="D44" s="2" t="s">
        <v>97</v>
      </c>
      <c r="E44" s="3" t="s">
        <v>42</v>
      </c>
      <c r="F44" s="3" t="s">
        <v>24</v>
      </c>
      <c r="G44" s="9">
        <v>748572</v>
      </c>
      <c r="H44" s="17" t="s">
        <v>122</v>
      </c>
      <c r="I44" s="26" t="str">
        <f t="shared" si="0"/>
        <v>ADRIANO</v>
      </c>
      <c r="J44" s="26" t="str">
        <f t="shared" si="1"/>
        <v>1Sampaio Corrêa - MA21</v>
      </c>
      <c r="K44" s="27" t="str">
        <f>IFERROR(VLOOKUP(J44,Substituicoes!J:J,1,0),"SS")</f>
        <v>1Sampaio Corrêa - MA21</v>
      </c>
      <c r="L44" s="27" t="str">
        <f>IFERROR(VLOOKUP(J44,Substituicoes!K:K,1,0),"SS")</f>
        <v>SS</v>
      </c>
      <c r="M44" s="28" t="b">
        <f t="shared" si="2"/>
        <v>0</v>
      </c>
      <c r="N44" s="29">
        <f>IF(AND(K44=L44,LEFT(E44,1)="T"),VLOOKUP(A44,'JOGOS BASE'!A:E,4,0),IF(K44=J44,VLOOKUP(J44,Substituicoes!J:R,6,0),IF(L44=J44,VLOOKUP(Escalacao!J44,Substituicoes!K:R,7,0),0)))</f>
        <v>0</v>
      </c>
      <c r="O44" s="28">
        <f>IF(AND(K44=L44,LEFT(E44,1)="T"),VLOOKUP(A44,'JOGOS BASE'!A:E,5,0),IF(K44=J44,VLOOKUP(J44,Substituicoes!J:R,7,0),IF(L44=J44,VLOOKUP(Escalacao!J44,Substituicoes!K:R,8,0),0)))</f>
        <v>23</v>
      </c>
      <c r="P44" s="28">
        <f t="shared" si="3"/>
        <v>23</v>
      </c>
      <c r="Q44" s="28" t="str">
        <f t="shared" si="4"/>
        <v>121Sampaio Corrêa - MA</v>
      </c>
      <c r="R44" s="28" t="str">
        <f>VLOOKUP(A44,'JOGOS BASE'!A:H,8)</f>
        <v>11.01.2025 - Imperatriz - MA x Sampaio Corrêa - MA</v>
      </c>
    </row>
    <row r="45" spans="1:18" ht="20.399999999999999">
      <c r="A45" s="15">
        <v>2</v>
      </c>
      <c r="B45" s="46">
        <v>1</v>
      </c>
      <c r="C45" s="45" t="s">
        <v>172</v>
      </c>
      <c r="D45" s="45" t="s">
        <v>173</v>
      </c>
      <c r="E45" s="47" t="s">
        <v>23</v>
      </c>
      <c r="F45" s="47" t="s">
        <v>24</v>
      </c>
      <c r="G45" s="46">
        <v>432643</v>
      </c>
      <c r="H45" s="15" t="s">
        <v>273</v>
      </c>
      <c r="I45" s="26" t="str">
        <f t="shared" ref="I45:I87" si="5">C45</f>
        <v>Allan</v>
      </c>
      <c r="J45" s="26" t="str">
        <f t="shared" ref="J45:J88" si="6">A45&amp;H45&amp;B45</f>
        <v>2Moto Club - MA1</v>
      </c>
      <c r="K45" s="27" t="str">
        <f>IFERROR(VLOOKUP(J45,Substituicoes!J:J,1,0),"SS")</f>
        <v>SS</v>
      </c>
      <c r="L45" s="27" t="str">
        <f>IFERROR(VLOOKUP(J45,Substituicoes!K:K,1,0),"SS")</f>
        <v>SS</v>
      </c>
      <c r="M45" s="28" t="b">
        <f t="shared" ref="M45:M87" si="7">K45=L45</f>
        <v>1</v>
      </c>
      <c r="N45" s="29">
        <f>IF(AND(K45=L45,LEFT(E45,1)="T"),VLOOKUP(A45,'JOGOS BASE'!A:E,4,0),IF(K45=J45,VLOOKUP(J45,Substituicoes!J:R,6,0),IF(L45=J45,VLOOKUP(Escalacao!J45,Substituicoes!K:R,7,0),0)))</f>
        <v>47</v>
      </c>
      <c r="O45" s="28">
        <f>IF(AND(K45=L45,LEFT(E45,1)="T"),VLOOKUP(A45,'JOGOS BASE'!A:E,5,0),IF(K45=J45,VLOOKUP(J45,Substituicoes!J:R,7,0),IF(L45=J45,VLOOKUP(Escalacao!J45,Substituicoes!K:R,8,0),0)))</f>
        <v>50</v>
      </c>
      <c r="P45" s="28">
        <f t="shared" ref="P45:P87" si="8">N45+O45</f>
        <v>97</v>
      </c>
      <c r="Q45" s="28" t="str">
        <f t="shared" ref="Q45:Q88" si="9">A45&amp;B45&amp;H45</f>
        <v>21Moto Club - MA</v>
      </c>
      <c r="R45" s="28" t="str">
        <f>VLOOKUP(A45,'JOGOS BASE'!A:H,8)</f>
        <v>12.01.2025 - Moto Club - MA x Maranhão - MA</v>
      </c>
    </row>
    <row r="46" spans="1:18" ht="30.6">
      <c r="A46" s="15">
        <v>2</v>
      </c>
      <c r="B46" s="46">
        <v>2</v>
      </c>
      <c r="C46" s="45" t="s">
        <v>174</v>
      </c>
      <c r="D46" s="45" t="s">
        <v>175</v>
      </c>
      <c r="E46" s="47" t="s">
        <v>26</v>
      </c>
      <c r="F46" s="47" t="s">
        <v>24</v>
      </c>
      <c r="G46" s="46">
        <v>320977</v>
      </c>
      <c r="H46" s="15" t="s">
        <v>273</v>
      </c>
      <c r="I46" s="26" t="str">
        <f t="shared" si="5"/>
        <v>Vitor</v>
      </c>
      <c r="J46" s="26" t="str">
        <f t="shared" si="6"/>
        <v>2Moto Club - MA2</v>
      </c>
      <c r="K46" s="27" t="str">
        <f>IFERROR(VLOOKUP(J46,Substituicoes!J:J,1,0),"SS")</f>
        <v>SS</v>
      </c>
      <c r="L46" s="27" t="str">
        <f>IFERROR(VLOOKUP(J46,Substituicoes!K:K,1,0),"SS")</f>
        <v>SS</v>
      </c>
      <c r="M46" s="28" t="b">
        <f t="shared" si="7"/>
        <v>1</v>
      </c>
      <c r="N46" s="29">
        <f>IF(AND(K46=L46,LEFT(E46,1)="T"),VLOOKUP(A46,'JOGOS BASE'!A:E,4,0),IF(K46=J46,VLOOKUP(J46,Substituicoes!J:R,6,0),IF(L46=J46,VLOOKUP(Escalacao!J46,Substituicoes!K:R,7,0),0)))</f>
        <v>47</v>
      </c>
      <c r="O46" s="28">
        <f>IF(AND(K46=L46,LEFT(E46,1)="T"),VLOOKUP(A46,'JOGOS BASE'!A:E,5,0),IF(K46=J46,VLOOKUP(J46,Substituicoes!J:R,7,0),IF(L46=J46,VLOOKUP(Escalacao!J46,Substituicoes!K:R,8,0),0)))</f>
        <v>50</v>
      </c>
      <c r="P46" s="28">
        <f t="shared" si="8"/>
        <v>97</v>
      </c>
      <c r="Q46" s="28" t="str">
        <f t="shared" si="9"/>
        <v>22Moto Club - MA</v>
      </c>
      <c r="R46" s="28" t="str">
        <f>VLOOKUP(A46,'JOGOS BASE'!A:H,8)</f>
        <v>12.01.2025 - Moto Club - MA x Maranhão - MA</v>
      </c>
    </row>
    <row r="47" spans="1:18" ht="30.6">
      <c r="A47" s="15">
        <v>2</v>
      </c>
      <c r="B47" s="46">
        <v>3</v>
      </c>
      <c r="C47" s="45" t="s">
        <v>176</v>
      </c>
      <c r="D47" s="45" t="s">
        <v>177</v>
      </c>
      <c r="E47" s="47" t="s">
        <v>26</v>
      </c>
      <c r="F47" s="47" t="s">
        <v>24</v>
      </c>
      <c r="G47" s="46">
        <v>552504</v>
      </c>
      <c r="H47" s="15" t="s">
        <v>273</v>
      </c>
      <c r="I47" s="26" t="str">
        <f t="shared" si="5"/>
        <v>Yan</v>
      </c>
      <c r="J47" s="26" t="str">
        <f t="shared" si="6"/>
        <v>2Moto Club - MA3</v>
      </c>
      <c r="K47" s="27" t="str">
        <f>IFERROR(VLOOKUP(J47,Substituicoes!J:J,1,0),"SS")</f>
        <v>SS</v>
      </c>
      <c r="L47" s="27" t="str">
        <f>IFERROR(VLOOKUP(J47,Substituicoes!K:K,1,0),"SS")</f>
        <v>2Moto Club - MA3</v>
      </c>
      <c r="M47" s="28" t="b">
        <f t="shared" si="7"/>
        <v>0</v>
      </c>
      <c r="N47" s="29">
        <f>IF(AND(K47=L47,LEFT(E47,1)="T"),VLOOKUP(A47,'JOGOS BASE'!A:E,4,0),IF(K47=J47,VLOOKUP(J47,Substituicoes!J:R,6,0),IF(L47=J47,VLOOKUP(Escalacao!J47,Substituicoes!K:R,7,0),0)))</f>
        <v>47</v>
      </c>
      <c r="O47" s="28">
        <f>IF(AND(K47=L47,LEFT(E47,1)="T"),VLOOKUP(A47,'JOGOS BASE'!A:E,5,0),IF(K47=J47,VLOOKUP(J47,Substituicoes!J:R,7,0),IF(L47=J47,VLOOKUP(Escalacao!J47,Substituicoes!K:R,8,0),0)))</f>
        <v>24</v>
      </c>
      <c r="P47" s="28">
        <f t="shared" si="8"/>
        <v>71</v>
      </c>
      <c r="Q47" s="28" t="str">
        <f t="shared" si="9"/>
        <v>23Moto Club - MA</v>
      </c>
      <c r="R47" s="28" t="str">
        <f>VLOOKUP(A47,'JOGOS BASE'!A:H,8)</f>
        <v>12.01.2025 - Moto Club - MA x Maranhão - MA</v>
      </c>
    </row>
    <row r="48" spans="1:18" ht="30.6">
      <c r="A48" s="15">
        <v>2</v>
      </c>
      <c r="B48" s="46">
        <v>4</v>
      </c>
      <c r="C48" s="45" t="s">
        <v>178</v>
      </c>
      <c r="D48" s="45" t="s">
        <v>179</v>
      </c>
      <c r="E48" s="47" t="s">
        <v>26</v>
      </c>
      <c r="F48" s="47" t="s">
        <v>24</v>
      </c>
      <c r="G48" s="46">
        <v>412439</v>
      </c>
      <c r="H48" s="15" t="s">
        <v>273</v>
      </c>
      <c r="I48" s="26" t="str">
        <f t="shared" si="5"/>
        <v>Mauricio</v>
      </c>
      <c r="J48" s="26" t="str">
        <f t="shared" si="6"/>
        <v>2Moto Club - MA4</v>
      </c>
      <c r="K48" s="27" t="str">
        <f>IFERROR(VLOOKUP(J48,Substituicoes!J:J,1,0),"SS")</f>
        <v>SS</v>
      </c>
      <c r="L48" s="27" t="str">
        <f>IFERROR(VLOOKUP(J48,Substituicoes!K:K,1,0),"SS")</f>
        <v>SS</v>
      </c>
      <c r="M48" s="28" t="b">
        <f t="shared" si="7"/>
        <v>1</v>
      </c>
      <c r="N48" s="29">
        <f>IF(AND(K48=L48,LEFT(E48,1)="T"),VLOOKUP(A48,'JOGOS BASE'!A:E,4,0),IF(K48=J48,VLOOKUP(J48,Substituicoes!J:R,6,0),IF(L48=J48,VLOOKUP(Escalacao!J48,Substituicoes!K:R,7,0),0)))</f>
        <v>47</v>
      </c>
      <c r="O48" s="28">
        <f>IF(AND(K48=L48,LEFT(E48,1)="T"),VLOOKUP(A48,'JOGOS BASE'!A:E,5,0),IF(K48=J48,VLOOKUP(J48,Substituicoes!J:R,7,0),IF(L48=J48,VLOOKUP(Escalacao!J48,Substituicoes!K:R,8,0),0)))</f>
        <v>50</v>
      </c>
      <c r="P48" s="28">
        <f t="shared" si="8"/>
        <v>97</v>
      </c>
      <c r="Q48" s="28" t="str">
        <f t="shared" si="9"/>
        <v>24Moto Club - MA</v>
      </c>
      <c r="R48" s="28" t="str">
        <f>VLOOKUP(A48,'JOGOS BASE'!A:H,8)</f>
        <v>12.01.2025 - Moto Club - MA x Maranhão - MA</v>
      </c>
    </row>
    <row r="49" spans="1:18" ht="30.6">
      <c r="A49" s="15">
        <v>2</v>
      </c>
      <c r="B49" s="46">
        <v>5</v>
      </c>
      <c r="C49" s="45" t="s">
        <v>180</v>
      </c>
      <c r="D49" s="45" t="s">
        <v>181</v>
      </c>
      <c r="E49" s="47" t="s">
        <v>26</v>
      </c>
      <c r="F49" s="47" t="s">
        <v>24</v>
      </c>
      <c r="G49" s="46">
        <v>343511</v>
      </c>
      <c r="H49" s="15" t="s">
        <v>273</v>
      </c>
      <c r="I49" s="26" t="str">
        <f t="shared" si="5"/>
        <v>Felipe Dias</v>
      </c>
      <c r="J49" s="26" t="str">
        <f t="shared" si="6"/>
        <v>2Moto Club - MA5</v>
      </c>
      <c r="K49" s="27" t="str">
        <f>IFERROR(VLOOKUP(J49,Substituicoes!J:J,1,0),"SS")</f>
        <v>SS</v>
      </c>
      <c r="L49" s="27" t="str">
        <f>IFERROR(VLOOKUP(J49,Substituicoes!K:K,1,0),"SS")</f>
        <v>SS</v>
      </c>
      <c r="M49" s="28" t="b">
        <f t="shared" si="7"/>
        <v>1</v>
      </c>
      <c r="N49" s="29">
        <f>IF(AND(K49=L49,LEFT(E49,1)="T"),VLOOKUP(A49,'JOGOS BASE'!A:E,4,0),IF(K49=J49,VLOOKUP(J49,Substituicoes!J:R,6,0),IF(L49=J49,VLOOKUP(Escalacao!J49,Substituicoes!K:R,7,0),0)))</f>
        <v>47</v>
      </c>
      <c r="O49" s="28">
        <f>IF(AND(K49=L49,LEFT(E49,1)="T"),VLOOKUP(A49,'JOGOS BASE'!A:E,5,0),IF(K49=J49,VLOOKUP(J49,Substituicoes!J:R,7,0),IF(L49=J49,VLOOKUP(Escalacao!J49,Substituicoes!K:R,8,0),0)))</f>
        <v>50</v>
      </c>
      <c r="P49" s="28">
        <f t="shared" si="8"/>
        <v>97</v>
      </c>
      <c r="Q49" s="28" t="str">
        <f t="shared" si="9"/>
        <v>25Moto Club - MA</v>
      </c>
      <c r="R49" s="28" t="str">
        <f>VLOOKUP(A49,'JOGOS BASE'!A:H,8)</f>
        <v>12.01.2025 - Moto Club - MA x Maranhão - MA</v>
      </c>
    </row>
    <row r="50" spans="1:18" ht="30.6">
      <c r="A50" s="15">
        <v>2</v>
      </c>
      <c r="B50" s="46">
        <v>6</v>
      </c>
      <c r="C50" s="45" t="s">
        <v>182</v>
      </c>
      <c r="D50" s="45" t="s">
        <v>183</v>
      </c>
      <c r="E50" s="47" t="s">
        <v>26</v>
      </c>
      <c r="F50" s="47" t="s">
        <v>24</v>
      </c>
      <c r="G50" s="46">
        <v>708589</v>
      </c>
      <c r="H50" s="15" t="s">
        <v>273</v>
      </c>
      <c r="I50" s="26" t="str">
        <f t="shared" si="5"/>
        <v>GUSTAVO</v>
      </c>
      <c r="J50" s="26" t="str">
        <f t="shared" si="6"/>
        <v>2Moto Club - MA6</v>
      </c>
      <c r="K50" s="27" t="str">
        <f>IFERROR(VLOOKUP(J50,Substituicoes!J:J,1,0),"SS")</f>
        <v>SS</v>
      </c>
      <c r="L50" s="27" t="str">
        <f>IFERROR(VLOOKUP(J50,Substituicoes!K:K,1,0),"SS")</f>
        <v>2Moto Club - MA6</v>
      </c>
      <c r="M50" s="28" t="b">
        <f t="shared" si="7"/>
        <v>0</v>
      </c>
      <c r="N50" s="29">
        <f>IF(AND(K50=L50,LEFT(E50,1)="T"),VLOOKUP(A50,'JOGOS BASE'!A:E,4,0),IF(K50=J50,VLOOKUP(J50,Substituicoes!J:R,6,0),IF(L50=J50,VLOOKUP(Escalacao!J50,Substituicoes!K:R,7,0),0)))</f>
        <v>47</v>
      </c>
      <c r="O50" s="28">
        <f>IF(AND(K50=L50,LEFT(E50,1)="T"),VLOOKUP(A50,'JOGOS BASE'!A:E,5,0),IF(K50=J50,VLOOKUP(J50,Substituicoes!J:R,7,0),IF(L50=J50,VLOOKUP(Escalacao!J50,Substituicoes!K:R,8,0),0)))</f>
        <v>20</v>
      </c>
      <c r="P50" s="28">
        <f t="shared" si="8"/>
        <v>67</v>
      </c>
      <c r="Q50" s="28" t="str">
        <f t="shared" si="9"/>
        <v>26Moto Club - MA</v>
      </c>
      <c r="R50" s="28" t="str">
        <f>VLOOKUP(A50,'JOGOS BASE'!A:H,8)</f>
        <v>12.01.2025 - Moto Club - MA x Maranhão - MA</v>
      </c>
    </row>
    <row r="51" spans="1:18" ht="30.6">
      <c r="A51" s="15">
        <v>2</v>
      </c>
      <c r="B51" s="46">
        <v>7</v>
      </c>
      <c r="C51" s="45" t="s">
        <v>184</v>
      </c>
      <c r="D51" s="45" t="s">
        <v>185</v>
      </c>
      <c r="E51" s="47" t="s">
        <v>26</v>
      </c>
      <c r="F51" s="47" t="s">
        <v>24</v>
      </c>
      <c r="G51" s="46">
        <v>562612</v>
      </c>
      <c r="H51" s="15" t="s">
        <v>273</v>
      </c>
      <c r="I51" s="26" t="str">
        <f t="shared" si="5"/>
        <v>Gustavo</v>
      </c>
      <c r="J51" s="26" t="str">
        <f t="shared" si="6"/>
        <v>2Moto Club - MA7</v>
      </c>
      <c r="K51" s="27" t="str">
        <f>IFERROR(VLOOKUP(J51,Substituicoes!J:J,1,0),"SS")</f>
        <v>SS</v>
      </c>
      <c r="L51" s="27" t="str">
        <f>IFERROR(VLOOKUP(J51,Substituicoes!K:K,1,0),"SS")</f>
        <v>SS</v>
      </c>
      <c r="M51" s="28" t="b">
        <f t="shared" si="7"/>
        <v>1</v>
      </c>
      <c r="N51" s="29">
        <f>IF(AND(K51=L51,LEFT(E51,1)="T"),VLOOKUP(A51,'JOGOS BASE'!A:E,4,0),IF(K51=J51,VLOOKUP(J51,Substituicoes!J:R,6,0),IF(L51=J51,VLOOKUP(Escalacao!J51,Substituicoes!K:R,7,0),0)))</f>
        <v>47</v>
      </c>
      <c r="O51" s="28">
        <f>IF(AND(K51=L51,LEFT(E51,1)="T"),VLOOKUP(A51,'JOGOS BASE'!A:E,5,0),IF(K51=J51,VLOOKUP(J51,Substituicoes!J:R,7,0),IF(L51=J51,VLOOKUP(Escalacao!J51,Substituicoes!K:R,8,0),0)))</f>
        <v>50</v>
      </c>
      <c r="P51" s="28">
        <f t="shared" si="8"/>
        <v>97</v>
      </c>
      <c r="Q51" s="28" t="str">
        <f t="shared" si="9"/>
        <v>27Moto Club - MA</v>
      </c>
      <c r="R51" s="28" t="str">
        <f>VLOOKUP(A51,'JOGOS BASE'!A:H,8)</f>
        <v>12.01.2025 - Moto Club - MA x Maranhão - MA</v>
      </c>
    </row>
    <row r="52" spans="1:18" ht="30.6">
      <c r="A52" s="15">
        <v>2</v>
      </c>
      <c r="B52" s="46">
        <v>8</v>
      </c>
      <c r="C52" s="45" t="s">
        <v>186</v>
      </c>
      <c r="D52" s="45" t="s">
        <v>187</v>
      </c>
      <c r="E52" s="47" t="s">
        <v>26</v>
      </c>
      <c r="F52" s="47" t="s">
        <v>24</v>
      </c>
      <c r="G52" s="46">
        <v>382358</v>
      </c>
      <c r="H52" s="15" t="s">
        <v>273</v>
      </c>
      <c r="I52" s="26" t="str">
        <f t="shared" si="5"/>
        <v>Lucas</v>
      </c>
      <c r="J52" s="26" t="str">
        <f t="shared" si="6"/>
        <v>2Moto Club - MA8</v>
      </c>
      <c r="K52" s="27" t="str">
        <f>IFERROR(VLOOKUP(J52,Substituicoes!J:J,1,0),"SS")</f>
        <v>SS</v>
      </c>
      <c r="L52" s="27" t="str">
        <f>IFERROR(VLOOKUP(J52,Substituicoes!K:K,1,0),"SS")</f>
        <v>2Moto Club - MA8</v>
      </c>
      <c r="M52" s="28" t="b">
        <f t="shared" si="7"/>
        <v>0</v>
      </c>
      <c r="N52" s="29">
        <f>IF(AND(K52=L52,LEFT(E52,1)="T"),VLOOKUP(A52,'JOGOS BASE'!A:E,4,0),IF(K52=J52,VLOOKUP(J52,Substituicoes!J:R,6,0),IF(L52=J52,VLOOKUP(Escalacao!J52,Substituicoes!K:R,7,0),0)))</f>
        <v>47</v>
      </c>
      <c r="O52" s="28">
        <f>IF(AND(K52=L52,LEFT(E52,1)="T"),VLOOKUP(A52,'JOGOS BASE'!A:E,5,0),IF(K52=J52,VLOOKUP(J52,Substituicoes!J:R,7,0),IF(L52=J52,VLOOKUP(Escalacao!J52,Substituicoes!K:R,8,0),0)))</f>
        <v>24</v>
      </c>
      <c r="P52" s="28">
        <f t="shared" si="8"/>
        <v>71</v>
      </c>
      <c r="Q52" s="28" t="str">
        <f t="shared" si="9"/>
        <v>28Moto Club - MA</v>
      </c>
      <c r="R52" s="28" t="str">
        <f>VLOOKUP(A52,'JOGOS BASE'!A:H,8)</f>
        <v>12.01.2025 - Moto Club - MA x Maranhão - MA</v>
      </c>
    </row>
    <row r="53" spans="1:18" ht="30.6">
      <c r="A53" s="15">
        <v>2</v>
      </c>
      <c r="B53" s="46">
        <v>9</v>
      </c>
      <c r="C53" s="45" t="s">
        <v>188</v>
      </c>
      <c r="D53" s="45" t="s">
        <v>189</v>
      </c>
      <c r="E53" s="47" t="s">
        <v>26</v>
      </c>
      <c r="F53" s="47" t="s">
        <v>24</v>
      </c>
      <c r="G53" s="46">
        <v>595794</v>
      </c>
      <c r="H53" s="15" t="s">
        <v>273</v>
      </c>
      <c r="I53" s="26" t="str">
        <f t="shared" si="5"/>
        <v>Bolinha</v>
      </c>
      <c r="J53" s="26" t="str">
        <f t="shared" si="6"/>
        <v>2Moto Club - MA9</v>
      </c>
      <c r="K53" s="27" t="str">
        <f>IFERROR(VLOOKUP(J53,Substituicoes!J:J,1,0),"SS")</f>
        <v>SS</v>
      </c>
      <c r="L53" s="27" t="str">
        <f>IFERROR(VLOOKUP(J53,Substituicoes!K:K,1,0),"SS")</f>
        <v>2Moto Club - MA9</v>
      </c>
      <c r="M53" s="28" t="b">
        <f t="shared" si="7"/>
        <v>0</v>
      </c>
      <c r="N53" s="29">
        <f>IF(AND(K53=L53,LEFT(E53,1)="T"),VLOOKUP(A53,'JOGOS BASE'!A:E,4,0),IF(K53=J53,VLOOKUP(J53,Substituicoes!J:R,6,0),IF(L53=J53,VLOOKUP(Escalacao!J53,Substituicoes!K:R,7,0),0)))</f>
        <v>47</v>
      </c>
      <c r="O53" s="28">
        <f>IF(AND(K53=L53,LEFT(E53,1)="T"),VLOOKUP(A53,'JOGOS BASE'!A:E,5,0),IF(K53=J53,VLOOKUP(J53,Substituicoes!J:R,7,0),IF(L53=J53,VLOOKUP(Escalacao!J53,Substituicoes!K:R,8,0),0)))</f>
        <v>15</v>
      </c>
      <c r="P53" s="28">
        <f t="shared" si="8"/>
        <v>62</v>
      </c>
      <c r="Q53" s="28" t="str">
        <f t="shared" si="9"/>
        <v>29Moto Club - MA</v>
      </c>
      <c r="R53" s="28" t="str">
        <f>VLOOKUP(A53,'JOGOS BASE'!A:H,8)</f>
        <v>12.01.2025 - Moto Club - MA x Maranhão - MA</v>
      </c>
    </row>
    <row r="54" spans="1:18" ht="30.6">
      <c r="A54" s="15">
        <v>2</v>
      </c>
      <c r="B54" s="46">
        <v>10</v>
      </c>
      <c r="C54" s="45" t="s">
        <v>190</v>
      </c>
      <c r="D54" s="45" t="s">
        <v>191</v>
      </c>
      <c r="E54" s="47" t="s">
        <v>26</v>
      </c>
      <c r="F54" s="47" t="s">
        <v>24</v>
      </c>
      <c r="G54" s="46">
        <v>302560</v>
      </c>
      <c r="H54" s="15" t="s">
        <v>273</v>
      </c>
      <c r="I54" s="26" t="str">
        <f t="shared" si="5"/>
        <v>DANILO PIRE</v>
      </c>
      <c r="J54" s="26" t="str">
        <f t="shared" si="6"/>
        <v>2Moto Club - MA10</v>
      </c>
      <c r="K54" s="27" t="str">
        <f>IFERROR(VLOOKUP(J54,Substituicoes!J:J,1,0),"SS")</f>
        <v>SS</v>
      </c>
      <c r="L54" s="27" t="str">
        <f>IFERROR(VLOOKUP(J54,Substituicoes!K:K,1,0),"SS")</f>
        <v>2Moto Club - MA10</v>
      </c>
      <c r="M54" s="28" t="b">
        <f t="shared" si="7"/>
        <v>0</v>
      </c>
      <c r="N54" s="29">
        <f>IF(AND(K54=L54,LEFT(E54,1)="T"),VLOOKUP(A54,'JOGOS BASE'!A:E,4,0),IF(K54=J54,VLOOKUP(J54,Substituicoes!J:R,6,0),IF(L54=J54,VLOOKUP(Escalacao!J54,Substituicoes!K:R,7,0),0)))</f>
        <v>47</v>
      </c>
      <c r="O54" s="28">
        <f>IF(AND(K54=L54,LEFT(E54,1)="T"),VLOOKUP(A54,'JOGOS BASE'!A:E,5,0),IF(K54=J54,VLOOKUP(J54,Substituicoes!J:R,7,0),IF(L54=J54,VLOOKUP(Escalacao!J54,Substituicoes!K:R,8,0),0)))</f>
        <v>15</v>
      </c>
      <c r="P54" s="28">
        <f t="shared" si="8"/>
        <v>62</v>
      </c>
      <c r="Q54" s="28" t="str">
        <f t="shared" si="9"/>
        <v>210Moto Club - MA</v>
      </c>
      <c r="R54" s="28" t="str">
        <f>VLOOKUP(A54,'JOGOS BASE'!A:H,8)</f>
        <v>12.01.2025 - Moto Club - MA x Maranhão - MA</v>
      </c>
    </row>
    <row r="55" spans="1:18" ht="30.6">
      <c r="A55" s="15">
        <v>2</v>
      </c>
      <c r="B55" s="46">
        <v>11</v>
      </c>
      <c r="C55" s="45" t="s">
        <v>192</v>
      </c>
      <c r="D55" s="45" t="s">
        <v>193</v>
      </c>
      <c r="E55" s="47" t="s">
        <v>26</v>
      </c>
      <c r="F55" s="47" t="s">
        <v>24</v>
      </c>
      <c r="G55" s="46">
        <v>438976</v>
      </c>
      <c r="H55" s="15" t="s">
        <v>273</v>
      </c>
      <c r="I55" s="26" t="str">
        <f t="shared" si="5"/>
        <v>Danilo</v>
      </c>
      <c r="J55" s="26" t="str">
        <f t="shared" si="6"/>
        <v>2Moto Club - MA11</v>
      </c>
      <c r="K55" s="27" t="str">
        <f>IFERROR(VLOOKUP(J55,Substituicoes!J:J,1,0),"SS")</f>
        <v>SS</v>
      </c>
      <c r="L55" s="27" t="str">
        <f>IFERROR(VLOOKUP(J55,Substituicoes!K:K,1,0),"SS")</f>
        <v>SS</v>
      </c>
      <c r="M55" s="28" t="b">
        <f t="shared" si="7"/>
        <v>1</v>
      </c>
      <c r="N55" s="29">
        <f>IF(AND(K55=L55,LEFT(E55,1)="T"),VLOOKUP(A55,'JOGOS BASE'!A:E,4,0),IF(K55=J55,VLOOKUP(J55,Substituicoes!J:R,6,0),IF(L55=J55,VLOOKUP(Escalacao!J55,Substituicoes!K:R,7,0),0)))</f>
        <v>47</v>
      </c>
      <c r="O55" s="28">
        <f>IF(AND(K55=L55,LEFT(E55,1)="T"),VLOOKUP(A55,'JOGOS BASE'!A:E,5,0),IF(K55=J55,VLOOKUP(J55,Substituicoes!J:R,7,0),IF(L55=J55,VLOOKUP(Escalacao!J55,Substituicoes!K:R,8,0),0)))</f>
        <v>50</v>
      </c>
      <c r="P55" s="28">
        <f t="shared" si="8"/>
        <v>97</v>
      </c>
      <c r="Q55" s="28" t="str">
        <f t="shared" si="9"/>
        <v>211Moto Club - MA</v>
      </c>
      <c r="R55" s="28" t="str">
        <f>VLOOKUP(A55,'JOGOS BASE'!A:H,8)</f>
        <v>12.01.2025 - Moto Club - MA x Maranhão - MA</v>
      </c>
    </row>
    <row r="56" spans="1:18" ht="30.6">
      <c r="A56" s="15">
        <v>2</v>
      </c>
      <c r="B56" s="46">
        <v>12</v>
      </c>
      <c r="C56" s="45" t="s">
        <v>194</v>
      </c>
      <c r="D56" s="45" t="s">
        <v>195</v>
      </c>
      <c r="E56" s="47" t="s">
        <v>40</v>
      </c>
      <c r="F56" s="47" t="s">
        <v>24</v>
      </c>
      <c r="G56" s="46">
        <v>307298</v>
      </c>
      <c r="H56" s="15" t="s">
        <v>273</v>
      </c>
      <c r="I56" s="26" t="str">
        <f t="shared" si="5"/>
        <v>Douglas</v>
      </c>
      <c r="J56" s="26" t="str">
        <f t="shared" si="6"/>
        <v>2Moto Club - MA12</v>
      </c>
      <c r="K56" s="27" t="str">
        <f>IFERROR(VLOOKUP(J56,Substituicoes!J:J,1,0),"SS")</f>
        <v>SS</v>
      </c>
      <c r="L56" s="27" t="str">
        <f>IFERROR(VLOOKUP(J56,Substituicoes!K:K,1,0),"SS")</f>
        <v>SS</v>
      </c>
      <c r="M56" s="28" t="b">
        <f t="shared" si="7"/>
        <v>1</v>
      </c>
      <c r="N56" s="29">
        <f>IF(AND(K56=L56,LEFT(E56,1)="T"),VLOOKUP(A56,'JOGOS BASE'!A:E,4,0),IF(K56=J56,VLOOKUP(J56,Substituicoes!J:R,6,0),IF(L56=J56,VLOOKUP(Escalacao!J56,Substituicoes!K:R,7,0),0)))</f>
        <v>0</v>
      </c>
      <c r="O56" s="28">
        <f>IF(AND(K56=L56,LEFT(E56,1)="T"),VLOOKUP(A56,'JOGOS BASE'!A:E,5,0),IF(K56=J56,VLOOKUP(J56,Substituicoes!J:R,7,0),IF(L56=J56,VLOOKUP(Escalacao!J56,Substituicoes!K:R,8,0),0)))</f>
        <v>0</v>
      </c>
      <c r="P56" s="28">
        <f t="shared" si="8"/>
        <v>0</v>
      </c>
      <c r="Q56" s="28" t="str">
        <f t="shared" si="9"/>
        <v>212Moto Club - MA</v>
      </c>
      <c r="R56" s="28" t="str">
        <f>VLOOKUP(A56,'JOGOS BASE'!A:H,8)</f>
        <v>12.01.2025 - Moto Club - MA x Maranhão - MA</v>
      </c>
    </row>
    <row r="57" spans="1:18" ht="30.6">
      <c r="A57" s="15">
        <v>2</v>
      </c>
      <c r="B57" s="46">
        <v>13</v>
      </c>
      <c r="C57" s="45" t="s">
        <v>196</v>
      </c>
      <c r="D57" s="45" t="s">
        <v>197</v>
      </c>
      <c r="E57" s="47" t="s">
        <v>42</v>
      </c>
      <c r="F57" s="47" t="s">
        <v>56</v>
      </c>
      <c r="G57" s="46">
        <v>752830</v>
      </c>
      <c r="H57" s="15" t="s">
        <v>273</v>
      </c>
      <c r="I57" s="26" t="str">
        <f t="shared" si="5"/>
        <v>Jeferson</v>
      </c>
      <c r="J57" s="26" t="str">
        <f t="shared" si="6"/>
        <v>2Moto Club - MA13</v>
      </c>
      <c r="K57" s="27" t="str">
        <f>IFERROR(VLOOKUP(J57,Substituicoes!J:J,1,0),"SS")</f>
        <v>SS</v>
      </c>
      <c r="L57" s="27" t="str">
        <f>IFERROR(VLOOKUP(J57,Substituicoes!K:K,1,0),"SS")</f>
        <v>SS</v>
      </c>
      <c r="M57" s="28" t="b">
        <f t="shared" si="7"/>
        <v>1</v>
      </c>
      <c r="N57" s="29">
        <f>IF(AND(K57=L57,LEFT(E57,1)="T"),VLOOKUP(A57,'JOGOS BASE'!A:E,4,0),IF(K57=J57,VLOOKUP(J57,Substituicoes!J:R,6,0),IF(L57=J57,VLOOKUP(Escalacao!J57,Substituicoes!K:R,7,0),0)))</f>
        <v>0</v>
      </c>
      <c r="O57" s="28">
        <f>IF(AND(K57=L57,LEFT(E57,1)="T"),VLOOKUP(A57,'JOGOS BASE'!A:E,5,0),IF(K57=J57,VLOOKUP(J57,Substituicoes!J:R,7,0),IF(L57=J57,VLOOKUP(Escalacao!J57,Substituicoes!K:R,8,0),0)))</f>
        <v>0</v>
      </c>
      <c r="P57" s="28">
        <f t="shared" si="8"/>
        <v>0</v>
      </c>
      <c r="Q57" s="28" t="str">
        <f t="shared" si="9"/>
        <v>213Moto Club - MA</v>
      </c>
      <c r="R57" s="28" t="str">
        <f>VLOOKUP(A57,'JOGOS BASE'!A:H,8)</f>
        <v>12.01.2025 - Moto Club - MA x Maranhão - MA</v>
      </c>
    </row>
    <row r="58" spans="1:18" ht="30.6">
      <c r="A58" s="15">
        <v>2</v>
      </c>
      <c r="B58" s="46">
        <v>15</v>
      </c>
      <c r="C58" s="45" t="s">
        <v>198</v>
      </c>
      <c r="D58" s="45" t="s">
        <v>199</v>
      </c>
      <c r="E58" s="47" t="s">
        <v>42</v>
      </c>
      <c r="F58" s="47" t="s">
        <v>24</v>
      </c>
      <c r="G58" s="46">
        <v>647538</v>
      </c>
      <c r="H58" s="15" t="s">
        <v>273</v>
      </c>
      <c r="I58" s="26" t="str">
        <f t="shared" si="5"/>
        <v>Mauricio G ...</v>
      </c>
      <c r="J58" s="26" t="str">
        <f t="shared" si="6"/>
        <v>2Moto Club - MA15</v>
      </c>
      <c r="K58" s="27" t="str">
        <f>IFERROR(VLOOKUP(J58,Substituicoes!J:J,1,0),"SS")</f>
        <v>2Moto Club - MA15</v>
      </c>
      <c r="L58" s="27" t="str">
        <f>IFERROR(VLOOKUP(J58,Substituicoes!K:K,1,0),"SS")</f>
        <v>SS</v>
      </c>
      <c r="M58" s="28" t="b">
        <f t="shared" si="7"/>
        <v>0</v>
      </c>
      <c r="N58" s="29">
        <f>IF(AND(K58=L58,LEFT(E58,1)="T"),VLOOKUP(A58,'JOGOS BASE'!A:E,4,0),IF(K58=J58,VLOOKUP(J58,Substituicoes!J:R,6,0),IF(L58=J58,VLOOKUP(Escalacao!J58,Substituicoes!K:R,7,0),0)))</f>
        <v>0</v>
      </c>
      <c r="O58" s="28">
        <f>IF(AND(K58=L58,LEFT(E58,1)="T"),VLOOKUP(A58,'JOGOS BASE'!A:E,5,0),IF(K58=J58,VLOOKUP(J58,Substituicoes!J:R,7,0),IF(L58=J58,VLOOKUP(Escalacao!J58,Substituicoes!K:R,8,0),0)))</f>
        <v>35</v>
      </c>
      <c r="P58" s="28">
        <f t="shared" si="8"/>
        <v>35</v>
      </c>
      <c r="Q58" s="28" t="str">
        <f t="shared" si="9"/>
        <v>215Moto Club - MA</v>
      </c>
      <c r="R58" s="28" t="str">
        <f>VLOOKUP(A58,'JOGOS BASE'!A:H,8)</f>
        <v>12.01.2025 - Moto Club - MA x Maranhão - MA</v>
      </c>
    </row>
    <row r="59" spans="1:18" ht="30.6">
      <c r="A59" s="15">
        <v>2</v>
      </c>
      <c r="B59" s="46">
        <v>16</v>
      </c>
      <c r="C59" s="45" t="s">
        <v>200</v>
      </c>
      <c r="D59" s="45" t="s">
        <v>201</v>
      </c>
      <c r="E59" s="47" t="s">
        <v>42</v>
      </c>
      <c r="F59" s="47" t="s">
        <v>24</v>
      </c>
      <c r="G59" s="46">
        <v>500772</v>
      </c>
      <c r="H59" s="15" t="s">
        <v>273</v>
      </c>
      <c r="I59" s="26" t="str">
        <f t="shared" si="5"/>
        <v>Matheus Silva</v>
      </c>
      <c r="J59" s="26" t="str">
        <f t="shared" si="6"/>
        <v>2Moto Club - MA16</v>
      </c>
      <c r="K59" s="27" t="str">
        <f>IFERROR(VLOOKUP(J59,Substituicoes!J:J,1,0),"SS")</f>
        <v>2Moto Club - MA16</v>
      </c>
      <c r="L59" s="27" t="str">
        <f>IFERROR(VLOOKUP(J59,Substituicoes!K:K,1,0),"SS")</f>
        <v>SS</v>
      </c>
      <c r="M59" s="28" t="b">
        <f t="shared" si="7"/>
        <v>0</v>
      </c>
      <c r="N59" s="29">
        <f>IF(AND(K59=L59,LEFT(E59,1)="T"),VLOOKUP(A59,'JOGOS BASE'!A:E,4,0),IF(K59=J59,VLOOKUP(J59,Substituicoes!J:R,6,0),IF(L59=J59,VLOOKUP(Escalacao!J59,Substituicoes!K:R,7,0),0)))</f>
        <v>0</v>
      </c>
      <c r="O59" s="28">
        <f>IF(AND(K59=L59,LEFT(E59,1)="T"),VLOOKUP(A59,'JOGOS BASE'!A:E,5,0),IF(K59=J59,VLOOKUP(J59,Substituicoes!J:R,7,0),IF(L59=J59,VLOOKUP(Escalacao!J59,Substituicoes!K:R,8,0),0)))</f>
        <v>30</v>
      </c>
      <c r="P59" s="28">
        <f t="shared" si="8"/>
        <v>30</v>
      </c>
      <c r="Q59" s="28" t="str">
        <f t="shared" si="9"/>
        <v>216Moto Club - MA</v>
      </c>
      <c r="R59" s="28" t="str">
        <f>VLOOKUP(A59,'JOGOS BASE'!A:H,8)</f>
        <v>12.01.2025 - Moto Club - MA x Maranhão - MA</v>
      </c>
    </row>
    <row r="60" spans="1:18" ht="30.6">
      <c r="A60" s="15">
        <v>2</v>
      </c>
      <c r="B60" s="46">
        <v>17</v>
      </c>
      <c r="C60" s="45" t="s">
        <v>202</v>
      </c>
      <c r="D60" s="45" t="s">
        <v>203</v>
      </c>
      <c r="E60" s="47" t="s">
        <v>42</v>
      </c>
      <c r="F60" s="47" t="s">
        <v>24</v>
      </c>
      <c r="G60" s="46">
        <v>408375</v>
      </c>
      <c r="H60" s="15" t="s">
        <v>273</v>
      </c>
      <c r="I60" s="26" t="str">
        <f t="shared" si="5"/>
        <v>Wesley</v>
      </c>
      <c r="J60" s="26" t="str">
        <f t="shared" si="6"/>
        <v>2Moto Club - MA17</v>
      </c>
      <c r="K60" s="27" t="str">
        <f>IFERROR(VLOOKUP(J60,Substituicoes!J:J,1,0),"SS")</f>
        <v>2Moto Club - MA17</v>
      </c>
      <c r="L60" s="27" t="str">
        <f>IFERROR(VLOOKUP(J60,Substituicoes!K:K,1,0),"SS")</f>
        <v>SS</v>
      </c>
      <c r="M60" s="28" t="b">
        <f t="shared" si="7"/>
        <v>0</v>
      </c>
      <c r="N60" s="29">
        <f>IF(AND(K60=L60,LEFT(E60,1)="T"),VLOOKUP(A60,'JOGOS BASE'!A:E,4,0),IF(K60=J60,VLOOKUP(J60,Substituicoes!J:R,6,0),IF(L60=J60,VLOOKUP(Escalacao!J60,Substituicoes!K:R,7,0),0)))</f>
        <v>0</v>
      </c>
      <c r="O60" s="28">
        <f>IF(AND(K60=L60,LEFT(E60,1)="T"),VLOOKUP(A60,'JOGOS BASE'!A:E,5,0),IF(K60=J60,VLOOKUP(J60,Substituicoes!J:R,7,0),IF(L60=J60,VLOOKUP(Escalacao!J60,Substituicoes!K:R,8,0),0)))</f>
        <v>26</v>
      </c>
      <c r="P60" s="28">
        <f t="shared" si="8"/>
        <v>26</v>
      </c>
      <c r="Q60" s="28" t="str">
        <f t="shared" si="9"/>
        <v>217Moto Club - MA</v>
      </c>
      <c r="R60" s="28" t="str">
        <f>VLOOKUP(A60,'JOGOS BASE'!A:H,8)</f>
        <v>12.01.2025 - Moto Club - MA x Maranhão - MA</v>
      </c>
    </row>
    <row r="61" spans="1:18" ht="30.6">
      <c r="A61" s="15">
        <v>2</v>
      </c>
      <c r="B61" s="46">
        <v>18</v>
      </c>
      <c r="C61" s="45" t="s">
        <v>204</v>
      </c>
      <c r="D61" s="45" t="s">
        <v>205</v>
      </c>
      <c r="E61" s="47" t="s">
        <v>42</v>
      </c>
      <c r="F61" s="47" t="s">
        <v>56</v>
      </c>
      <c r="G61" s="46">
        <v>790091</v>
      </c>
      <c r="H61" s="15" t="s">
        <v>273</v>
      </c>
      <c r="I61" s="26" t="str">
        <f t="shared" si="5"/>
        <v>LEANDERSO</v>
      </c>
      <c r="J61" s="26" t="str">
        <f t="shared" si="6"/>
        <v>2Moto Club - MA18</v>
      </c>
      <c r="K61" s="27" t="str">
        <f>IFERROR(VLOOKUP(J61,Substituicoes!J:J,1,0),"SS")</f>
        <v>SS</v>
      </c>
      <c r="L61" s="27" t="str">
        <f>IFERROR(VLOOKUP(J61,Substituicoes!K:K,1,0),"SS")</f>
        <v>SS</v>
      </c>
      <c r="M61" s="28" t="b">
        <f t="shared" si="7"/>
        <v>1</v>
      </c>
      <c r="N61" s="29">
        <f>IF(AND(K61=L61,LEFT(E61,1)="T"),VLOOKUP(A61,'JOGOS BASE'!A:E,4,0),IF(K61=J61,VLOOKUP(J61,Substituicoes!J:R,6,0),IF(L61=J61,VLOOKUP(Escalacao!J61,Substituicoes!K:R,7,0),0)))</f>
        <v>0</v>
      </c>
      <c r="O61" s="28">
        <f>IF(AND(K61=L61,LEFT(E61,1)="T"),VLOOKUP(A61,'JOGOS BASE'!A:E,5,0),IF(K61=J61,VLOOKUP(J61,Substituicoes!J:R,7,0),IF(L61=J61,VLOOKUP(Escalacao!J61,Substituicoes!K:R,8,0),0)))</f>
        <v>0</v>
      </c>
      <c r="P61" s="28">
        <f t="shared" si="8"/>
        <v>0</v>
      </c>
      <c r="Q61" s="28" t="str">
        <f t="shared" si="9"/>
        <v>218Moto Club - MA</v>
      </c>
      <c r="R61" s="28" t="str">
        <f>VLOOKUP(A61,'JOGOS BASE'!A:H,8)</f>
        <v>12.01.2025 - Moto Club - MA x Maranhão - MA</v>
      </c>
    </row>
    <row r="62" spans="1:18" ht="30.6">
      <c r="A62" s="15">
        <v>2</v>
      </c>
      <c r="B62" s="46">
        <v>19</v>
      </c>
      <c r="C62" s="45" t="s">
        <v>206</v>
      </c>
      <c r="D62" s="45" t="s">
        <v>207</v>
      </c>
      <c r="E62" s="47" t="s">
        <v>42</v>
      </c>
      <c r="F62" s="47" t="s">
        <v>24</v>
      </c>
      <c r="G62" s="46">
        <v>597469</v>
      </c>
      <c r="H62" s="15" t="s">
        <v>273</v>
      </c>
      <c r="I62" s="26" t="str">
        <f t="shared" si="5"/>
        <v>Warllem</v>
      </c>
      <c r="J62" s="26" t="str">
        <f>A62&amp;H62&amp;B62</f>
        <v>2Moto Club - MA19</v>
      </c>
      <c r="K62" s="27" t="str">
        <f>IFERROR(VLOOKUP(J62,Substituicoes!J:J,1,0),"SS")</f>
        <v>2Moto Club - MA19</v>
      </c>
      <c r="L62" s="27" t="str">
        <f>IFERROR(VLOOKUP(J62,Substituicoes!K:K,1,0),"SS")</f>
        <v>SS</v>
      </c>
      <c r="M62" s="28" t="b">
        <f t="shared" si="7"/>
        <v>0</v>
      </c>
      <c r="N62" s="29">
        <f>IF(AND(K62=L62,LEFT(E62,1)="T"),VLOOKUP(A62,'JOGOS BASE'!A:E,4,0),IF(K62=J62,VLOOKUP(J62,Substituicoes!J:R,6,0),IF(L62=J62,VLOOKUP(Escalacao!J62,Substituicoes!K:R,7,0),0)))</f>
        <v>0</v>
      </c>
      <c r="O62" s="28">
        <f>IF(AND(K62=L62,LEFT(E62,1)="T"),VLOOKUP(A62,'JOGOS BASE'!A:E,5,0),IF(K62=J62,VLOOKUP(J62,Substituicoes!J:R,7,0),IF(L62=J62,VLOOKUP(Escalacao!J62,Substituicoes!K:R,8,0),0)))</f>
        <v>35</v>
      </c>
      <c r="P62" s="28">
        <f t="shared" si="8"/>
        <v>35</v>
      </c>
      <c r="Q62" s="28" t="str">
        <f t="shared" si="9"/>
        <v>219Moto Club - MA</v>
      </c>
      <c r="R62" s="28" t="str">
        <f>VLOOKUP(A62,'JOGOS BASE'!A:H,8)</f>
        <v>12.01.2025 - Moto Club - MA x Maranhão - MA</v>
      </c>
    </row>
    <row r="63" spans="1:18" ht="30.6">
      <c r="A63" s="15">
        <v>2</v>
      </c>
      <c r="B63" s="46">
        <v>20</v>
      </c>
      <c r="C63" s="45" t="s">
        <v>208</v>
      </c>
      <c r="D63" s="45" t="s">
        <v>209</v>
      </c>
      <c r="E63" s="47" t="s">
        <v>42</v>
      </c>
      <c r="F63" s="47" t="s">
        <v>24</v>
      </c>
      <c r="G63" s="46">
        <v>610535</v>
      </c>
      <c r="H63" s="15" t="s">
        <v>273</v>
      </c>
      <c r="I63" s="26" t="str">
        <f t="shared" si="5"/>
        <v>Paulo Renato</v>
      </c>
      <c r="J63" s="26" t="str">
        <f t="shared" si="6"/>
        <v>2Moto Club - MA20</v>
      </c>
      <c r="K63" s="27" t="str">
        <f>IFERROR(VLOOKUP(J63,Substituicoes!J:J,1,0),"SS")</f>
        <v>2Moto Club - MA20</v>
      </c>
      <c r="L63" s="27" t="str">
        <f>IFERROR(VLOOKUP(J63,Substituicoes!K:K,1,0),"SS")</f>
        <v>SS</v>
      </c>
      <c r="M63" s="28" t="b">
        <f t="shared" si="7"/>
        <v>0</v>
      </c>
      <c r="N63" s="29">
        <f>IF(AND(K63=L63,LEFT(E63,1)="T"),VLOOKUP(A63,'JOGOS BASE'!A:E,4,0),IF(K63=J63,VLOOKUP(J63,Substituicoes!J:R,6,0),IF(L63=J63,VLOOKUP(Escalacao!J63,Substituicoes!K:R,7,0),0)))</f>
        <v>0</v>
      </c>
      <c r="O63" s="28">
        <f>IF(AND(K63=L63,LEFT(E63,1)="T"),VLOOKUP(A63,'JOGOS BASE'!A:E,5,0),IF(K63=J63,VLOOKUP(J63,Substituicoes!J:R,7,0),IF(L63=J63,VLOOKUP(Escalacao!J63,Substituicoes!K:R,8,0),0)))</f>
        <v>26</v>
      </c>
      <c r="P63" s="28">
        <f t="shared" si="8"/>
        <v>26</v>
      </c>
      <c r="Q63" s="28" t="str">
        <f t="shared" si="9"/>
        <v>220Moto Club - MA</v>
      </c>
      <c r="R63" s="28" t="str">
        <f>VLOOKUP(A63,'JOGOS BASE'!A:H,8)</f>
        <v>12.01.2025 - Moto Club - MA x Maranhão - MA</v>
      </c>
    </row>
    <row r="64" spans="1:18" ht="30.6">
      <c r="A64" s="15">
        <v>2</v>
      </c>
      <c r="B64" s="46">
        <v>21</v>
      </c>
      <c r="C64" s="45" t="s">
        <v>210</v>
      </c>
      <c r="D64" s="45" t="s">
        <v>211</v>
      </c>
      <c r="E64" s="47" t="s">
        <v>42</v>
      </c>
      <c r="F64" s="47" t="s">
        <v>24</v>
      </c>
      <c r="G64" s="46">
        <v>605965</v>
      </c>
      <c r="H64" s="15" t="s">
        <v>273</v>
      </c>
      <c r="I64" s="26" t="str">
        <f t="shared" si="5"/>
        <v>MATHEUS</v>
      </c>
      <c r="J64" s="26" t="str">
        <f t="shared" si="6"/>
        <v>2Moto Club - MA21</v>
      </c>
      <c r="K64" s="27" t="str">
        <f>IFERROR(VLOOKUP(J64,Substituicoes!J:J,1,0),"SS")</f>
        <v>SS</v>
      </c>
      <c r="L64" s="27" t="str">
        <f>IFERROR(VLOOKUP(J64,Substituicoes!K:K,1,0),"SS")</f>
        <v>SS</v>
      </c>
      <c r="M64" s="28" t="b">
        <f t="shared" si="7"/>
        <v>1</v>
      </c>
      <c r="N64" s="29">
        <f>IF(AND(K64=L64,LEFT(E64,1)="T"),VLOOKUP(A64,'JOGOS BASE'!A:E,4,0),IF(K64=J64,VLOOKUP(J64,Substituicoes!J:R,6,0),IF(L64=J64,VLOOKUP(Escalacao!J64,Substituicoes!K:R,7,0),0)))</f>
        <v>0</v>
      </c>
      <c r="O64" s="28">
        <f>IF(AND(K64=L64,LEFT(E64,1)="T"),VLOOKUP(A64,'JOGOS BASE'!A:E,5,0),IF(K64=J64,VLOOKUP(J64,Substituicoes!J:R,7,0),IF(L64=J64,VLOOKUP(Escalacao!J64,Substituicoes!K:R,8,0),0)))</f>
        <v>0</v>
      </c>
      <c r="P64" s="28">
        <f t="shared" si="8"/>
        <v>0</v>
      </c>
      <c r="Q64" s="28" t="str">
        <f t="shared" si="9"/>
        <v>221Moto Club - MA</v>
      </c>
      <c r="R64" s="28" t="str">
        <f>VLOOKUP(A64,'JOGOS BASE'!A:H,8)</f>
        <v>12.01.2025 - Moto Club - MA x Maranhão - MA</v>
      </c>
    </row>
    <row r="65" spans="1:18" ht="30.6">
      <c r="A65" s="15">
        <v>2</v>
      </c>
      <c r="B65" s="46">
        <v>23</v>
      </c>
      <c r="C65" s="45" t="s">
        <v>212</v>
      </c>
      <c r="D65" s="45" t="s">
        <v>213</v>
      </c>
      <c r="E65" s="47" t="s">
        <v>42</v>
      </c>
      <c r="F65" s="47" t="s">
        <v>24</v>
      </c>
      <c r="G65" s="46">
        <v>423057</v>
      </c>
      <c r="H65" s="15" t="s">
        <v>273</v>
      </c>
      <c r="I65" s="26" t="str">
        <f t="shared" si="5"/>
        <v>Vanilton</v>
      </c>
      <c r="J65" s="26" t="str">
        <f t="shared" si="6"/>
        <v>2Moto Club - MA23</v>
      </c>
      <c r="K65" s="27" t="str">
        <f>IFERROR(VLOOKUP(J65,Substituicoes!J:J,1,0),"SS")</f>
        <v>SS</v>
      </c>
      <c r="L65" s="27" t="str">
        <f>IFERROR(VLOOKUP(J65,Substituicoes!K:K,1,0),"SS")</f>
        <v>SS</v>
      </c>
      <c r="M65" s="28" t="b">
        <f t="shared" si="7"/>
        <v>1</v>
      </c>
      <c r="N65" s="29">
        <f>IF(AND(K65=L65,LEFT(E65,1)="T"),VLOOKUP(A65,'JOGOS BASE'!A:E,4,0),IF(K65=J65,VLOOKUP(J65,Substituicoes!J:R,6,0),IF(L65=J65,VLOOKUP(Escalacao!J65,Substituicoes!K:R,7,0),0)))</f>
        <v>0</v>
      </c>
      <c r="O65" s="28">
        <f>IF(AND(K65=L65,LEFT(E65,1)="T"),VLOOKUP(A65,'JOGOS BASE'!A:E,5,0),IF(K65=J65,VLOOKUP(J65,Substituicoes!J:R,7,0),IF(L65=J65,VLOOKUP(Escalacao!J65,Substituicoes!K:R,8,0),0)))</f>
        <v>0</v>
      </c>
      <c r="P65" s="28">
        <f t="shared" si="8"/>
        <v>0</v>
      </c>
      <c r="Q65" s="28" t="str">
        <f t="shared" si="9"/>
        <v>223Moto Club - MA</v>
      </c>
      <c r="R65" s="28" t="str">
        <f>VLOOKUP(A65,'JOGOS BASE'!A:H,8)</f>
        <v>12.01.2025 - Moto Club - MA x Maranhão - MA</v>
      </c>
    </row>
    <row r="66" spans="1:18" ht="20.399999999999999">
      <c r="A66" s="15">
        <v>2</v>
      </c>
      <c r="B66" s="46">
        <v>1</v>
      </c>
      <c r="C66" s="45" t="s">
        <v>214</v>
      </c>
      <c r="D66" s="45" t="s">
        <v>215</v>
      </c>
      <c r="E66" s="47" t="s">
        <v>23</v>
      </c>
      <c r="F66" s="47" t="s">
        <v>24</v>
      </c>
      <c r="G66" s="46">
        <v>343441</v>
      </c>
      <c r="H66" s="15" t="s">
        <v>260</v>
      </c>
      <c r="I66" s="26" t="str">
        <f t="shared" si="5"/>
        <v>Jean</v>
      </c>
      <c r="J66" s="26" t="str">
        <f t="shared" si="6"/>
        <v>2Maranhão - MA1</v>
      </c>
      <c r="K66" s="27" t="str">
        <f>IFERROR(VLOOKUP(J66,Substituicoes!J:J,1,0),"SS")</f>
        <v>SS</v>
      </c>
      <c r="L66" s="27" t="str">
        <f>IFERROR(VLOOKUP(J66,Substituicoes!K:K,1,0),"SS")</f>
        <v>SS</v>
      </c>
      <c r="M66" s="28" t="b">
        <f t="shared" si="7"/>
        <v>1</v>
      </c>
      <c r="N66" s="29">
        <f>IF(AND(K66=L66,LEFT(E66,1)="T"),VLOOKUP(A66,'JOGOS BASE'!A:E,4,0),IF(K66=J66,VLOOKUP(J66,Substituicoes!J:R,6,0),IF(L66=J66,VLOOKUP(Escalacao!J66,Substituicoes!K:R,7,0),0)))</f>
        <v>47</v>
      </c>
      <c r="O66" s="28">
        <f>IF(AND(K66=L66,LEFT(E66,1)="T"),VLOOKUP(A66,'JOGOS BASE'!A:E,5,0),IF(K66=J66,VLOOKUP(J66,Substituicoes!J:R,7,0),IF(L66=J66,VLOOKUP(Escalacao!J66,Substituicoes!K:R,8,0),0)))</f>
        <v>50</v>
      </c>
      <c r="P66" s="28">
        <f t="shared" si="8"/>
        <v>97</v>
      </c>
      <c r="Q66" s="28" t="str">
        <f t="shared" si="9"/>
        <v>21Maranhão - MA</v>
      </c>
      <c r="R66" s="28" t="str">
        <f>VLOOKUP(A66,'JOGOS BASE'!A:H,8)</f>
        <v>12.01.2025 - Moto Club - MA x Maranhão - MA</v>
      </c>
    </row>
    <row r="67" spans="1:18" ht="30.6">
      <c r="A67" s="15">
        <v>2</v>
      </c>
      <c r="B67" s="46">
        <v>2</v>
      </c>
      <c r="C67" s="45" t="s">
        <v>216</v>
      </c>
      <c r="D67" s="45" t="s">
        <v>217</v>
      </c>
      <c r="E67" s="47" t="s">
        <v>26</v>
      </c>
      <c r="F67" s="47" t="s">
        <v>24</v>
      </c>
      <c r="G67" s="46">
        <v>359014</v>
      </c>
      <c r="H67" s="15" t="s">
        <v>260</v>
      </c>
      <c r="I67" s="26" t="str">
        <f t="shared" si="5"/>
        <v>Franklin</v>
      </c>
      <c r="J67" s="26" t="str">
        <f t="shared" si="6"/>
        <v>2Maranhão - MA2</v>
      </c>
      <c r="K67" s="27" t="str">
        <f>IFERROR(VLOOKUP(J67,Substituicoes!J:J,1,0),"SS")</f>
        <v>SS</v>
      </c>
      <c r="L67" s="27" t="str">
        <f>IFERROR(VLOOKUP(J67,Substituicoes!K:K,1,0),"SS")</f>
        <v>2Maranhão - MA2</v>
      </c>
      <c r="M67" s="28" t="b">
        <f t="shared" si="7"/>
        <v>0</v>
      </c>
      <c r="N67" s="29">
        <f>IF(AND(K67=L67,LEFT(E67,1)="T"),VLOOKUP(A67,'JOGOS BASE'!A:E,4,0),IF(K67=J67,VLOOKUP(J67,Substituicoes!J:R,6,0),IF(L67=J67,VLOOKUP(Escalacao!J67,Substituicoes!K:R,7,0),0)))</f>
        <v>47</v>
      </c>
      <c r="O67" s="28">
        <f>IF(AND(K67=L67,LEFT(E67,1)="T"),VLOOKUP(A67,'JOGOS BASE'!A:E,5,0),IF(K67=J67,VLOOKUP(J67,Substituicoes!J:R,7,0),IF(L67=J67,VLOOKUP(Escalacao!J67,Substituicoes!K:R,8,0),0)))</f>
        <v>23</v>
      </c>
      <c r="P67" s="28">
        <f t="shared" si="8"/>
        <v>70</v>
      </c>
      <c r="Q67" s="28" t="str">
        <f t="shared" si="9"/>
        <v>22Maranhão - MA</v>
      </c>
      <c r="R67" s="28" t="str">
        <f>VLOOKUP(A67,'JOGOS BASE'!A:H,8)</f>
        <v>12.01.2025 - Moto Club - MA x Maranhão - MA</v>
      </c>
    </row>
    <row r="68" spans="1:18" ht="30.6">
      <c r="A68" s="15">
        <v>2</v>
      </c>
      <c r="B68" s="46">
        <v>3</v>
      </c>
      <c r="C68" s="45" t="s">
        <v>218</v>
      </c>
      <c r="D68" s="45" t="s">
        <v>219</v>
      </c>
      <c r="E68" s="47" t="s">
        <v>26</v>
      </c>
      <c r="F68" s="47" t="s">
        <v>24</v>
      </c>
      <c r="G68" s="46">
        <v>401846</v>
      </c>
      <c r="H68" s="15" t="s">
        <v>260</v>
      </c>
      <c r="I68" s="26" t="str">
        <f t="shared" si="5"/>
        <v>Luiz Fernando</v>
      </c>
      <c r="J68" s="26" t="str">
        <f t="shared" si="6"/>
        <v>2Maranhão - MA3</v>
      </c>
      <c r="K68" s="27" t="str">
        <f>IFERROR(VLOOKUP(J68,Substituicoes!J:J,1,0),"SS")</f>
        <v>SS</v>
      </c>
      <c r="L68" s="27" t="str">
        <f>IFERROR(VLOOKUP(J68,Substituicoes!K:K,1,0),"SS")</f>
        <v>SS</v>
      </c>
      <c r="M68" s="28" t="b">
        <f t="shared" si="7"/>
        <v>1</v>
      </c>
      <c r="N68" s="29">
        <f>IF(AND(K68=L68,LEFT(E68,1)="T"),VLOOKUP(A68,'JOGOS BASE'!A:E,4,0),IF(K68=J68,VLOOKUP(J68,Substituicoes!J:R,6,0),IF(L68=J68,VLOOKUP(Escalacao!J68,Substituicoes!K:R,7,0),0)))</f>
        <v>47</v>
      </c>
      <c r="O68" s="28">
        <f>IF(AND(K68=L68,LEFT(E68,1)="T"),VLOOKUP(A68,'JOGOS BASE'!A:E,5,0),IF(K68=J68,VLOOKUP(J68,Substituicoes!J:R,7,0),IF(L68=J68,VLOOKUP(Escalacao!J68,Substituicoes!K:R,8,0),0)))</f>
        <v>50</v>
      </c>
      <c r="P68" s="28">
        <f t="shared" si="8"/>
        <v>97</v>
      </c>
      <c r="Q68" s="28" t="str">
        <f t="shared" si="9"/>
        <v>23Maranhão - MA</v>
      </c>
      <c r="R68" s="28" t="str">
        <f>VLOOKUP(A68,'JOGOS BASE'!A:H,8)</f>
        <v>12.01.2025 - Moto Club - MA x Maranhão - MA</v>
      </c>
    </row>
    <row r="69" spans="1:18" ht="30.6">
      <c r="A69" s="15">
        <v>2</v>
      </c>
      <c r="B69" s="46">
        <v>4</v>
      </c>
      <c r="C69" s="45" t="s">
        <v>220</v>
      </c>
      <c r="D69" s="45" t="s">
        <v>221</v>
      </c>
      <c r="E69" s="47" t="s">
        <v>26</v>
      </c>
      <c r="F69" s="47" t="s">
        <v>24</v>
      </c>
      <c r="G69" s="46">
        <v>465714</v>
      </c>
      <c r="H69" s="15" t="s">
        <v>260</v>
      </c>
      <c r="I69" s="26" t="str">
        <f t="shared" si="5"/>
        <v>Maicon</v>
      </c>
      <c r="J69" s="26" t="str">
        <f t="shared" si="6"/>
        <v>2Maranhão - MA4</v>
      </c>
      <c r="K69" s="27" t="str">
        <f>IFERROR(VLOOKUP(J69,Substituicoes!J:J,1,0),"SS")</f>
        <v>SS</v>
      </c>
      <c r="L69" s="27" t="str">
        <f>IFERROR(VLOOKUP(J69,Substituicoes!K:K,1,0),"SS")</f>
        <v>SS</v>
      </c>
      <c r="M69" s="28" t="b">
        <f t="shared" si="7"/>
        <v>1</v>
      </c>
      <c r="N69" s="29">
        <f>IF(AND(K69=L69,LEFT(E69,1)="T"),VLOOKUP(A69,'JOGOS BASE'!A:E,4,0),IF(K69=J69,VLOOKUP(J69,Substituicoes!J:R,6,0),IF(L69=J69,VLOOKUP(Escalacao!J69,Substituicoes!K:R,7,0),0)))</f>
        <v>47</v>
      </c>
      <c r="O69" s="28">
        <f>IF(AND(K69=L69,LEFT(E69,1)="T"),VLOOKUP(A69,'JOGOS BASE'!A:E,5,0),IF(K69=J69,VLOOKUP(J69,Substituicoes!J:R,7,0),IF(L69=J69,VLOOKUP(Escalacao!J69,Substituicoes!K:R,8,0),0)))</f>
        <v>50</v>
      </c>
      <c r="P69" s="28">
        <f t="shared" si="8"/>
        <v>97</v>
      </c>
      <c r="Q69" s="28" t="str">
        <f t="shared" si="9"/>
        <v>24Maranhão - MA</v>
      </c>
      <c r="R69" s="28" t="str">
        <f>VLOOKUP(A69,'JOGOS BASE'!A:H,8)</f>
        <v>12.01.2025 - Moto Club - MA x Maranhão - MA</v>
      </c>
    </row>
    <row r="70" spans="1:18" ht="30.6">
      <c r="A70" s="15">
        <v>2</v>
      </c>
      <c r="B70" s="46">
        <v>5</v>
      </c>
      <c r="C70" s="45" t="s">
        <v>222</v>
      </c>
      <c r="D70" s="45" t="s">
        <v>223</v>
      </c>
      <c r="E70" s="47" t="s">
        <v>26</v>
      </c>
      <c r="F70" s="47" t="s">
        <v>24</v>
      </c>
      <c r="G70" s="46">
        <v>320815</v>
      </c>
      <c r="H70" s="15" t="s">
        <v>260</v>
      </c>
      <c r="I70" s="26" t="str">
        <f t="shared" si="5"/>
        <v>Rodrigo Co ...</v>
      </c>
      <c r="J70" s="26" t="str">
        <f t="shared" si="6"/>
        <v>2Maranhão - MA5</v>
      </c>
      <c r="K70" s="27" t="str">
        <f>IFERROR(VLOOKUP(J70,Substituicoes!J:J,1,0),"SS")</f>
        <v>SS</v>
      </c>
      <c r="L70" s="27" t="str">
        <f>IFERROR(VLOOKUP(J70,Substituicoes!K:K,1,0),"SS")</f>
        <v>SS</v>
      </c>
      <c r="M70" s="28" t="b">
        <f t="shared" si="7"/>
        <v>1</v>
      </c>
      <c r="N70" s="29">
        <f>IF(AND(K70=L70,LEFT(E70,1)="T"),VLOOKUP(A70,'JOGOS BASE'!A:E,4,0),IF(K70=J70,VLOOKUP(J70,Substituicoes!J:R,6,0),IF(L70=J70,VLOOKUP(Escalacao!J70,Substituicoes!K:R,7,0),0)))</f>
        <v>47</v>
      </c>
      <c r="O70" s="28">
        <f>IF(AND(K70=L70,LEFT(E70,1)="T"),VLOOKUP(A70,'JOGOS BASE'!A:E,5,0),IF(K70=J70,VLOOKUP(J70,Substituicoes!J:R,7,0),IF(L70=J70,VLOOKUP(Escalacao!J70,Substituicoes!K:R,8,0),0)))</f>
        <v>50</v>
      </c>
      <c r="P70" s="28">
        <f t="shared" si="8"/>
        <v>97</v>
      </c>
      <c r="Q70" s="28" t="str">
        <f t="shared" si="9"/>
        <v>25Maranhão - MA</v>
      </c>
      <c r="R70" s="28" t="str">
        <f>VLOOKUP(A70,'JOGOS BASE'!A:H,8)</f>
        <v>12.01.2025 - Moto Club - MA x Maranhão - MA</v>
      </c>
    </row>
    <row r="71" spans="1:18" ht="30.6">
      <c r="A71" s="15">
        <v>2</v>
      </c>
      <c r="B71" s="46">
        <v>6</v>
      </c>
      <c r="C71" s="45" t="s">
        <v>224</v>
      </c>
      <c r="D71" s="45" t="s">
        <v>225</v>
      </c>
      <c r="E71" s="47" t="s">
        <v>26</v>
      </c>
      <c r="F71" s="47" t="s">
        <v>24</v>
      </c>
      <c r="G71" s="46">
        <v>414464</v>
      </c>
      <c r="H71" s="15" t="s">
        <v>260</v>
      </c>
      <c r="I71" s="26" t="str">
        <f t="shared" si="5"/>
        <v>Andre</v>
      </c>
      <c r="J71" s="26" t="str">
        <f t="shared" si="6"/>
        <v>2Maranhão - MA6</v>
      </c>
      <c r="K71" s="27" t="str">
        <f>IFERROR(VLOOKUP(J71,Substituicoes!J:J,1,0),"SS")</f>
        <v>SS</v>
      </c>
      <c r="L71" s="27" t="str">
        <f>IFERROR(VLOOKUP(J71,Substituicoes!K:K,1,0),"SS")</f>
        <v>SS</v>
      </c>
      <c r="M71" s="28" t="b">
        <f t="shared" si="7"/>
        <v>1</v>
      </c>
      <c r="N71" s="29">
        <f>IF(AND(K71=L71,LEFT(E71,1)="T"),VLOOKUP(A71,'JOGOS BASE'!A:E,4,0),IF(K71=J71,VLOOKUP(J71,Substituicoes!J:R,6,0),IF(L71=J71,VLOOKUP(Escalacao!J71,Substituicoes!K:R,7,0),0)))</f>
        <v>47</v>
      </c>
      <c r="O71" s="28">
        <f>IF(AND(K71=L71,LEFT(E71,1)="T"),VLOOKUP(A71,'JOGOS BASE'!A:E,5,0),IF(K71=J71,VLOOKUP(J71,Substituicoes!J:R,7,0),IF(L71=J71,VLOOKUP(Escalacao!J71,Substituicoes!K:R,8,0),0)))</f>
        <v>50</v>
      </c>
      <c r="P71" s="28">
        <f t="shared" si="8"/>
        <v>97</v>
      </c>
      <c r="Q71" s="28" t="str">
        <f t="shared" si="9"/>
        <v>26Maranhão - MA</v>
      </c>
      <c r="R71" s="28" t="str">
        <f>VLOOKUP(A71,'JOGOS BASE'!A:H,8)</f>
        <v>12.01.2025 - Moto Club - MA x Maranhão - MA</v>
      </c>
    </row>
    <row r="72" spans="1:18" ht="30.6">
      <c r="A72" s="15">
        <v>2</v>
      </c>
      <c r="B72" s="46">
        <v>8</v>
      </c>
      <c r="C72" s="45" t="s">
        <v>226</v>
      </c>
      <c r="D72" s="45" t="s">
        <v>227</v>
      </c>
      <c r="E72" s="47" t="s">
        <v>26</v>
      </c>
      <c r="F72" s="47" t="s">
        <v>24</v>
      </c>
      <c r="G72" s="46">
        <v>545796</v>
      </c>
      <c r="H72" s="15" t="s">
        <v>260</v>
      </c>
      <c r="I72" s="26" t="str">
        <f t="shared" si="5"/>
        <v>Railson</v>
      </c>
      <c r="J72" s="26" t="str">
        <f t="shared" si="6"/>
        <v>2Maranhão - MA8</v>
      </c>
      <c r="K72" s="27" t="str">
        <f>IFERROR(VLOOKUP(J72,Substituicoes!J:J,1,0),"SS")</f>
        <v>SS</v>
      </c>
      <c r="L72" s="27" t="str">
        <f>IFERROR(VLOOKUP(J72,Substituicoes!K:K,1,0),"SS")</f>
        <v>2Maranhão - MA8</v>
      </c>
      <c r="M72" s="28" t="b">
        <f t="shared" si="7"/>
        <v>0</v>
      </c>
      <c r="N72" s="29">
        <f>IF(AND(K72=L72,LEFT(E72,1)="T"),VLOOKUP(A72,'JOGOS BASE'!A:E,4,0),IF(K72=J72,VLOOKUP(J72,Substituicoes!J:R,6,0),IF(L72=J72,VLOOKUP(Escalacao!J72,Substituicoes!K:R,7,0),0)))</f>
        <v>47</v>
      </c>
      <c r="O72" s="28">
        <f>IF(AND(K72=L72,LEFT(E72,1)="T"),VLOOKUP(A72,'JOGOS BASE'!A:E,5,0),IF(K72=J72,VLOOKUP(J72,Substituicoes!J:R,7,0),IF(L72=J72,VLOOKUP(Escalacao!J72,Substituicoes!K:R,8,0),0)))</f>
        <v>0</v>
      </c>
      <c r="P72" s="28">
        <f t="shared" si="8"/>
        <v>47</v>
      </c>
      <c r="Q72" s="28" t="str">
        <f t="shared" si="9"/>
        <v>28Maranhão - MA</v>
      </c>
      <c r="R72" s="28" t="str">
        <f>VLOOKUP(A72,'JOGOS BASE'!A:H,8)</f>
        <v>12.01.2025 - Moto Club - MA x Maranhão - MA</v>
      </c>
    </row>
    <row r="73" spans="1:18" ht="30.6">
      <c r="A73" s="15">
        <v>2</v>
      </c>
      <c r="B73" s="46">
        <v>9</v>
      </c>
      <c r="C73" s="45" t="s">
        <v>228</v>
      </c>
      <c r="D73" s="45" t="s">
        <v>229</v>
      </c>
      <c r="E73" s="47" t="s">
        <v>26</v>
      </c>
      <c r="F73" s="47" t="s">
        <v>24</v>
      </c>
      <c r="G73" s="46">
        <v>610235</v>
      </c>
      <c r="H73" s="15" t="s">
        <v>260</v>
      </c>
      <c r="I73" s="26" t="str">
        <f t="shared" si="5"/>
        <v>loro</v>
      </c>
      <c r="J73" s="26" t="str">
        <f t="shared" si="6"/>
        <v>2Maranhão - MA9</v>
      </c>
      <c r="K73" s="27" t="str">
        <f>IFERROR(VLOOKUP(J73,Substituicoes!J:J,1,0),"SS")</f>
        <v>SS</v>
      </c>
      <c r="L73" s="27" t="str">
        <f>IFERROR(VLOOKUP(J73,Substituicoes!K:K,1,0),"SS")</f>
        <v>SS</v>
      </c>
      <c r="M73" s="28" t="b">
        <f t="shared" si="7"/>
        <v>1</v>
      </c>
      <c r="N73" s="29">
        <f>IF(AND(K73=L73,LEFT(E73,1)="T"),VLOOKUP(A73,'JOGOS BASE'!A:E,4,0),IF(K73=J73,VLOOKUP(J73,Substituicoes!J:R,6,0),IF(L73=J73,VLOOKUP(Escalacao!J73,Substituicoes!K:R,7,0),0)))</f>
        <v>47</v>
      </c>
      <c r="O73" s="28">
        <f>IF(AND(K73=L73,LEFT(E73,1)="T"),VLOOKUP(A73,'JOGOS BASE'!A:E,5,0),IF(K73=J73,VLOOKUP(J73,Substituicoes!J:R,7,0),IF(L73=J73,VLOOKUP(Escalacao!J73,Substituicoes!K:R,8,0),0)))</f>
        <v>50</v>
      </c>
      <c r="P73" s="28">
        <f t="shared" si="8"/>
        <v>97</v>
      </c>
      <c r="Q73" s="28" t="str">
        <f t="shared" si="9"/>
        <v>29Maranhão - MA</v>
      </c>
      <c r="R73" s="28" t="str">
        <f>VLOOKUP(A73,'JOGOS BASE'!A:H,8)</f>
        <v>12.01.2025 - Moto Club - MA x Maranhão - MA</v>
      </c>
    </row>
    <row r="74" spans="1:18" ht="30.6">
      <c r="A74" s="15">
        <v>2</v>
      </c>
      <c r="B74" s="46">
        <v>10</v>
      </c>
      <c r="C74" s="45" t="s">
        <v>230</v>
      </c>
      <c r="D74" s="45" t="s">
        <v>231</v>
      </c>
      <c r="E74" s="47" t="s">
        <v>26</v>
      </c>
      <c r="F74" s="47" t="s">
        <v>24</v>
      </c>
      <c r="G74" s="46">
        <v>699185</v>
      </c>
      <c r="H74" s="15" t="s">
        <v>260</v>
      </c>
      <c r="I74" s="26" t="str">
        <f t="shared" si="5"/>
        <v>Jorge Rocha</v>
      </c>
      <c r="J74" s="26" t="str">
        <f t="shared" si="6"/>
        <v>2Maranhão - MA10</v>
      </c>
      <c r="K74" s="27" t="str">
        <f>IFERROR(VLOOKUP(J74,Substituicoes!J:J,1,0),"SS")</f>
        <v>SS</v>
      </c>
      <c r="L74" s="27" t="str">
        <f>IFERROR(VLOOKUP(J74,Substituicoes!K:K,1,0),"SS")</f>
        <v>2Maranhão - MA10</v>
      </c>
      <c r="M74" s="28" t="b">
        <f t="shared" si="7"/>
        <v>0</v>
      </c>
      <c r="N74" s="29">
        <f>IF(AND(K74=L74,LEFT(E74,1)="T"),VLOOKUP(A74,'JOGOS BASE'!A:E,4,0),IF(K74=J74,VLOOKUP(J74,Substituicoes!J:R,6,0),IF(L74=J74,VLOOKUP(Escalacao!J74,Substituicoes!K:R,7,0),0)))</f>
        <v>47</v>
      </c>
      <c r="O74" s="28">
        <f>IF(AND(K74=L74,LEFT(E74,1)="T"),VLOOKUP(A74,'JOGOS BASE'!A:E,5,0),IF(K74=J74,VLOOKUP(J74,Substituicoes!J:R,7,0),IF(L74=J74,VLOOKUP(Escalacao!J74,Substituicoes!K:R,8,0),0)))</f>
        <v>0</v>
      </c>
      <c r="P74" s="28">
        <f t="shared" si="8"/>
        <v>47</v>
      </c>
      <c r="Q74" s="28" t="str">
        <f t="shared" si="9"/>
        <v>210Maranhão - MA</v>
      </c>
      <c r="R74" s="28" t="str">
        <f>VLOOKUP(A74,'JOGOS BASE'!A:H,8)</f>
        <v>12.01.2025 - Moto Club - MA x Maranhão - MA</v>
      </c>
    </row>
    <row r="75" spans="1:18" ht="30.6">
      <c r="A75" s="15">
        <v>2</v>
      </c>
      <c r="B75" s="46">
        <v>11</v>
      </c>
      <c r="C75" s="45" t="s">
        <v>232</v>
      </c>
      <c r="D75" s="45" t="s">
        <v>233</v>
      </c>
      <c r="E75" s="47" t="s">
        <v>26</v>
      </c>
      <c r="F75" s="47" t="s">
        <v>24</v>
      </c>
      <c r="G75" s="46">
        <v>618785</v>
      </c>
      <c r="H75" s="15" t="s">
        <v>260</v>
      </c>
      <c r="I75" s="26" t="str">
        <f t="shared" si="5"/>
        <v>Ryan</v>
      </c>
      <c r="J75" s="26" t="str">
        <f t="shared" si="6"/>
        <v>2Maranhão - MA11</v>
      </c>
      <c r="K75" s="27" t="str">
        <f>IFERROR(VLOOKUP(J75,Substituicoes!J:J,1,0),"SS")</f>
        <v>SS</v>
      </c>
      <c r="L75" s="27" t="str">
        <f>IFERROR(VLOOKUP(J75,Substituicoes!K:K,1,0),"SS")</f>
        <v>2Maranhão - MA11</v>
      </c>
      <c r="M75" s="28" t="b">
        <f t="shared" si="7"/>
        <v>0</v>
      </c>
      <c r="N75" s="29">
        <f>IF(AND(K75=L75,LEFT(E75,1)="T"),VLOOKUP(A75,'JOGOS BASE'!A:E,4,0),IF(K75=J75,VLOOKUP(J75,Substituicoes!J:R,6,0),IF(L75=J75,VLOOKUP(Escalacao!J75,Substituicoes!K:R,7,0),0)))</f>
        <v>47</v>
      </c>
      <c r="O75" s="28">
        <f>IF(AND(K75=L75,LEFT(E75,1)="T"),VLOOKUP(A75,'JOGOS BASE'!A:E,5,0),IF(K75=J75,VLOOKUP(J75,Substituicoes!J:R,7,0),IF(L75=J75,VLOOKUP(Escalacao!J75,Substituicoes!K:R,8,0),0)))</f>
        <v>2</v>
      </c>
      <c r="P75" s="28">
        <f t="shared" si="8"/>
        <v>49</v>
      </c>
      <c r="Q75" s="28" t="str">
        <f t="shared" si="9"/>
        <v>211Maranhão - MA</v>
      </c>
      <c r="R75" s="28" t="str">
        <f>VLOOKUP(A75,'JOGOS BASE'!A:H,8)</f>
        <v>12.01.2025 - Moto Club - MA x Maranhão - MA</v>
      </c>
    </row>
    <row r="76" spans="1:18" ht="30.6">
      <c r="A76" s="15">
        <v>2</v>
      </c>
      <c r="B76" s="46">
        <v>22</v>
      </c>
      <c r="C76" s="45" t="s">
        <v>234</v>
      </c>
      <c r="D76" s="45" t="s">
        <v>235</v>
      </c>
      <c r="E76" s="47" t="s">
        <v>26</v>
      </c>
      <c r="F76" s="47" t="s">
        <v>24</v>
      </c>
      <c r="G76" s="46">
        <v>393714</v>
      </c>
      <c r="H76" s="15" t="s">
        <v>260</v>
      </c>
      <c r="I76" s="26" t="str">
        <f t="shared" si="5"/>
        <v>Jerry</v>
      </c>
      <c r="J76" s="26" t="str">
        <f t="shared" si="6"/>
        <v>2Maranhão - MA22</v>
      </c>
      <c r="K76" s="27" t="str">
        <f>IFERROR(VLOOKUP(J76,Substituicoes!J:J,1,0),"SS")</f>
        <v>SS</v>
      </c>
      <c r="L76" s="27" t="str">
        <f>IFERROR(VLOOKUP(J76,Substituicoes!K:K,1,0),"SS")</f>
        <v>2Maranhão - MA22</v>
      </c>
      <c r="M76" s="28" t="b">
        <f t="shared" si="7"/>
        <v>0</v>
      </c>
      <c r="N76" s="29">
        <f>IF(AND(K76=L76,LEFT(E76,1)="T"),VLOOKUP(A76,'JOGOS BASE'!A:E,4,0),IF(K76=J76,VLOOKUP(J76,Substituicoes!J:R,6,0),IF(L76=J76,VLOOKUP(Escalacao!J76,Substituicoes!K:R,7,0),0)))</f>
        <v>47</v>
      </c>
      <c r="O76" s="28">
        <f>IF(AND(K76=L76,LEFT(E76,1)="T"),VLOOKUP(A76,'JOGOS BASE'!A:E,5,0),IF(K76=J76,VLOOKUP(J76,Substituicoes!J:R,7,0),IF(L76=J76,VLOOKUP(Escalacao!J76,Substituicoes!K:R,8,0),0)))</f>
        <v>0</v>
      </c>
      <c r="P76" s="28">
        <f t="shared" si="8"/>
        <v>47</v>
      </c>
      <c r="Q76" s="28" t="str">
        <f t="shared" si="9"/>
        <v>222Maranhão - MA</v>
      </c>
      <c r="R76" s="28" t="str">
        <f>VLOOKUP(A76,'JOGOS BASE'!A:H,8)</f>
        <v>12.01.2025 - Moto Club - MA x Maranhão - MA</v>
      </c>
    </row>
    <row r="77" spans="1:18" ht="30.6">
      <c r="A77" s="15">
        <v>2</v>
      </c>
      <c r="B77" s="46">
        <v>12</v>
      </c>
      <c r="C77" s="45" t="s">
        <v>236</v>
      </c>
      <c r="D77" s="45" t="s">
        <v>237</v>
      </c>
      <c r="E77" s="47" t="s">
        <v>40</v>
      </c>
      <c r="F77" s="47" t="s">
        <v>24</v>
      </c>
      <c r="G77" s="46">
        <v>565480</v>
      </c>
      <c r="H77" s="15" t="s">
        <v>260</v>
      </c>
      <c r="I77" s="26" t="str">
        <f t="shared" si="5"/>
        <v>Victor</v>
      </c>
      <c r="J77" s="26" t="str">
        <f t="shared" si="6"/>
        <v>2Maranhão - MA12</v>
      </c>
      <c r="K77" s="27" t="str">
        <f>IFERROR(VLOOKUP(J77,Substituicoes!J:J,1,0),"SS")</f>
        <v>SS</v>
      </c>
      <c r="L77" s="27" t="str">
        <f>IFERROR(VLOOKUP(J77,Substituicoes!K:K,1,0),"SS")</f>
        <v>SS</v>
      </c>
      <c r="M77" s="28" t="b">
        <f t="shared" si="7"/>
        <v>1</v>
      </c>
      <c r="N77" s="29">
        <f>IF(AND(K77=L77,LEFT(E77,1)="T"),VLOOKUP(A77,'JOGOS BASE'!A:E,4,0),IF(K77=J77,VLOOKUP(J77,Substituicoes!J:R,6,0),IF(L77=J77,VLOOKUP(Escalacao!J77,Substituicoes!K:R,7,0),0)))</f>
        <v>0</v>
      </c>
      <c r="O77" s="28">
        <f>IF(AND(K77=L77,LEFT(E77,1)="T"),VLOOKUP(A77,'JOGOS BASE'!A:E,5,0),IF(K77=J77,VLOOKUP(J77,Substituicoes!J:R,7,0),IF(L77=J77,VLOOKUP(Escalacao!J77,Substituicoes!K:R,8,0),0)))</f>
        <v>0</v>
      </c>
      <c r="P77" s="28">
        <f t="shared" si="8"/>
        <v>0</v>
      </c>
      <c r="Q77" s="28" t="str">
        <f t="shared" si="9"/>
        <v>212Maranhão - MA</v>
      </c>
      <c r="R77" s="28" t="str">
        <f>VLOOKUP(A77,'JOGOS BASE'!A:H,8)</f>
        <v>12.01.2025 - Moto Club - MA x Maranhão - MA</v>
      </c>
    </row>
    <row r="78" spans="1:18" ht="30.6">
      <c r="A78" s="15">
        <v>2</v>
      </c>
      <c r="B78" s="46">
        <v>7</v>
      </c>
      <c r="C78" s="45" t="s">
        <v>238</v>
      </c>
      <c r="D78" s="45" t="s">
        <v>239</v>
      </c>
      <c r="E78" s="47" t="s">
        <v>42</v>
      </c>
      <c r="F78" s="47" t="s">
        <v>24</v>
      </c>
      <c r="G78" s="46">
        <v>739934</v>
      </c>
      <c r="H78" s="15" t="s">
        <v>260</v>
      </c>
      <c r="I78" s="26" t="str">
        <f t="shared" si="5"/>
        <v>GUILHERME</v>
      </c>
      <c r="J78" s="26" t="str">
        <f t="shared" si="6"/>
        <v>2Maranhão - MA7</v>
      </c>
      <c r="K78" s="27" t="str">
        <f>IFERROR(VLOOKUP(J78,Substituicoes!J:J,1,0),"SS")</f>
        <v>SS</v>
      </c>
      <c r="L78" s="27" t="str">
        <f>IFERROR(VLOOKUP(J78,Substituicoes!K:K,1,0),"SS")</f>
        <v>SS</v>
      </c>
      <c r="M78" s="28" t="b">
        <f t="shared" si="7"/>
        <v>1</v>
      </c>
      <c r="N78" s="29">
        <f>IF(AND(K78=L78,LEFT(E78,1)="T"),VLOOKUP(A78,'JOGOS BASE'!A:E,4,0),IF(K78=J78,VLOOKUP(J78,Substituicoes!J:R,6,0),IF(L78=J78,VLOOKUP(Escalacao!J78,Substituicoes!K:R,7,0),0)))</f>
        <v>0</v>
      </c>
      <c r="O78" s="28">
        <f>IF(AND(K78=L78,LEFT(E78,1)="T"),VLOOKUP(A78,'JOGOS BASE'!A:E,5,0),IF(K78=J78,VLOOKUP(J78,Substituicoes!J:R,7,0),IF(L78=J78,VLOOKUP(Escalacao!J78,Substituicoes!K:R,8,0),0)))</f>
        <v>0</v>
      </c>
      <c r="P78" s="28">
        <f t="shared" si="8"/>
        <v>0</v>
      </c>
      <c r="Q78" s="28" t="str">
        <f t="shared" si="9"/>
        <v>27Maranhão - MA</v>
      </c>
      <c r="R78" s="28" t="str">
        <f>VLOOKUP(A78,'JOGOS BASE'!A:H,8)</f>
        <v>12.01.2025 - Moto Club - MA x Maranhão - MA</v>
      </c>
    </row>
    <row r="79" spans="1:18" ht="30.6">
      <c r="A79" s="15">
        <v>2</v>
      </c>
      <c r="B79" s="46">
        <v>13</v>
      </c>
      <c r="C79" s="45" t="s">
        <v>240</v>
      </c>
      <c r="D79" s="45" t="s">
        <v>241</v>
      </c>
      <c r="E79" s="47" t="s">
        <v>42</v>
      </c>
      <c r="F79" s="47" t="s">
        <v>24</v>
      </c>
      <c r="G79" s="46">
        <v>454987</v>
      </c>
      <c r="H79" s="15" t="s">
        <v>260</v>
      </c>
      <c r="I79" s="26" t="str">
        <f t="shared" si="5"/>
        <v>IGOR</v>
      </c>
      <c r="J79" s="26" t="str">
        <f t="shared" si="6"/>
        <v>2Maranhão - MA13</v>
      </c>
      <c r="K79" s="27" t="str">
        <f>IFERROR(VLOOKUP(J79,Substituicoes!J:J,1,0),"SS")</f>
        <v>2Maranhão - MA13</v>
      </c>
      <c r="L79" s="27" t="str">
        <f>IFERROR(VLOOKUP(J79,Substituicoes!K:K,1,0),"SS")</f>
        <v>SS</v>
      </c>
      <c r="M79" s="28" t="b">
        <f t="shared" si="7"/>
        <v>0</v>
      </c>
      <c r="N79" s="29">
        <f>IF(AND(K79=L79,LEFT(E79,1)="T"),VLOOKUP(A79,'JOGOS BASE'!A:E,4,0),IF(K79=J79,VLOOKUP(J79,Substituicoes!J:R,6,0),IF(L79=J79,VLOOKUP(Escalacao!J79,Substituicoes!K:R,7,0),0)))</f>
        <v>0</v>
      </c>
      <c r="O79" s="28">
        <f>IF(AND(K79=L79,LEFT(E79,1)="T"),VLOOKUP(A79,'JOGOS BASE'!A:E,5,0),IF(K79=J79,VLOOKUP(J79,Substituicoes!J:R,7,0),IF(L79=J79,VLOOKUP(Escalacao!J79,Substituicoes!K:R,8,0),0)))</f>
        <v>27</v>
      </c>
      <c r="P79" s="28">
        <f t="shared" si="8"/>
        <v>27</v>
      </c>
      <c r="Q79" s="28" t="str">
        <f t="shared" si="9"/>
        <v>213Maranhão - MA</v>
      </c>
      <c r="R79" s="28" t="str">
        <f>VLOOKUP(A79,'JOGOS BASE'!A:H,8)</f>
        <v>12.01.2025 - Moto Club - MA x Maranhão - MA</v>
      </c>
    </row>
    <row r="80" spans="1:18" ht="30.6">
      <c r="A80" s="15">
        <v>2</v>
      </c>
      <c r="B80" s="46">
        <v>14</v>
      </c>
      <c r="C80" s="45" t="s">
        <v>242</v>
      </c>
      <c r="D80" s="45" t="s">
        <v>243</v>
      </c>
      <c r="E80" s="47" t="s">
        <v>42</v>
      </c>
      <c r="F80" s="47" t="s">
        <v>24</v>
      </c>
      <c r="G80" s="46">
        <v>375673</v>
      </c>
      <c r="H80" s="15" t="s">
        <v>260</v>
      </c>
      <c r="I80" s="26" t="str">
        <f t="shared" si="5"/>
        <v>Julio Nasc ...</v>
      </c>
      <c r="J80" s="26" t="str">
        <f t="shared" si="6"/>
        <v>2Maranhão - MA14</v>
      </c>
      <c r="K80" s="27" t="str">
        <f>IFERROR(VLOOKUP(J80,Substituicoes!J:J,1,0),"SS")</f>
        <v>2Maranhão - MA14</v>
      </c>
      <c r="L80" s="27" t="str">
        <f>IFERROR(VLOOKUP(J80,Substituicoes!K:K,1,0),"SS")</f>
        <v>SS</v>
      </c>
      <c r="M80" s="28" t="b">
        <f t="shared" si="7"/>
        <v>0</v>
      </c>
      <c r="N80" s="29">
        <f>IF(AND(K80=L80,LEFT(E80,1)="T"),VLOOKUP(A80,'JOGOS BASE'!A:E,4,0),IF(K80=J80,VLOOKUP(J80,Substituicoes!J:R,6,0),IF(L80=J80,VLOOKUP(Escalacao!J80,Substituicoes!K:R,7,0),0)))</f>
        <v>0</v>
      </c>
      <c r="O80" s="28">
        <f>IF(AND(K80=L80,LEFT(E80,1)="T"),VLOOKUP(A80,'JOGOS BASE'!A:E,5,0),IF(K80=J80,VLOOKUP(J80,Substituicoes!J:R,7,0),IF(L80=J80,VLOOKUP(Escalacao!J80,Substituicoes!K:R,8,0),0)))</f>
        <v>48</v>
      </c>
      <c r="P80" s="28">
        <f t="shared" si="8"/>
        <v>48</v>
      </c>
      <c r="Q80" s="28" t="str">
        <f t="shared" si="9"/>
        <v>214Maranhão - MA</v>
      </c>
      <c r="R80" s="28" t="str">
        <f>VLOOKUP(A80,'JOGOS BASE'!A:H,8)</f>
        <v>12.01.2025 - Moto Club - MA x Maranhão - MA</v>
      </c>
    </row>
    <row r="81" spans="1:18" ht="30.6">
      <c r="A81" s="15">
        <v>2</v>
      </c>
      <c r="B81" s="46">
        <v>15</v>
      </c>
      <c r="C81" s="45" t="s">
        <v>244</v>
      </c>
      <c r="D81" s="45" t="s">
        <v>245</v>
      </c>
      <c r="E81" s="47" t="s">
        <v>42</v>
      </c>
      <c r="F81" s="47" t="s">
        <v>24</v>
      </c>
      <c r="G81" s="46">
        <v>597056</v>
      </c>
      <c r="H81" s="15" t="s">
        <v>260</v>
      </c>
      <c r="I81" s="26" t="str">
        <f t="shared" si="5"/>
        <v>EDSON</v>
      </c>
      <c r="J81" s="26" t="str">
        <f t="shared" si="6"/>
        <v>2Maranhão - MA15</v>
      </c>
      <c r="K81" s="27" t="str">
        <f>IFERROR(VLOOKUP(J81,Substituicoes!J:J,1,0),"SS")</f>
        <v>SS</v>
      </c>
      <c r="L81" s="27" t="str">
        <f>IFERROR(VLOOKUP(J81,Substituicoes!K:K,1,0),"SS")</f>
        <v>SS</v>
      </c>
      <c r="M81" s="28" t="b">
        <f t="shared" si="7"/>
        <v>1</v>
      </c>
      <c r="N81" s="29">
        <f>IF(AND(K81=L81,LEFT(E81,1)="T"),VLOOKUP(A81,'JOGOS BASE'!A:E,4,0),IF(K81=J81,VLOOKUP(J81,Substituicoes!J:R,6,0),IF(L81=J81,VLOOKUP(Escalacao!J81,Substituicoes!K:R,7,0),0)))</f>
        <v>0</v>
      </c>
      <c r="O81" s="28">
        <f>IF(AND(K81=L81,LEFT(E81,1)="T"),VLOOKUP(A81,'JOGOS BASE'!A:E,5,0),IF(K81=J81,VLOOKUP(J81,Substituicoes!J:R,7,0),IF(L81=J81,VLOOKUP(Escalacao!J81,Substituicoes!K:R,8,0),0)))</f>
        <v>0</v>
      </c>
      <c r="P81" s="28">
        <f t="shared" si="8"/>
        <v>0</v>
      </c>
      <c r="Q81" s="28" t="str">
        <f t="shared" si="9"/>
        <v>215Maranhão - MA</v>
      </c>
      <c r="R81" s="28" t="str">
        <f>VLOOKUP(A81,'JOGOS BASE'!A:H,8)</f>
        <v>12.01.2025 - Moto Club - MA x Maranhão - MA</v>
      </c>
    </row>
    <row r="82" spans="1:18" ht="30.6">
      <c r="A82" s="15">
        <v>2</v>
      </c>
      <c r="B82" s="46">
        <v>16</v>
      </c>
      <c r="C82" s="45" t="s">
        <v>246</v>
      </c>
      <c r="D82" s="45" t="s">
        <v>247</v>
      </c>
      <c r="E82" s="47" t="s">
        <v>42</v>
      </c>
      <c r="F82" s="47" t="s">
        <v>24</v>
      </c>
      <c r="G82" s="46">
        <v>595323</v>
      </c>
      <c r="H82" s="15" t="s">
        <v>260</v>
      </c>
      <c r="I82" s="26" t="str">
        <f t="shared" si="5"/>
        <v>Gabriel</v>
      </c>
      <c r="J82" s="26" t="str">
        <f t="shared" si="6"/>
        <v>2Maranhão - MA16</v>
      </c>
      <c r="K82" s="27" t="str">
        <f>IFERROR(VLOOKUP(J82,Substituicoes!J:J,1,0),"SS")</f>
        <v>SS</v>
      </c>
      <c r="L82" s="27" t="str">
        <f>IFERROR(VLOOKUP(J82,Substituicoes!K:K,1,0),"SS")</f>
        <v>SS</v>
      </c>
      <c r="M82" s="28" t="b">
        <f t="shared" si="7"/>
        <v>1</v>
      </c>
      <c r="N82" s="29">
        <f>IF(AND(K82=L82,LEFT(E82,1)="T"),VLOOKUP(A82,'JOGOS BASE'!A:E,4,0),IF(K82=J82,VLOOKUP(J82,Substituicoes!J:R,6,0),IF(L82=J82,VLOOKUP(Escalacao!J82,Substituicoes!K:R,7,0),0)))</f>
        <v>0</v>
      </c>
      <c r="O82" s="28">
        <f>IF(AND(K82=L82,LEFT(E82,1)="T"),VLOOKUP(A82,'JOGOS BASE'!A:E,5,0),IF(K82=J82,VLOOKUP(J82,Substituicoes!J:R,7,0),IF(L82=J82,VLOOKUP(Escalacao!J82,Substituicoes!K:R,8,0),0)))</f>
        <v>0</v>
      </c>
      <c r="P82" s="28">
        <f t="shared" si="8"/>
        <v>0</v>
      </c>
      <c r="Q82" s="28" t="str">
        <f t="shared" si="9"/>
        <v>216Maranhão - MA</v>
      </c>
      <c r="R82" s="28" t="str">
        <f>VLOOKUP(A82,'JOGOS BASE'!A:H,8)</f>
        <v>12.01.2025 - Moto Club - MA x Maranhão - MA</v>
      </c>
    </row>
    <row r="83" spans="1:18" ht="30.6">
      <c r="A83" s="15">
        <v>2</v>
      </c>
      <c r="B83" s="46">
        <v>17</v>
      </c>
      <c r="C83" s="45" t="s">
        <v>248</v>
      </c>
      <c r="D83" s="45" t="s">
        <v>249</v>
      </c>
      <c r="E83" s="47" t="s">
        <v>42</v>
      </c>
      <c r="F83" s="47" t="s">
        <v>24</v>
      </c>
      <c r="G83" s="46">
        <v>747375</v>
      </c>
      <c r="H83" s="15" t="s">
        <v>260</v>
      </c>
      <c r="I83" s="26" t="str">
        <f t="shared" si="5"/>
        <v>MARCOS</v>
      </c>
      <c r="J83" s="26" t="str">
        <f t="shared" si="6"/>
        <v>2Maranhão - MA17</v>
      </c>
      <c r="K83" s="27" t="str">
        <f>IFERROR(VLOOKUP(J83,Substituicoes!J:J,1,0),"SS")</f>
        <v>SS</v>
      </c>
      <c r="L83" s="27" t="str">
        <f>IFERROR(VLOOKUP(J83,Substituicoes!K:K,1,0),"SS")</f>
        <v>SS</v>
      </c>
      <c r="M83" s="28" t="b">
        <f t="shared" si="7"/>
        <v>1</v>
      </c>
      <c r="N83" s="29">
        <f>IF(AND(K83=L83,LEFT(E83,1)="T"),VLOOKUP(A83,'JOGOS BASE'!A:E,4,0),IF(K83=J83,VLOOKUP(J83,Substituicoes!J:R,6,0),IF(L83=J83,VLOOKUP(Escalacao!J83,Substituicoes!K:R,7,0),0)))</f>
        <v>0</v>
      </c>
      <c r="O83" s="28">
        <f>IF(AND(K83=L83,LEFT(E83,1)="T"),VLOOKUP(A83,'JOGOS BASE'!A:E,5,0),IF(K83=J83,VLOOKUP(J83,Substituicoes!J:R,7,0),IF(L83=J83,VLOOKUP(Escalacao!J83,Substituicoes!K:R,8,0),0)))</f>
        <v>0</v>
      </c>
      <c r="P83" s="28">
        <f t="shared" si="8"/>
        <v>0</v>
      </c>
      <c r="Q83" s="28" t="str">
        <f t="shared" si="9"/>
        <v>217Maranhão - MA</v>
      </c>
      <c r="R83" s="28" t="str">
        <f>VLOOKUP(A83,'JOGOS BASE'!A:H,8)</f>
        <v>12.01.2025 - Moto Club - MA x Maranhão - MA</v>
      </c>
    </row>
    <row r="84" spans="1:18" ht="30.6">
      <c r="A84" s="15">
        <v>2</v>
      </c>
      <c r="B84" s="46">
        <v>18</v>
      </c>
      <c r="C84" s="45" t="s">
        <v>250</v>
      </c>
      <c r="D84" s="45" t="s">
        <v>251</v>
      </c>
      <c r="E84" s="47" t="s">
        <v>42</v>
      </c>
      <c r="F84" s="47" t="s">
        <v>24</v>
      </c>
      <c r="G84" s="46">
        <v>629226</v>
      </c>
      <c r="H84" s="15" t="s">
        <v>260</v>
      </c>
      <c r="I84" s="26" t="str">
        <f t="shared" si="5"/>
        <v>LUCAS</v>
      </c>
      <c r="J84" s="26" t="str">
        <f t="shared" si="6"/>
        <v>2Maranhão - MA18</v>
      </c>
      <c r="K84" s="27" t="str">
        <f>IFERROR(VLOOKUP(J84,Substituicoes!J:J,1,0),"SS")</f>
        <v>2Maranhão - MA18</v>
      </c>
      <c r="L84" s="27" t="str">
        <f>IFERROR(VLOOKUP(J84,Substituicoes!K:K,1,0),"SS")</f>
        <v>SS</v>
      </c>
      <c r="M84" s="28" t="b">
        <f t="shared" si="7"/>
        <v>0</v>
      </c>
      <c r="N84" s="29">
        <f>IF(AND(K84=L84,LEFT(E84,1)="T"),VLOOKUP(A84,'JOGOS BASE'!A:E,4,0),IF(K84=J84,VLOOKUP(J84,Substituicoes!J:R,6,0),IF(L84=J84,VLOOKUP(Escalacao!J84,Substituicoes!K:R,7,0),0)))</f>
        <v>0</v>
      </c>
      <c r="O84" s="28">
        <f>IF(AND(K84=L84,LEFT(E84,1)="T"),VLOOKUP(A84,'JOGOS BASE'!A:E,5,0),IF(K84=J84,VLOOKUP(J84,Substituicoes!J:R,7,0),IF(L84=J84,VLOOKUP(Escalacao!J84,Substituicoes!K:R,8,0),0)))</f>
        <v>50</v>
      </c>
      <c r="P84" s="28">
        <f t="shared" si="8"/>
        <v>50</v>
      </c>
      <c r="Q84" s="28" t="str">
        <f t="shared" si="9"/>
        <v>218Maranhão - MA</v>
      </c>
      <c r="R84" s="28" t="str">
        <f>VLOOKUP(A84,'JOGOS BASE'!A:H,8)</f>
        <v>12.01.2025 - Moto Club - MA x Maranhão - MA</v>
      </c>
    </row>
    <row r="85" spans="1:18" ht="30.6">
      <c r="A85" s="15">
        <v>2</v>
      </c>
      <c r="B85" s="46">
        <v>19</v>
      </c>
      <c r="C85" s="45" t="s">
        <v>252</v>
      </c>
      <c r="D85" s="45" t="s">
        <v>253</v>
      </c>
      <c r="E85" s="47" t="s">
        <v>42</v>
      </c>
      <c r="F85" s="47" t="s">
        <v>24</v>
      </c>
      <c r="G85" s="46">
        <v>543877</v>
      </c>
      <c r="H85" s="15" t="s">
        <v>260</v>
      </c>
      <c r="I85" s="26" t="str">
        <f t="shared" si="5"/>
        <v>Emerson Fr ...</v>
      </c>
      <c r="J85" s="26" t="str">
        <f t="shared" si="6"/>
        <v>2Maranhão - MA19</v>
      </c>
      <c r="K85" s="27" t="str">
        <f>IFERROR(VLOOKUP(J85,Substituicoes!J:J,1,0),"SS")</f>
        <v>2Maranhão - MA19</v>
      </c>
      <c r="L85" s="27" t="str">
        <f>IFERROR(VLOOKUP(J85,Substituicoes!K:K,1,0),"SS")</f>
        <v>SS</v>
      </c>
      <c r="M85" s="28" t="b">
        <f t="shared" si="7"/>
        <v>0</v>
      </c>
      <c r="N85" s="29">
        <f>IF(AND(K85=L85,LEFT(E85,1)="T"),VLOOKUP(A85,'JOGOS BASE'!A:E,4,0),IF(K85=J85,VLOOKUP(J85,Substituicoes!J:R,6,0),IF(L85=J85,VLOOKUP(Escalacao!J85,Substituicoes!K:R,7,0),0)))</f>
        <v>0</v>
      </c>
      <c r="O85" s="28">
        <f>IF(AND(K85=L85,LEFT(E85,1)="T"),VLOOKUP(A85,'JOGOS BASE'!A:E,5,0),IF(K85=J85,VLOOKUP(J85,Substituicoes!J:R,7,0),IF(L85=J85,VLOOKUP(Escalacao!J85,Substituicoes!K:R,8,0),0)))</f>
        <v>50</v>
      </c>
      <c r="P85" s="28">
        <f t="shared" si="8"/>
        <v>50</v>
      </c>
      <c r="Q85" s="28" t="str">
        <f t="shared" si="9"/>
        <v>219Maranhão - MA</v>
      </c>
      <c r="R85" s="28" t="str">
        <f>VLOOKUP(A85,'JOGOS BASE'!A:H,8)</f>
        <v>12.01.2025 - Moto Club - MA x Maranhão - MA</v>
      </c>
    </row>
    <row r="86" spans="1:18" ht="30.6">
      <c r="A86" s="15">
        <v>2</v>
      </c>
      <c r="B86" s="46">
        <v>20</v>
      </c>
      <c r="C86" s="45" t="s">
        <v>254</v>
      </c>
      <c r="D86" s="45" t="s">
        <v>255</v>
      </c>
      <c r="E86" s="47" t="s">
        <v>42</v>
      </c>
      <c r="F86" s="47" t="s">
        <v>24</v>
      </c>
      <c r="G86" s="46">
        <v>557892</v>
      </c>
      <c r="H86" s="15" t="s">
        <v>260</v>
      </c>
      <c r="I86" s="26" t="str">
        <f t="shared" si="5"/>
        <v>Mikeias</v>
      </c>
      <c r="J86" s="26" t="str">
        <f t="shared" si="6"/>
        <v>2Maranhão - MA20</v>
      </c>
      <c r="K86" s="27" t="str">
        <f>IFERROR(VLOOKUP(J86,Substituicoes!J:J,1,0),"SS")</f>
        <v>2Maranhão - MA20</v>
      </c>
      <c r="L86" s="27" t="str">
        <f>IFERROR(VLOOKUP(J86,Substituicoes!K:K,1,0),"SS")</f>
        <v>SS</v>
      </c>
      <c r="M86" s="28" t="b">
        <f t="shared" si="7"/>
        <v>0</v>
      </c>
      <c r="N86" s="29">
        <f>IF(AND(K86=L86,LEFT(E86,1)="T"),VLOOKUP(A86,'JOGOS BASE'!A:E,4,0),IF(K86=J86,VLOOKUP(J86,Substituicoes!J:R,6,0),IF(L86=J86,VLOOKUP(Escalacao!J86,Substituicoes!K:R,7,0),0)))</f>
        <v>0</v>
      </c>
      <c r="O86" s="28">
        <f>IF(AND(K86=L86,LEFT(E86,1)="T"),VLOOKUP(A86,'JOGOS BASE'!A:E,5,0),IF(K86=J86,VLOOKUP(J86,Substituicoes!J:R,7,0),IF(L86=J86,VLOOKUP(Escalacao!J86,Substituicoes!K:R,8,0),0)))</f>
        <v>50</v>
      </c>
      <c r="P86" s="28">
        <f t="shared" si="8"/>
        <v>50</v>
      </c>
      <c r="Q86" s="28" t="str">
        <f t="shared" si="9"/>
        <v>220Maranhão - MA</v>
      </c>
      <c r="R86" s="28" t="str">
        <f>VLOOKUP(A86,'JOGOS BASE'!A:H,8)</f>
        <v>12.01.2025 - Moto Club - MA x Maranhão - MA</v>
      </c>
    </row>
    <row r="87" spans="1:18" ht="30.6">
      <c r="A87" s="15">
        <v>2</v>
      </c>
      <c r="B87" s="46">
        <v>21</v>
      </c>
      <c r="C87" s="45" t="s">
        <v>256</v>
      </c>
      <c r="D87" s="45" t="s">
        <v>257</v>
      </c>
      <c r="E87" s="47" t="s">
        <v>42</v>
      </c>
      <c r="F87" s="47" t="s">
        <v>24</v>
      </c>
      <c r="G87" s="46">
        <v>673956</v>
      </c>
      <c r="H87" s="15" t="s">
        <v>260</v>
      </c>
      <c r="I87" s="26" t="str">
        <f t="shared" si="5"/>
        <v>Diego Cant ...</v>
      </c>
      <c r="J87" s="26" t="str">
        <f t="shared" si="6"/>
        <v>2Maranhão - MA21</v>
      </c>
      <c r="K87" s="27" t="str">
        <f>IFERROR(VLOOKUP(J87,Substituicoes!J:J,1,0),"SS")</f>
        <v>SS</v>
      </c>
      <c r="L87" s="27" t="str">
        <f>IFERROR(VLOOKUP(J87,Substituicoes!K:K,1,0),"SS")</f>
        <v>SS</v>
      </c>
      <c r="M87" s="28" t="b">
        <f t="shared" si="7"/>
        <v>1</v>
      </c>
      <c r="N87" s="29">
        <f>IF(AND(K87=L87,LEFT(E87,1)="T"),VLOOKUP(A87,'JOGOS BASE'!A:E,4,0),IF(K87=J87,VLOOKUP(J87,Substituicoes!J:R,6,0),IF(L87=J87,VLOOKUP(Escalacao!J87,Substituicoes!K:R,7,0),0)))</f>
        <v>0</v>
      </c>
      <c r="O87" s="28">
        <f>IF(AND(K87=L87,LEFT(E87,1)="T"),VLOOKUP(A87,'JOGOS BASE'!A:E,5,0),IF(K87=J87,VLOOKUP(J87,Substituicoes!J:R,7,0),IF(L87=J87,VLOOKUP(Escalacao!J87,Substituicoes!K:R,8,0),0)))</f>
        <v>0</v>
      </c>
      <c r="P87" s="28">
        <f t="shared" si="8"/>
        <v>0</v>
      </c>
      <c r="Q87" s="28" t="str">
        <f t="shared" si="9"/>
        <v>221Maranhão - MA</v>
      </c>
      <c r="R87" s="28" t="str">
        <f>VLOOKUP(A87,'JOGOS BASE'!A:H,8)</f>
        <v>12.01.2025 - Moto Club - MA x Maranhão - MA</v>
      </c>
    </row>
    <row r="88" spans="1:18" ht="30.6">
      <c r="A88" s="15">
        <v>3</v>
      </c>
      <c r="B88" s="46">
        <v>1</v>
      </c>
      <c r="C88" s="45" t="s">
        <v>301</v>
      </c>
      <c r="D88" s="45" t="s">
        <v>302</v>
      </c>
      <c r="E88" s="47" t="s">
        <v>23</v>
      </c>
      <c r="F88" s="47" t="s">
        <v>24</v>
      </c>
      <c r="G88" s="46">
        <v>530809</v>
      </c>
      <c r="H88" s="15" t="s">
        <v>368</v>
      </c>
      <c r="I88" s="26" t="str">
        <f t="shared" ref="I88:I117" si="10">C88</f>
        <v>Mateus</v>
      </c>
      <c r="J88" s="26" t="str">
        <f t="shared" ref="J88:J117" si="11">A88&amp;H88&amp;B88</f>
        <v>3Pinheiro - MA1</v>
      </c>
      <c r="K88" s="27" t="str">
        <f>IFERROR(VLOOKUP(J88,Substituicoes!J:J,1,0),"SS")</f>
        <v>SS</v>
      </c>
      <c r="L88" s="27" t="str">
        <f>IFERROR(VLOOKUP(J88,Substituicoes!K:K,1,0),"SS")</f>
        <v>SS</v>
      </c>
      <c r="M88" s="28" t="b">
        <f t="shared" ref="M88:M117" si="12">K88=L88</f>
        <v>1</v>
      </c>
      <c r="N88" s="29">
        <f>IF(AND(K88=L88,LEFT(E88,1)="T"),VLOOKUP(A88,'JOGOS BASE'!A:E,4,0),IF(K88=J88,VLOOKUP(J88,Substituicoes!J:R,6,0),IF(L88=J88,VLOOKUP(Escalacao!J88,Substituicoes!K:R,7,0),0)))</f>
        <v>50</v>
      </c>
      <c r="O88" s="28">
        <f>IF(AND(K88=L88,LEFT(E88,1)="T"),VLOOKUP(A88,'JOGOS BASE'!A:E,5,0),IF(K88=J88,VLOOKUP(J88,Substituicoes!J:R,7,0),IF(L88=J88,VLOOKUP(Escalacao!J88,Substituicoes!K:R,8,0),0)))</f>
        <v>47</v>
      </c>
      <c r="P88" s="28">
        <f t="shared" ref="P88:P117" si="13">N88+O88</f>
        <v>97</v>
      </c>
      <c r="Q88" s="28" t="str">
        <f t="shared" ref="Q88:Q117" si="14">A88&amp;B88&amp;H88</f>
        <v>31Pinheiro - MA</v>
      </c>
      <c r="R88" s="28" t="str">
        <f>VLOOKUP(A88,'JOGOS BASE'!A:H,8)</f>
        <v>12.01.2025 - Pinheiro - MA x Viana - MA</v>
      </c>
    </row>
    <row r="89" spans="1:18" ht="20.399999999999999">
      <c r="A89" s="15">
        <v>3</v>
      </c>
      <c r="B89" s="46">
        <v>2</v>
      </c>
      <c r="C89" s="45" t="s">
        <v>303</v>
      </c>
      <c r="D89" s="45" t="s">
        <v>304</v>
      </c>
      <c r="E89" s="47" t="s">
        <v>26</v>
      </c>
      <c r="F89" s="47" t="s">
        <v>56</v>
      </c>
      <c r="G89" s="46">
        <v>748495</v>
      </c>
      <c r="H89" s="15" t="s">
        <v>368</v>
      </c>
      <c r="I89" s="26" t="str">
        <f t="shared" si="10"/>
        <v>Italo</v>
      </c>
      <c r="J89" s="26" t="str">
        <f t="shared" si="11"/>
        <v>3Pinheiro - MA2</v>
      </c>
      <c r="K89" s="27" t="str">
        <f>IFERROR(VLOOKUP(J89,Substituicoes!J:J,1,0),"SS")</f>
        <v>SS</v>
      </c>
      <c r="L89" s="27" t="str">
        <f>IFERROR(VLOOKUP(J89,Substituicoes!K:K,1,0),"SS")</f>
        <v>3Pinheiro - MA2</v>
      </c>
      <c r="M89" s="28" t="b">
        <f t="shared" si="12"/>
        <v>0</v>
      </c>
      <c r="N89" s="29">
        <f>IF(AND(K89=L89,LEFT(E89,1)="T"),VLOOKUP(A89,'JOGOS BASE'!A:E,4,0),IF(K89=J89,VLOOKUP(J89,Substituicoes!J:R,6,0),IF(L89=J89,VLOOKUP(Escalacao!J89,Substituicoes!K:R,7,0),0)))</f>
        <v>42</v>
      </c>
      <c r="O89" s="28">
        <f>IF(AND(K89=L89,LEFT(E89,1)="T"),VLOOKUP(A89,'JOGOS BASE'!A:E,5,0),IF(K89=J89,VLOOKUP(J89,Substituicoes!J:R,7,0),IF(L89=J89,VLOOKUP(Escalacao!J89,Substituicoes!K:R,8,0),0)))</f>
        <v>0</v>
      </c>
      <c r="P89" s="28">
        <f t="shared" si="13"/>
        <v>42</v>
      </c>
      <c r="Q89" s="28" t="str">
        <f t="shared" si="14"/>
        <v>32Pinheiro - MA</v>
      </c>
      <c r="R89" s="28" t="str">
        <f>VLOOKUP(A89,'JOGOS BASE'!A:H,8)</f>
        <v>12.01.2025 - Pinheiro - MA x Viana - MA</v>
      </c>
    </row>
    <row r="90" spans="1:18" ht="30.6">
      <c r="A90" s="15">
        <v>3</v>
      </c>
      <c r="B90" s="46">
        <v>3</v>
      </c>
      <c r="C90" s="45" t="s">
        <v>305</v>
      </c>
      <c r="D90" s="45" t="s">
        <v>306</v>
      </c>
      <c r="E90" s="47" t="s">
        <v>26</v>
      </c>
      <c r="F90" s="47" t="s">
        <v>24</v>
      </c>
      <c r="G90" s="46">
        <v>619339</v>
      </c>
      <c r="H90" s="15" t="s">
        <v>368</v>
      </c>
      <c r="I90" s="26" t="str">
        <f t="shared" si="10"/>
        <v>Henrique</v>
      </c>
      <c r="J90" s="26" t="str">
        <f t="shared" si="11"/>
        <v>3Pinheiro - MA3</v>
      </c>
      <c r="K90" s="27" t="str">
        <f>IFERROR(VLOOKUP(J90,Substituicoes!J:J,1,0),"SS")</f>
        <v>SS</v>
      </c>
      <c r="L90" s="27" t="str">
        <f>IFERROR(VLOOKUP(J90,Substituicoes!K:K,1,0),"SS")</f>
        <v>SS</v>
      </c>
      <c r="M90" s="28" t="b">
        <f t="shared" si="12"/>
        <v>1</v>
      </c>
      <c r="N90" s="29">
        <f>IF(AND(K90=L90,LEFT(E90,1)="T"),VLOOKUP(A90,'JOGOS BASE'!A:E,4,0),IF(K90=J90,VLOOKUP(J90,Substituicoes!J:R,6,0),IF(L90=J90,VLOOKUP(Escalacao!J90,Substituicoes!K:R,7,0),0)))</f>
        <v>50</v>
      </c>
      <c r="O90" s="28">
        <f>IF(AND(K90=L90,LEFT(E90,1)="T"),VLOOKUP(A90,'JOGOS BASE'!A:E,5,0),IF(K90=J90,VLOOKUP(J90,Substituicoes!J:R,7,0),IF(L90=J90,VLOOKUP(Escalacao!J90,Substituicoes!K:R,8,0),0)))</f>
        <v>47</v>
      </c>
      <c r="P90" s="28">
        <f t="shared" si="13"/>
        <v>97</v>
      </c>
      <c r="Q90" s="28" t="str">
        <f t="shared" si="14"/>
        <v>33Pinheiro - MA</v>
      </c>
      <c r="R90" s="28" t="str">
        <f>VLOOKUP(A90,'JOGOS BASE'!A:H,8)</f>
        <v>12.01.2025 - Pinheiro - MA x Viana - MA</v>
      </c>
    </row>
    <row r="91" spans="1:18" ht="30.6">
      <c r="A91" s="15">
        <v>3</v>
      </c>
      <c r="B91" s="46">
        <v>4</v>
      </c>
      <c r="C91" s="45" t="s">
        <v>307</v>
      </c>
      <c r="D91" s="45" t="s">
        <v>308</v>
      </c>
      <c r="E91" s="47" t="s">
        <v>26</v>
      </c>
      <c r="F91" s="47" t="s">
        <v>24</v>
      </c>
      <c r="G91" s="46">
        <v>710616</v>
      </c>
      <c r="H91" s="15" t="s">
        <v>368</v>
      </c>
      <c r="I91" s="26" t="str">
        <f t="shared" si="10"/>
        <v>Rikelmmer</v>
      </c>
      <c r="J91" s="26" t="str">
        <f t="shared" si="11"/>
        <v>3Pinheiro - MA4</v>
      </c>
      <c r="K91" s="27" t="str">
        <f>IFERROR(VLOOKUP(J91,Substituicoes!J:J,1,0),"SS")</f>
        <v>SS</v>
      </c>
      <c r="L91" s="27" t="str">
        <f>IFERROR(VLOOKUP(J91,Substituicoes!K:K,1,0),"SS")</f>
        <v>SS</v>
      </c>
      <c r="M91" s="28" t="b">
        <f t="shared" si="12"/>
        <v>1</v>
      </c>
      <c r="N91" s="29">
        <f>IF(AND(K91=L91,LEFT(E91,1)="T"),VLOOKUP(A91,'JOGOS BASE'!A:E,4,0),IF(K91=J91,VLOOKUP(J91,Substituicoes!J:R,6,0),IF(L91=J91,VLOOKUP(Escalacao!J91,Substituicoes!K:R,7,0),0)))</f>
        <v>50</v>
      </c>
      <c r="O91" s="28">
        <f>IF(AND(K91=L91,LEFT(E91,1)="T"),VLOOKUP(A91,'JOGOS BASE'!A:E,5,0),IF(K91=J91,VLOOKUP(J91,Substituicoes!J:R,7,0),IF(L91=J91,VLOOKUP(Escalacao!J91,Substituicoes!K:R,8,0),0)))</f>
        <v>47</v>
      </c>
      <c r="P91" s="28">
        <f t="shared" si="13"/>
        <v>97</v>
      </c>
      <c r="Q91" s="28" t="str">
        <f t="shared" si="14"/>
        <v>34Pinheiro - MA</v>
      </c>
      <c r="R91" s="28" t="str">
        <f>VLOOKUP(A91,'JOGOS BASE'!A:H,8)</f>
        <v>12.01.2025 - Pinheiro - MA x Viana - MA</v>
      </c>
    </row>
    <row r="92" spans="1:18" ht="20.399999999999999">
      <c r="A92" s="15">
        <v>3</v>
      </c>
      <c r="B92" s="46">
        <v>5</v>
      </c>
      <c r="C92" s="45" t="s">
        <v>309</v>
      </c>
      <c r="D92" s="45" t="s">
        <v>310</v>
      </c>
      <c r="E92" s="47" t="s">
        <v>26</v>
      </c>
      <c r="F92" s="47" t="s">
        <v>24</v>
      </c>
      <c r="G92" s="46">
        <v>537343</v>
      </c>
      <c r="H92" s="15" t="s">
        <v>368</v>
      </c>
      <c r="I92" s="26" t="str">
        <f t="shared" si="10"/>
        <v>Rayandeson</v>
      </c>
      <c r="J92" s="26" t="str">
        <f t="shared" si="11"/>
        <v>3Pinheiro - MA5</v>
      </c>
      <c r="K92" s="27" t="str">
        <f>IFERROR(VLOOKUP(J92,Substituicoes!J:J,1,0),"SS")</f>
        <v>SS</v>
      </c>
      <c r="L92" s="27" t="str">
        <f>IFERROR(VLOOKUP(J92,Substituicoes!K:K,1,0),"SS")</f>
        <v>SS</v>
      </c>
      <c r="M92" s="28" t="b">
        <f t="shared" si="12"/>
        <v>1</v>
      </c>
      <c r="N92" s="29">
        <f>IF(AND(K92=L92,LEFT(E92,1)="T"),VLOOKUP(A92,'JOGOS BASE'!A:E,4,0),IF(K92=J92,VLOOKUP(J92,Substituicoes!J:R,6,0),IF(L92=J92,VLOOKUP(Escalacao!J92,Substituicoes!K:R,7,0),0)))</f>
        <v>50</v>
      </c>
      <c r="O92" s="28">
        <f>IF(AND(K92=L92,LEFT(E92,1)="T"),VLOOKUP(A92,'JOGOS BASE'!A:E,5,0),IF(K92=J92,VLOOKUP(J92,Substituicoes!J:R,7,0),IF(L92=J92,VLOOKUP(Escalacao!J92,Substituicoes!K:R,8,0),0)))</f>
        <v>47</v>
      </c>
      <c r="P92" s="28">
        <f t="shared" si="13"/>
        <v>97</v>
      </c>
      <c r="Q92" s="28" t="str">
        <f t="shared" si="14"/>
        <v>35Pinheiro - MA</v>
      </c>
      <c r="R92" s="28" t="str">
        <f>VLOOKUP(A92,'JOGOS BASE'!A:H,8)</f>
        <v>12.01.2025 - Pinheiro - MA x Viana - MA</v>
      </c>
    </row>
    <row r="93" spans="1:18" ht="20.399999999999999">
      <c r="A93" s="15">
        <v>3</v>
      </c>
      <c r="B93" s="46">
        <v>6</v>
      </c>
      <c r="C93" s="45" t="s">
        <v>246</v>
      </c>
      <c r="D93" s="45" t="s">
        <v>311</v>
      </c>
      <c r="E93" s="47" t="s">
        <v>26</v>
      </c>
      <c r="F93" s="47" t="s">
        <v>24</v>
      </c>
      <c r="G93" s="46">
        <v>637743</v>
      </c>
      <c r="H93" s="15" t="s">
        <v>368</v>
      </c>
      <c r="I93" s="26" t="str">
        <f t="shared" si="10"/>
        <v>Gabriel</v>
      </c>
      <c r="J93" s="26" t="str">
        <f t="shared" si="11"/>
        <v>3Pinheiro - MA6</v>
      </c>
      <c r="K93" s="27" t="str">
        <f>IFERROR(VLOOKUP(J93,Substituicoes!J:J,1,0),"SS")</f>
        <v>SS</v>
      </c>
      <c r="L93" s="27" t="str">
        <f>IFERROR(VLOOKUP(J93,Substituicoes!K:K,1,0),"SS")</f>
        <v>3Pinheiro - MA6</v>
      </c>
      <c r="M93" s="28" t="b">
        <f t="shared" si="12"/>
        <v>0</v>
      </c>
      <c r="N93" s="29">
        <f>IF(AND(K93=L93,LEFT(E93,1)="T"),VLOOKUP(A93,'JOGOS BASE'!A:E,4,0),IF(K93=J93,VLOOKUP(J93,Substituicoes!J:R,6,0),IF(L93=J93,VLOOKUP(Escalacao!J93,Substituicoes!K:R,7,0),0)))</f>
        <v>50</v>
      </c>
      <c r="O93" s="28">
        <f>IF(AND(K93=L93,LEFT(E93,1)="T"),VLOOKUP(A93,'JOGOS BASE'!A:E,5,0),IF(K93=J93,VLOOKUP(J93,Substituicoes!J:R,7,0),IF(L93=J93,VLOOKUP(Escalacao!J93,Substituicoes!K:R,8,0),0)))</f>
        <v>32</v>
      </c>
      <c r="P93" s="28">
        <f t="shared" si="13"/>
        <v>82</v>
      </c>
      <c r="Q93" s="28" t="str">
        <f t="shared" si="14"/>
        <v>36Pinheiro - MA</v>
      </c>
      <c r="R93" s="28" t="str">
        <f>VLOOKUP(A93,'JOGOS BASE'!A:H,8)</f>
        <v>12.01.2025 - Pinheiro - MA x Viana - MA</v>
      </c>
    </row>
    <row r="94" spans="1:18" ht="20.399999999999999">
      <c r="A94" s="15">
        <v>3</v>
      </c>
      <c r="B94" s="46">
        <v>7</v>
      </c>
      <c r="C94" s="45" t="s">
        <v>312</v>
      </c>
      <c r="D94" s="45" t="s">
        <v>313</v>
      </c>
      <c r="E94" s="47" t="s">
        <v>26</v>
      </c>
      <c r="F94" s="47" t="s">
        <v>24</v>
      </c>
      <c r="G94" s="46">
        <v>738325</v>
      </c>
      <c r="H94" s="15" t="s">
        <v>368</v>
      </c>
      <c r="I94" s="26" t="str">
        <f t="shared" si="10"/>
        <v>FRANCISCO</v>
      </c>
      <c r="J94" s="26" t="str">
        <f t="shared" si="11"/>
        <v>3Pinheiro - MA7</v>
      </c>
      <c r="K94" s="27" t="str">
        <f>IFERROR(VLOOKUP(J94,Substituicoes!J:J,1,0),"SS")</f>
        <v>SS</v>
      </c>
      <c r="L94" s="27" t="str">
        <f>IFERROR(VLOOKUP(J94,Substituicoes!K:K,1,0),"SS")</f>
        <v>3Pinheiro - MA7</v>
      </c>
      <c r="M94" s="28" t="b">
        <f t="shared" si="12"/>
        <v>0</v>
      </c>
      <c r="N94" s="29">
        <f>IF(AND(K94=L94,LEFT(E94,1)="T"),VLOOKUP(A94,'JOGOS BASE'!A:E,4,0),IF(K94=J94,VLOOKUP(J94,Substituicoes!J:R,6,0),IF(L94=J94,VLOOKUP(Escalacao!J94,Substituicoes!K:R,7,0),0)))</f>
        <v>50</v>
      </c>
      <c r="O94" s="28">
        <f>IF(AND(K94=L94,LEFT(E94,1)="T"),VLOOKUP(A94,'JOGOS BASE'!A:E,5,0),IF(K94=J94,VLOOKUP(J94,Substituicoes!J:R,7,0),IF(L94=J94,VLOOKUP(Escalacao!J94,Substituicoes!K:R,8,0),0)))</f>
        <v>32</v>
      </c>
      <c r="P94" s="28">
        <f t="shared" si="13"/>
        <v>82</v>
      </c>
      <c r="Q94" s="28" t="str">
        <f t="shared" si="14"/>
        <v>37Pinheiro - MA</v>
      </c>
      <c r="R94" s="28" t="str">
        <f>VLOOKUP(A94,'JOGOS BASE'!A:H,8)</f>
        <v>12.01.2025 - Pinheiro - MA x Viana - MA</v>
      </c>
    </row>
    <row r="95" spans="1:18" ht="20.399999999999999">
      <c r="A95" s="15">
        <v>3</v>
      </c>
      <c r="B95" s="46">
        <v>8</v>
      </c>
      <c r="C95" s="45" t="s">
        <v>314</v>
      </c>
      <c r="D95" s="45" t="s">
        <v>315</v>
      </c>
      <c r="E95" s="47" t="s">
        <v>26</v>
      </c>
      <c r="F95" s="47" t="s">
        <v>24</v>
      </c>
      <c r="G95" s="46">
        <v>552300</v>
      </c>
      <c r="H95" s="15" t="s">
        <v>368</v>
      </c>
      <c r="I95" s="26" t="str">
        <f t="shared" si="10"/>
        <v>Tulio</v>
      </c>
      <c r="J95" s="26" t="str">
        <f t="shared" si="11"/>
        <v>3Pinheiro - MA8</v>
      </c>
      <c r="K95" s="27" t="str">
        <f>IFERROR(VLOOKUP(J95,Substituicoes!J:J,1,0),"SS")</f>
        <v>SS</v>
      </c>
      <c r="L95" s="27" t="str">
        <f>IFERROR(VLOOKUP(J95,Substituicoes!K:K,1,0),"SS")</f>
        <v>SS</v>
      </c>
      <c r="M95" s="28" t="b">
        <f t="shared" si="12"/>
        <v>1</v>
      </c>
      <c r="N95" s="29">
        <f>IF(AND(K95=L95,LEFT(E95,1)="T"),VLOOKUP(A95,'JOGOS BASE'!A:E,4,0),IF(K95=J95,VLOOKUP(J95,Substituicoes!J:R,6,0),IF(L95=J95,VLOOKUP(Escalacao!J95,Substituicoes!K:R,7,0),0)))</f>
        <v>50</v>
      </c>
      <c r="O95" s="28">
        <f>IF(AND(K95=L95,LEFT(E95,1)="T"),VLOOKUP(A95,'JOGOS BASE'!A:E,5,0),IF(K95=J95,VLOOKUP(J95,Substituicoes!J:R,7,0),IF(L95=J95,VLOOKUP(Escalacao!J95,Substituicoes!K:R,8,0),0)))</f>
        <v>47</v>
      </c>
      <c r="P95" s="28">
        <f t="shared" si="13"/>
        <v>97</v>
      </c>
      <c r="Q95" s="28" t="str">
        <f t="shared" si="14"/>
        <v>38Pinheiro - MA</v>
      </c>
      <c r="R95" s="28" t="str">
        <f>VLOOKUP(A95,'JOGOS BASE'!A:H,8)</f>
        <v>12.01.2025 - Pinheiro - MA x Viana - MA</v>
      </c>
    </row>
    <row r="96" spans="1:18" ht="30.6">
      <c r="A96" s="15">
        <v>3</v>
      </c>
      <c r="B96" s="46">
        <v>9</v>
      </c>
      <c r="C96" s="45" t="s">
        <v>316</v>
      </c>
      <c r="D96" s="45" t="s">
        <v>317</v>
      </c>
      <c r="E96" s="47" t="s">
        <v>26</v>
      </c>
      <c r="F96" s="47" t="s">
        <v>24</v>
      </c>
      <c r="G96" s="46">
        <v>464141</v>
      </c>
      <c r="H96" s="15" t="s">
        <v>368</v>
      </c>
      <c r="I96" s="26" t="str">
        <f t="shared" si="10"/>
        <v>Cleber</v>
      </c>
      <c r="J96" s="26" t="str">
        <f t="shared" si="11"/>
        <v>3Pinheiro - MA9</v>
      </c>
      <c r="K96" s="27" t="str">
        <f>IFERROR(VLOOKUP(J96,Substituicoes!J:J,1,0),"SS")</f>
        <v>SS</v>
      </c>
      <c r="L96" s="27" t="str">
        <f>IFERROR(VLOOKUP(J96,Substituicoes!K:K,1,0),"SS")</f>
        <v>3Pinheiro - MA9</v>
      </c>
      <c r="M96" s="28" t="b">
        <f t="shared" si="12"/>
        <v>0</v>
      </c>
      <c r="N96" s="29">
        <f>IF(AND(K96=L96,LEFT(E96,1)="T"),VLOOKUP(A96,'JOGOS BASE'!A:E,4,0),IF(K96=J96,VLOOKUP(J96,Substituicoes!J:R,6,0),IF(L96=J96,VLOOKUP(Escalacao!J96,Substituicoes!K:R,7,0),0)))</f>
        <v>50</v>
      </c>
      <c r="O96" s="28">
        <f>IF(AND(K96=L96,LEFT(E96,1)="T"),VLOOKUP(A96,'JOGOS BASE'!A:E,5,0),IF(K96=J96,VLOOKUP(J96,Substituicoes!J:R,7,0),IF(L96=J96,VLOOKUP(Escalacao!J96,Substituicoes!K:R,8,0),0)))</f>
        <v>32</v>
      </c>
      <c r="P96" s="28">
        <f t="shared" si="13"/>
        <v>82</v>
      </c>
      <c r="Q96" s="28" t="str">
        <f t="shared" si="14"/>
        <v>39Pinheiro - MA</v>
      </c>
      <c r="R96" s="28" t="str">
        <f>VLOOKUP(A96,'JOGOS BASE'!A:H,8)</f>
        <v>12.01.2025 - Pinheiro - MA x Viana - MA</v>
      </c>
    </row>
    <row r="97" spans="1:18" ht="20.399999999999999">
      <c r="A97" s="15">
        <v>3</v>
      </c>
      <c r="B97" s="46">
        <v>10</v>
      </c>
      <c r="C97" s="45" t="s">
        <v>318</v>
      </c>
      <c r="D97" s="45" t="s">
        <v>319</v>
      </c>
      <c r="E97" s="47" t="s">
        <v>26</v>
      </c>
      <c r="F97" s="47" t="s">
        <v>24</v>
      </c>
      <c r="G97" s="46">
        <v>554277</v>
      </c>
      <c r="H97" s="15" t="s">
        <v>368</v>
      </c>
      <c r="I97" s="26" t="str">
        <f t="shared" si="10"/>
        <v>Neto</v>
      </c>
      <c r="J97" s="26" t="str">
        <f t="shared" si="11"/>
        <v>3Pinheiro - MA10</v>
      </c>
      <c r="K97" s="27" t="str">
        <f>IFERROR(VLOOKUP(J97,Substituicoes!J:J,1,0),"SS")</f>
        <v>SS</v>
      </c>
      <c r="L97" s="27" t="str">
        <f>IFERROR(VLOOKUP(J97,Substituicoes!K:K,1,0),"SS")</f>
        <v>SS</v>
      </c>
      <c r="M97" s="28" t="b">
        <f t="shared" si="12"/>
        <v>1</v>
      </c>
      <c r="N97" s="29">
        <f>IF(AND(K97=L97,LEFT(E97,1)="T"),VLOOKUP(A97,'JOGOS BASE'!A:E,4,0),IF(K97=J97,VLOOKUP(J97,Substituicoes!J:R,6,0),IF(L97=J97,VLOOKUP(Escalacao!J97,Substituicoes!K:R,7,0),0)))</f>
        <v>50</v>
      </c>
      <c r="O97" s="28">
        <f>IF(AND(K97=L97,LEFT(E97,1)="T"),VLOOKUP(A97,'JOGOS BASE'!A:E,5,0),IF(K97=J97,VLOOKUP(J97,Substituicoes!J:R,7,0),IF(L97=J97,VLOOKUP(Escalacao!J97,Substituicoes!K:R,8,0),0)))</f>
        <v>47</v>
      </c>
      <c r="P97" s="28">
        <f t="shared" si="13"/>
        <v>97</v>
      </c>
      <c r="Q97" s="28" t="str">
        <f t="shared" si="14"/>
        <v>310Pinheiro - MA</v>
      </c>
      <c r="R97" s="28" t="str">
        <f>VLOOKUP(A97,'JOGOS BASE'!A:H,8)</f>
        <v>12.01.2025 - Pinheiro - MA x Viana - MA</v>
      </c>
    </row>
    <row r="98" spans="1:18" ht="20.399999999999999">
      <c r="A98" s="15">
        <v>3</v>
      </c>
      <c r="B98" s="46">
        <v>11</v>
      </c>
      <c r="C98" s="45" t="s">
        <v>320</v>
      </c>
      <c r="D98" s="45" t="s">
        <v>321</v>
      </c>
      <c r="E98" s="47" t="s">
        <v>26</v>
      </c>
      <c r="F98" s="47" t="s">
        <v>24</v>
      </c>
      <c r="G98" s="46">
        <v>612866</v>
      </c>
      <c r="H98" s="15" t="s">
        <v>368</v>
      </c>
      <c r="I98" s="26" t="str">
        <f t="shared" si="10"/>
        <v>Joao Pedro</v>
      </c>
      <c r="J98" s="26" t="str">
        <f t="shared" si="11"/>
        <v>3Pinheiro - MA11</v>
      </c>
      <c r="K98" s="27" t="str">
        <f>IFERROR(VLOOKUP(J98,Substituicoes!J:J,1,0),"SS")</f>
        <v>SS</v>
      </c>
      <c r="L98" s="27" t="str">
        <f>IFERROR(VLOOKUP(J98,Substituicoes!K:K,1,0),"SS")</f>
        <v>3Pinheiro - MA11</v>
      </c>
      <c r="M98" s="28" t="b">
        <f t="shared" si="12"/>
        <v>0</v>
      </c>
      <c r="N98" s="29">
        <f>IF(AND(K98=L98,LEFT(E98,1)="T"),VLOOKUP(A98,'JOGOS BASE'!A:E,4,0),IF(K98=J98,VLOOKUP(J98,Substituicoes!J:R,6,0),IF(L98=J98,VLOOKUP(Escalacao!J98,Substituicoes!K:R,7,0),0)))</f>
        <v>50</v>
      </c>
      <c r="O98" s="28">
        <f>IF(AND(K98=L98,LEFT(E98,1)="T"),VLOOKUP(A98,'JOGOS BASE'!A:E,5,0),IF(K98=J98,VLOOKUP(J98,Substituicoes!J:R,7,0),IF(L98=J98,VLOOKUP(Escalacao!J98,Substituicoes!K:R,8,0),0)))</f>
        <v>25</v>
      </c>
      <c r="P98" s="28">
        <f t="shared" si="13"/>
        <v>75</v>
      </c>
      <c r="Q98" s="28" t="str">
        <f t="shared" si="14"/>
        <v>311Pinheiro - MA</v>
      </c>
      <c r="R98" s="28" t="str">
        <f>VLOOKUP(A98,'JOGOS BASE'!A:H,8)</f>
        <v>12.01.2025 - Pinheiro - MA x Viana - MA</v>
      </c>
    </row>
    <row r="99" spans="1:18" ht="20.399999999999999">
      <c r="A99" s="15">
        <v>3</v>
      </c>
      <c r="B99" s="46">
        <v>12</v>
      </c>
      <c r="C99" s="45" t="s">
        <v>322</v>
      </c>
      <c r="D99" s="45" t="s">
        <v>323</v>
      </c>
      <c r="E99" s="47" t="s">
        <v>40</v>
      </c>
      <c r="F99" s="47" t="s">
        <v>24</v>
      </c>
      <c r="G99" s="46">
        <v>637255</v>
      </c>
      <c r="H99" s="15" t="s">
        <v>368</v>
      </c>
      <c r="I99" s="26" t="str">
        <f t="shared" si="10"/>
        <v>LUAN</v>
      </c>
      <c r="J99" s="26" t="str">
        <f t="shared" si="11"/>
        <v>3Pinheiro - MA12</v>
      </c>
      <c r="K99" s="27" t="str">
        <f>IFERROR(VLOOKUP(J99,Substituicoes!J:J,1,0),"SS")</f>
        <v>SS</v>
      </c>
      <c r="L99" s="27" t="str">
        <f>IFERROR(VLOOKUP(J99,Substituicoes!K:K,1,0),"SS")</f>
        <v>SS</v>
      </c>
      <c r="M99" s="28" t="b">
        <f t="shared" si="12"/>
        <v>1</v>
      </c>
      <c r="N99" s="29">
        <f>IF(AND(K99=L99,LEFT(E99,1)="T"),VLOOKUP(A99,'JOGOS BASE'!A:E,4,0),IF(K99=J99,VLOOKUP(J99,Substituicoes!J:R,6,0),IF(L99=J99,VLOOKUP(Escalacao!J99,Substituicoes!K:R,7,0),0)))</f>
        <v>0</v>
      </c>
      <c r="O99" s="28">
        <f>IF(AND(K99=L99,LEFT(E99,1)="T"),VLOOKUP(A99,'JOGOS BASE'!A:E,5,0),IF(K99=J99,VLOOKUP(J99,Substituicoes!J:R,7,0),IF(L99=J99,VLOOKUP(Escalacao!J99,Substituicoes!K:R,8,0),0)))</f>
        <v>0</v>
      </c>
      <c r="P99" s="28">
        <f t="shared" si="13"/>
        <v>0</v>
      </c>
      <c r="Q99" s="28" t="str">
        <f t="shared" si="14"/>
        <v>312Pinheiro - MA</v>
      </c>
      <c r="R99" s="28" t="str">
        <f>VLOOKUP(A99,'JOGOS BASE'!A:H,8)</f>
        <v>12.01.2025 - Pinheiro - MA x Viana - MA</v>
      </c>
    </row>
    <row r="100" spans="1:18" ht="30.6">
      <c r="A100" s="15">
        <v>3</v>
      </c>
      <c r="B100" s="46">
        <v>13</v>
      </c>
      <c r="C100" s="45" t="s">
        <v>324</v>
      </c>
      <c r="D100" s="45" t="s">
        <v>325</v>
      </c>
      <c r="E100" s="47" t="s">
        <v>42</v>
      </c>
      <c r="F100" s="47" t="s">
        <v>24</v>
      </c>
      <c r="G100" s="46">
        <v>554265</v>
      </c>
      <c r="H100" s="15" t="s">
        <v>368</v>
      </c>
      <c r="I100" s="26" t="str">
        <f t="shared" si="10"/>
        <v>Aldomir</v>
      </c>
      <c r="J100" s="26" t="str">
        <f t="shared" si="11"/>
        <v>3Pinheiro - MA13</v>
      </c>
      <c r="K100" s="27" t="str">
        <f>IFERROR(VLOOKUP(J100,Substituicoes!J:J,1,0),"SS")</f>
        <v>3Pinheiro - MA13</v>
      </c>
      <c r="L100" s="27" t="str">
        <f>IFERROR(VLOOKUP(J100,Substituicoes!K:K,1,0),"SS")</f>
        <v>SS</v>
      </c>
      <c r="M100" s="28" t="b">
        <f t="shared" si="12"/>
        <v>0</v>
      </c>
      <c r="N100" s="29">
        <f>IF(AND(K100=L100,LEFT(E100,1)="T"),VLOOKUP(A100,'JOGOS BASE'!A:E,4,0),IF(K100=J100,VLOOKUP(J100,Substituicoes!J:R,6,0),IF(L100=J100,VLOOKUP(Escalacao!J100,Substituicoes!K:R,7,0),0)))</f>
        <v>0</v>
      </c>
      <c r="O100" s="28">
        <f>IF(AND(K100=L100,LEFT(E100,1)="T"),VLOOKUP(A100,'JOGOS BASE'!A:E,5,0),IF(K100=J100,VLOOKUP(J100,Substituicoes!J:R,7,0),IF(L100=J100,VLOOKUP(Escalacao!J100,Substituicoes!K:R,8,0),0)))</f>
        <v>15</v>
      </c>
      <c r="P100" s="28">
        <f t="shared" si="13"/>
        <v>15</v>
      </c>
      <c r="Q100" s="28" t="str">
        <f t="shared" si="14"/>
        <v>313Pinheiro - MA</v>
      </c>
      <c r="R100" s="28" t="str">
        <f>VLOOKUP(A100,'JOGOS BASE'!A:H,8)</f>
        <v>12.01.2025 - Pinheiro - MA x Viana - MA</v>
      </c>
    </row>
    <row r="101" spans="1:18" ht="20.399999999999999">
      <c r="A101" s="15">
        <v>3</v>
      </c>
      <c r="B101" s="46">
        <v>14</v>
      </c>
      <c r="C101" s="45" t="s">
        <v>326</v>
      </c>
      <c r="D101" s="45" t="s">
        <v>327</v>
      </c>
      <c r="E101" s="47" t="s">
        <v>42</v>
      </c>
      <c r="F101" s="47" t="s">
        <v>56</v>
      </c>
      <c r="G101" s="46">
        <v>804398</v>
      </c>
      <c r="H101" s="15" t="s">
        <v>368</v>
      </c>
      <c r="I101" s="26" t="str">
        <f t="shared" si="10"/>
        <v>Igor Mineiro</v>
      </c>
      <c r="J101" s="26" t="str">
        <f t="shared" si="11"/>
        <v>3Pinheiro - MA14</v>
      </c>
      <c r="K101" s="27" t="str">
        <f>IFERROR(VLOOKUP(J101,Substituicoes!J:J,1,0),"SS")</f>
        <v>3Pinheiro - MA14</v>
      </c>
      <c r="L101" s="27" t="str">
        <f>IFERROR(VLOOKUP(J101,Substituicoes!K:K,1,0),"SS")</f>
        <v>SS</v>
      </c>
      <c r="M101" s="28" t="b">
        <f t="shared" si="12"/>
        <v>0</v>
      </c>
      <c r="N101" s="29">
        <f>IF(AND(K101=L101,LEFT(E101,1)="T"),VLOOKUP(A101,'JOGOS BASE'!A:E,4,0),IF(K101=J101,VLOOKUP(J101,Substituicoes!J:R,6,0),IF(L101=J101,VLOOKUP(Escalacao!J101,Substituicoes!K:R,7,0),0)))</f>
        <v>8</v>
      </c>
      <c r="O101" s="28">
        <f>IF(AND(K101=L101,LEFT(E101,1)="T"),VLOOKUP(A101,'JOGOS BASE'!A:E,5,0),IF(K101=J101,VLOOKUP(J101,Substituicoes!J:R,7,0),IF(L101=J101,VLOOKUP(Escalacao!J101,Substituicoes!K:R,8,0),0)))</f>
        <v>47</v>
      </c>
      <c r="P101" s="28">
        <f t="shared" si="13"/>
        <v>55</v>
      </c>
      <c r="Q101" s="28" t="str">
        <f t="shared" si="14"/>
        <v>314Pinheiro - MA</v>
      </c>
      <c r="R101" s="28" t="str">
        <f>VLOOKUP(A101,'JOGOS BASE'!A:H,8)</f>
        <v>12.01.2025 - Pinheiro - MA x Viana - MA</v>
      </c>
    </row>
    <row r="102" spans="1:18" ht="30.6">
      <c r="A102" s="15">
        <v>3</v>
      </c>
      <c r="B102" s="46">
        <v>15</v>
      </c>
      <c r="C102" s="45" t="s">
        <v>328</v>
      </c>
      <c r="D102" s="45" t="s">
        <v>329</v>
      </c>
      <c r="E102" s="47" t="s">
        <v>42</v>
      </c>
      <c r="F102" s="47" t="s">
        <v>56</v>
      </c>
      <c r="G102" s="46">
        <v>779893</v>
      </c>
      <c r="H102" s="15" t="s">
        <v>368</v>
      </c>
      <c r="I102" s="26" t="str">
        <f t="shared" si="10"/>
        <v>George</v>
      </c>
      <c r="J102" s="26" t="str">
        <f t="shared" si="11"/>
        <v>3Pinheiro - MA15</v>
      </c>
      <c r="K102" s="27" t="str">
        <f>IFERROR(VLOOKUP(J102,Substituicoes!J:J,1,0),"SS")</f>
        <v>3Pinheiro - MA15</v>
      </c>
      <c r="L102" s="27" t="str">
        <f>IFERROR(VLOOKUP(J102,Substituicoes!K:K,1,0),"SS")</f>
        <v>SS</v>
      </c>
      <c r="M102" s="28" t="b">
        <f t="shared" si="12"/>
        <v>0</v>
      </c>
      <c r="N102" s="29">
        <f>IF(AND(K102=L102,LEFT(E102,1)="T"),VLOOKUP(A102,'JOGOS BASE'!A:E,4,0),IF(K102=J102,VLOOKUP(J102,Substituicoes!J:R,6,0),IF(L102=J102,VLOOKUP(Escalacao!J102,Substituicoes!K:R,7,0),0)))</f>
        <v>0</v>
      </c>
      <c r="O102" s="28">
        <f>IF(AND(K102=L102,LEFT(E102,1)="T"),VLOOKUP(A102,'JOGOS BASE'!A:E,5,0),IF(K102=J102,VLOOKUP(J102,Substituicoes!J:R,7,0),IF(L102=J102,VLOOKUP(Escalacao!J102,Substituicoes!K:R,8,0),0)))</f>
        <v>15</v>
      </c>
      <c r="P102" s="28">
        <f t="shared" si="13"/>
        <v>15</v>
      </c>
      <c r="Q102" s="28" t="str">
        <f t="shared" si="14"/>
        <v>315Pinheiro - MA</v>
      </c>
      <c r="R102" s="28" t="str">
        <f>VLOOKUP(A102,'JOGOS BASE'!A:H,8)</f>
        <v>12.01.2025 - Pinheiro - MA x Viana - MA</v>
      </c>
    </row>
    <row r="103" spans="1:18" ht="20.399999999999999">
      <c r="A103" s="15">
        <v>3</v>
      </c>
      <c r="B103" s="46">
        <v>16</v>
      </c>
      <c r="C103" s="45" t="s">
        <v>214</v>
      </c>
      <c r="D103" s="45" t="s">
        <v>330</v>
      </c>
      <c r="E103" s="47" t="s">
        <v>42</v>
      </c>
      <c r="F103" s="47" t="s">
        <v>24</v>
      </c>
      <c r="G103" s="46">
        <v>559235</v>
      </c>
      <c r="H103" s="15" t="s">
        <v>368</v>
      </c>
      <c r="I103" s="26" t="str">
        <f t="shared" si="10"/>
        <v>Jean</v>
      </c>
      <c r="J103" s="26" t="str">
        <f t="shared" si="11"/>
        <v>3Pinheiro - MA16</v>
      </c>
      <c r="K103" s="27" t="str">
        <f>IFERROR(VLOOKUP(J103,Substituicoes!J:J,1,0),"SS")</f>
        <v>SS</v>
      </c>
      <c r="L103" s="27" t="str">
        <f>IFERROR(VLOOKUP(J103,Substituicoes!K:K,1,0),"SS")</f>
        <v>SS</v>
      </c>
      <c r="M103" s="28" t="b">
        <f t="shared" si="12"/>
        <v>1</v>
      </c>
      <c r="N103" s="29">
        <f>IF(AND(K103=L103,LEFT(E103,1)="T"),VLOOKUP(A103,'JOGOS BASE'!A:E,4,0),IF(K103=J103,VLOOKUP(J103,Substituicoes!J:R,6,0),IF(L103=J103,VLOOKUP(Escalacao!J103,Substituicoes!K:R,7,0),0)))</f>
        <v>0</v>
      </c>
      <c r="O103" s="28">
        <f>IF(AND(K103=L103,LEFT(E103,1)="T"),VLOOKUP(A103,'JOGOS BASE'!A:E,5,0),IF(K103=J103,VLOOKUP(J103,Substituicoes!J:R,7,0),IF(L103=J103,VLOOKUP(Escalacao!J103,Substituicoes!K:R,8,0),0)))</f>
        <v>0</v>
      </c>
      <c r="P103" s="28">
        <f t="shared" si="13"/>
        <v>0</v>
      </c>
      <c r="Q103" s="28" t="str">
        <f t="shared" si="14"/>
        <v>316Pinheiro - MA</v>
      </c>
      <c r="R103" s="28" t="str">
        <f>VLOOKUP(A103,'JOGOS BASE'!A:H,8)</f>
        <v>12.01.2025 - Pinheiro - MA x Viana - MA</v>
      </c>
    </row>
    <row r="104" spans="1:18" ht="30.6">
      <c r="A104" s="15">
        <v>3</v>
      </c>
      <c r="B104" s="46">
        <v>17</v>
      </c>
      <c r="C104" s="45" t="s">
        <v>331</v>
      </c>
      <c r="D104" s="45" t="s">
        <v>332</v>
      </c>
      <c r="E104" s="47" t="s">
        <v>42</v>
      </c>
      <c r="F104" s="47" t="s">
        <v>24</v>
      </c>
      <c r="G104" s="46">
        <v>816868</v>
      </c>
      <c r="H104" s="15" t="s">
        <v>368</v>
      </c>
      <c r="I104" s="26" t="str">
        <f t="shared" si="10"/>
        <v>KAYKY</v>
      </c>
      <c r="J104" s="26" t="str">
        <f t="shared" si="11"/>
        <v>3Pinheiro - MA17</v>
      </c>
      <c r="K104" s="27" t="str">
        <f>IFERROR(VLOOKUP(J104,Substituicoes!J:J,1,0),"SS")</f>
        <v>3Pinheiro - MA17</v>
      </c>
      <c r="L104" s="27" t="str">
        <f>IFERROR(VLOOKUP(J104,Substituicoes!K:K,1,0),"SS")</f>
        <v>SS</v>
      </c>
      <c r="M104" s="28" t="b">
        <f t="shared" si="12"/>
        <v>0</v>
      </c>
      <c r="N104" s="29">
        <f>IF(AND(K104=L104,LEFT(E104,1)="T"),VLOOKUP(A104,'JOGOS BASE'!A:E,4,0),IF(K104=J104,VLOOKUP(J104,Substituicoes!J:R,6,0),IF(L104=J104,VLOOKUP(Escalacao!J104,Substituicoes!K:R,7,0),0)))</f>
        <v>0</v>
      </c>
      <c r="O104" s="28">
        <f>IF(AND(K104=L104,LEFT(E104,1)="T"),VLOOKUP(A104,'JOGOS BASE'!A:E,5,0),IF(K104=J104,VLOOKUP(J104,Substituicoes!J:R,7,0),IF(L104=J104,VLOOKUP(Escalacao!J104,Substituicoes!K:R,8,0),0)))</f>
        <v>15</v>
      </c>
      <c r="P104" s="28">
        <f t="shared" si="13"/>
        <v>15</v>
      </c>
      <c r="Q104" s="28" t="str">
        <f t="shared" si="14"/>
        <v>317Pinheiro - MA</v>
      </c>
      <c r="R104" s="28" t="str">
        <f>VLOOKUP(A104,'JOGOS BASE'!A:H,8)</f>
        <v>12.01.2025 - Pinheiro - MA x Viana - MA</v>
      </c>
    </row>
    <row r="105" spans="1:18" ht="30.6">
      <c r="A105" s="15">
        <v>3</v>
      </c>
      <c r="B105" s="46">
        <v>18</v>
      </c>
      <c r="C105" s="45" t="s">
        <v>333</v>
      </c>
      <c r="D105" s="45" t="s">
        <v>334</v>
      </c>
      <c r="E105" s="47" t="s">
        <v>42</v>
      </c>
      <c r="F105" s="47" t="s">
        <v>24</v>
      </c>
      <c r="G105" s="46">
        <v>710709</v>
      </c>
      <c r="H105" s="15" t="s">
        <v>368</v>
      </c>
      <c r="I105" s="26" t="str">
        <f t="shared" si="10"/>
        <v>BASTICO</v>
      </c>
      <c r="J105" s="26" t="str">
        <f t="shared" si="11"/>
        <v>3Pinheiro - MA18</v>
      </c>
      <c r="K105" s="27" t="str">
        <f>IFERROR(VLOOKUP(J105,Substituicoes!J:J,1,0),"SS")</f>
        <v>3Pinheiro - MA18</v>
      </c>
      <c r="L105" s="27" t="str">
        <f>IFERROR(VLOOKUP(J105,Substituicoes!K:K,1,0),"SS")</f>
        <v>SS</v>
      </c>
      <c r="M105" s="28" t="b">
        <f t="shared" si="12"/>
        <v>0</v>
      </c>
      <c r="N105" s="29">
        <f>IF(AND(K105=L105,LEFT(E105,1)="T"),VLOOKUP(A105,'JOGOS BASE'!A:E,4,0),IF(K105=J105,VLOOKUP(J105,Substituicoes!J:R,6,0),IF(L105=J105,VLOOKUP(Escalacao!J105,Substituicoes!K:R,7,0),0)))</f>
        <v>0</v>
      </c>
      <c r="O105" s="28">
        <f>IF(AND(K105=L105,LEFT(E105,1)="T"),VLOOKUP(A105,'JOGOS BASE'!A:E,5,0),IF(K105=J105,VLOOKUP(J105,Substituicoes!J:R,7,0),IF(L105=J105,VLOOKUP(Escalacao!J105,Substituicoes!K:R,8,0),0)))</f>
        <v>22</v>
      </c>
      <c r="P105" s="28">
        <f t="shared" si="13"/>
        <v>22</v>
      </c>
      <c r="Q105" s="28" t="str">
        <f t="shared" si="14"/>
        <v>318Pinheiro - MA</v>
      </c>
      <c r="R105" s="28" t="str">
        <f>VLOOKUP(A105,'JOGOS BASE'!A:H,8)</f>
        <v>12.01.2025 - Pinheiro - MA x Viana - MA</v>
      </c>
    </row>
    <row r="106" spans="1:18" ht="30.6">
      <c r="A106" s="15">
        <v>3</v>
      </c>
      <c r="B106" s="46">
        <v>1</v>
      </c>
      <c r="C106" s="45" t="s">
        <v>335</v>
      </c>
      <c r="D106" s="45" t="s">
        <v>336</v>
      </c>
      <c r="E106" s="47" t="s">
        <v>23</v>
      </c>
      <c r="F106" s="47" t="s">
        <v>24</v>
      </c>
      <c r="G106" s="46">
        <v>178014</v>
      </c>
      <c r="H106" s="15" t="s">
        <v>381</v>
      </c>
      <c r="I106" s="26" t="str">
        <f t="shared" si="10"/>
        <v>Saulo</v>
      </c>
      <c r="J106" s="26" t="str">
        <f t="shared" si="11"/>
        <v>3Viana - MA1</v>
      </c>
      <c r="K106" s="27" t="str">
        <f>IFERROR(VLOOKUP(J106,Substituicoes!J:J,1,0),"SS")</f>
        <v>SS</v>
      </c>
      <c r="L106" s="27" t="str">
        <f>IFERROR(VLOOKUP(J106,Substituicoes!K:K,1,0),"SS")</f>
        <v>SS</v>
      </c>
      <c r="M106" s="28" t="b">
        <f t="shared" si="12"/>
        <v>1</v>
      </c>
      <c r="N106" s="29">
        <f>IF(AND(K106=L106,LEFT(E106,1)="T"),VLOOKUP(A106,'JOGOS BASE'!A:E,4,0),IF(K106=J106,VLOOKUP(J106,Substituicoes!J:R,6,0),IF(L106=J106,VLOOKUP(Escalacao!J106,Substituicoes!K:R,7,0),0)))</f>
        <v>50</v>
      </c>
      <c r="O106" s="28">
        <f>IF(AND(K106=L106,LEFT(E106,1)="T"),VLOOKUP(A106,'JOGOS BASE'!A:E,5,0),IF(K106=J106,VLOOKUP(J106,Substituicoes!J:R,7,0),IF(L106=J106,VLOOKUP(Escalacao!J106,Substituicoes!K:R,8,0),0)))</f>
        <v>47</v>
      </c>
      <c r="P106" s="28">
        <f t="shared" si="13"/>
        <v>97</v>
      </c>
      <c r="Q106" s="28" t="str">
        <f t="shared" si="14"/>
        <v>31Viana - MA</v>
      </c>
      <c r="R106" s="28" t="str">
        <f>VLOOKUP(A106,'JOGOS BASE'!A:H,8)</f>
        <v>12.01.2025 - Pinheiro - MA x Viana - MA</v>
      </c>
    </row>
    <row r="107" spans="1:18" ht="30.6">
      <c r="A107" s="15">
        <v>3</v>
      </c>
      <c r="B107" s="46">
        <v>2</v>
      </c>
      <c r="C107" s="45" t="s">
        <v>337</v>
      </c>
      <c r="D107" s="45" t="s">
        <v>338</v>
      </c>
      <c r="E107" s="47" t="s">
        <v>26</v>
      </c>
      <c r="F107" s="47" t="s">
        <v>24</v>
      </c>
      <c r="G107" s="46">
        <v>754354</v>
      </c>
      <c r="H107" s="15" t="s">
        <v>381</v>
      </c>
      <c r="I107" s="26" t="str">
        <f t="shared" si="10"/>
        <v>ARTHUR CAR</v>
      </c>
      <c r="J107" s="26" t="str">
        <f t="shared" si="11"/>
        <v>3Viana - MA2</v>
      </c>
      <c r="K107" s="27" t="str">
        <f>IFERROR(VLOOKUP(J107,Substituicoes!J:J,1,0),"SS")</f>
        <v>SS</v>
      </c>
      <c r="L107" s="27" t="str">
        <f>IFERROR(VLOOKUP(J107,Substituicoes!K:K,1,0),"SS")</f>
        <v>SS</v>
      </c>
      <c r="M107" s="28" t="b">
        <f t="shared" si="12"/>
        <v>1</v>
      </c>
      <c r="N107" s="29">
        <f>IF(AND(K107=L107,LEFT(E107,1)="T"),VLOOKUP(A107,'JOGOS BASE'!A:E,4,0),IF(K107=J107,VLOOKUP(J107,Substituicoes!J:R,6,0),IF(L107=J107,VLOOKUP(Escalacao!J107,Substituicoes!K:R,7,0),0)))</f>
        <v>50</v>
      </c>
      <c r="O107" s="28">
        <f>IF(AND(K107=L107,LEFT(E107,1)="T"),VLOOKUP(A107,'JOGOS BASE'!A:E,5,0),IF(K107=J107,VLOOKUP(J107,Substituicoes!J:R,7,0),IF(L107=J107,VLOOKUP(Escalacao!J107,Substituicoes!K:R,8,0),0)))</f>
        <v>47</v>
      </c>
      <c r="P107" s="28">
        <f t="shared" si="13"/>
        <v>97</v>
      </c>
      <c r="Q107" s="28" t="str">
        <f t="shared" si="14"/>
        <v>32Viana - MA</v>
      </c>
      <c r="R107" s="28" t="str">
        <f>VLOOKUP(A107,'JOGOS BASE'!A:H,8)</f>
        <v>12.01.2025 - Pinheiro - MA x Viana - MA</v>
      </c>
    </row>
    <row r="108" spans="1:18" ht="30.6">
      <c r="A108" s="15">
        <v>3</v>
      </c>
      <c r="B108" s="46">
        <v>3</v>
      </c>
      <c r="C108" s="45" t="s">
        <v>339</v>
      </c>
      <c r="D108" s="45" t="s">
        <v>340</v>
      </c>
      <c r="E108" s="47" t="s">
        <v>26</v>
      </c>
      <c r="F108" s="47" t="s">
        <v>24</v>
      </c>
      <c r="G108" s="46">
        <v>396008</v>
      </c>
      <c r="H108" s="15" t="s">
        <v>381</v>
      </c>
      <c r="I108" s="26" t="str">
        <f t="shared" si="10"/>
        <v>Brener Bessa</v>
      </c>
      <c r="J108" s="26" t="str">
        <f t="shared" si="11"/>
        <v>3Viana - MA3</v>
      </c>
      <c r="K108" s="27" t="str">
        <f>IFERROR(VLOOKUP(J108,Substituicoes!J:J,1,0),"SS")</f>
        <v>SS</v>
      </c>
      <c r="L108" s="27" t="str">
        <f>IFERROR(VLOOKUP(J108,Substituicoes!K:K,1,0),"SS")</f>
        <v>SS</v>
      </c>
      <c r="M108" s="28" t="b">
        <f t="shared" si="12"/>
        <v>1</v>
      </c>
      <c r="N108" s="29">
        <f>IF(AND(K108=L108,LEFT(E108,1)="T"),VLOOKUP(A108,'JOGOS BASE'!A:E,4,0),IF(K108=J108,VLOOKUP(J108,Substituicoes!J:R,6,0),IF(L108=J108,VLOOKUP(Escalacao!J108,Substituicoes!K:R,7,0),0)))</f>
        <v>50</v>
      </c>
      <c r="O108" s="28">
        <f>IF(AND(K108=L108,LEFT(E108,1)="T"),VLOOKUP(A108,'JOGOS BASE'!A:E,5,0),IF(K108=J108,VLOOKUP(J108,Substituicoes!J:R,7,0),IF(L108=J108,VLOOKUP(Escalacao!J108,Substituicoes!K:R,8,0),0)))</f>
        <v>47</v>
      </c>
      <c r="P108" s="28">
        <f t="shared" si="13"/>
        <v>97</v>
      </c>
      <c r="Q108" s="28" t="str">
        <f t="shared" si="14"/>
        <v>33Viana - MA</v>
      </c>
      <c r="R108" s="28" t="str">
        <f>VLOOKUP(A108,'JOGOS BASE'!A:H,8)</f>
        <v>12.01.2025 - Pinheiro - MA x Viana - MA</v>
      </c>
    </row>
    <row r="109" spans="1:18" ht="30.6">
      <c r="A109" s="15">
        <v>3</v>
      </c>
      <c r="B109" s="46">
        <v>4</v>
      </c>
      <c r="C109" s="45" t="s">
        <v>341</v>
      </c>
      <c r="D109" s="45" t="s">
        <v>342</v>
      </c>
      <c r="E109" s="47" t="s">
        <v>26</v>
      </c>
      <c r="F109" s="47" t="s">
        <v>24</v>
      </c>
      <c r="G109" s="46">
        <v>622807</v>
      </c>
      <c r="H109" s="15" t="s">
        <v>381</v>
      </c>
      <c r="I109" s="26" t="str">
        <f t="shared" si="10"/>
        <v>LUIZ HENRIQ</v>
      </c>
      <c r="J109" s="26" t="str">
        <f t="shared" si="11"/>
        <v>3Viana - MA4</v>
      </c>
      <c r="K109" s="27" t="str">
        <f>IFERROR(VLOOKUP(J109,Substituicoes!J:J,1,0),"SS")</f>
        <v>SS</v>
      </c>
      <c r="L109" s="27" t="str">
        <f>IFERROR(VLOOKUP(J109,Substituicoes!K:K,1,0),"SS")</f>
        <v>SS</v>
      </c>
      <c r="M109" s="28" t="b">
        <f t="shared" si="12"/>
        <v>1</v>
      </c>
      <c r="N109" s="29">
        <f>IF(AND(K109=L109,LEFT(E109,1)="T"),VLOOKUP(A109,'JOGOS BASE'!A:E,4,0),IF(K109=J109,VLOOKUP(J109,Substituicoes!J:R,6,0),IF(L109=J109,VLOOKUP(Escalacao!J109,Substituicoes!K:R,7,0),0)))</f>
        <v>50</v>
      </c>
      <c r="O109" s="28">
        <f>IF(AND(K109=L109,LEFT(E109,1)="T"),VLOOKUP(A109,'JOGOS BASE'!A:E,5,0),IF(K109=J109,VLOOKUP(J109,Substituicoes!J:R,7,0),IF(L109=J109,VLOOKUP(Escalacao!J109,Substituicoes!K:R,8,0),0)))</f>
        <v>47</v>
      </c>
      <c r="P109" s="28">
        <f t="shared" si="13"/>
        <v>97</v>
      </c>
      <c r="Q109" s="28" t="str">
        <f t="shared" si="14"/>
        <v>34Viana - MA</v>
      </c>
      <c r="R109" s="28" t="str">
        <f>VLOOKUP(A109,'JOGOS BASE'!A:H,8)</f>
        <v>12.01.2025 - Pinheiro - MA x Viana - MA</v>
      </c>
    </row>
    <row r="110" spans="1:18" ht="30.6">
      <c r="A110" s="15">
        <v>3</v>
      </c>
      <c r="B110" s="46">
        <v>5</v>
      </c>
      <c r="C110" s="45" t="s">
        <v>343</v>
      </c>
      <c r="D110" s="45" t="s">
        <v>344</v>
      </c>
      <c r="E110" s="47" t="s">
        <v>26</v>
      </c>
      <c r="F110" s="47" t="s">
        <v>24</v>
      </c>
      <c r="G110" s="46">
        <v>799878</v>
      </c>
      <c r="H110" s="15" t="s">
        <v>381</v>
      </c>
      <c r="I110" s="26" t="str">
        <f t="shared" si="10"/>
        <v>RIQUELME</v>
      </c>
      <c r="J110" s="26" t="str">
        <f t="shared" si="11"/>
        <v>3Viana - MA5</v>
      </c>
      <c r="K110" s="27" t="str">
        <f>IFERROR(VLOOKUP(J110,Substituicoes!J:J,1,0),"SS")</f>
        <v>SS</v>
      </c>
      <c r="L110" s="27" t="str">
        <f>IFERROR(VLOOKUP(J110,Substituicoes!K:K,1,0),"SS")</f>
        <v>SS</v>
      </c>
      <c r="M110" s="28" t="b">
        <f t="shared" si="12"/>
        <v>1</v>
      </c>
      <c r="N110" s="29">
        <f>IF(AND(K110=L110,LEFT(E110,1)="T"),VLOOKUP(A110,'JOGOS BASE'!A:E,4,0),IF(K110=J110,VLOOKUP(J110,Substituicoes!J:R,6,0),IF(L110=J110,VLOOKUP(Escalacao!J110,Substituicoes!K:R,7,0),0)))</f>
        <v>50</v>
      </c>
      <c r="O110" s="28">
        <f>IF(AND(K110=L110,LEFT(E110,1)="T"),VLOOKUP(A110,'JOGOS BASE'!A:E,5,0),IF(K110=J110,VLOOKUP(J110,Substituicoes!J:R,7,0),IF(L110=J110,VLOOKUP(Escalacao!J110,Substituicoes!K:R,8,0),0)))</f>
        <v>47</v>
      </c>
      <c r="P110" s="28">
        <f t="shared" si="13"/>
        <v>97</v>
      </c>
      <c r="Q110" s="28" t="str">
        <f t="shared" si="14"/>
        <v>35Viana - MA</v>
      </c>
      <c r="R110" s="28" t="str">
        <f>VLOOKUP(A110,'JOGOS BASE'!A:H,8)</f>
        <v>12.01.2025 - Pinheiro - MA x Viana - MA</v>
      </c>
    </row>
    <row r="111" spans="1:18" ht="30.6">
      <c r="A111" s="15">
        <v>3</v>
      </c>
      <c r="B111" s="46">
        <v>6</v>
      </c>
      <c r="C111" s="45" t="s">
        <v>345</v>
      </c>
      <c r="D111" s="45" t="s">
        <v>346</v>
      </c>
      <c r="E111" s="47" t="s">
        <v>26</v>
      </c>
      <c r="F111" s="47" t="s">
        <v>24</v>
      </c>
      <c r="G111" s="46">
        <v>621098</v>
      </c>
      <c r="H111" s="15" t="s">
        <v>381</v>
      </c>
      <c r="I111" s="26" t="str">
        <f t="shared" si="10"/>
        <v>Leleu</v>
      </c>
      <c r="J111" s="26" t="str">
        <f t="shared" si="11"/>
        <v>3Viana - MA6</v>
      </c>
      <c r="K111" s="27" t="str">
        <f>IFERROR(VLOOKUP(J111,Substituicoes!J:J,1,0),"SS")</f>
        <v>SS</v>
      </c>
      <c r="L111" s="27" t="str">
        <f>IFERROR(VLOOKUP(J111,Substituicoes!K:K,1,0),"SS")</f>
        <v>SS</v>
      </c>
      <c r="M111" s="28" t="b">
        <f t="shared" si="12"/>
        <v>1</v>
      </c>
      <c r="N111" s="29">
        <f>IF(AND(K111=L111,LEFT(E111,1)="T"),VLOOKUP(A111,'JOGOS BASE'!A:E,4,0),IF(K111=J111,VLOOKUP(J111,Substituicoes!J:R,6,0),IF(L111=J111,VLOOKUP(Escalacao!J111,Substituicoes!K:R,7,0),0)))</f>
        <v>50</v>
      </c>
      <c r="O111" s="28">
        <f>IF(AND(K111=L111,LEFT(E111,1)="T"),VLOOKUP(A111,'JOGOS BASE'!A:E,5,0),IF(K111=J111,VLOOKUP(J111,Substituicoes!J:R,7,0),IF(L111=J111,VLOOKUP(Escalacao!J111,Substituicoes!K:R,8,0),0)))</f>
        <v>47</v>
      </c>
      <c r="P111" s="28">
        <f t="shared" si="13"/>
        <v>97</v>
      </c>
      <c r="Q111" s="28" t="str">
        <f t="shared" si="14"/>
        <v>36Viana - MA</v>
      </c>
      <c r="R111" s="28" t="str">
        <f>VLOOKUP(A111,'JOGOS BASE'!A:H,8)</f>
        <v>12.01.2025 - Pinheiro - MA x Viana - MA</v>
      </c>
    </row>
    <row r="112" spans="1:18" ht="30.6">
      <c r="A112" s="15">
        <v>3</v>
      </c>
      <c r="B112" s="46">
        <v>7</v>
      </c>
      <c r="C112" s="45" t="s">
        <v>92</v>
      </c>
      <c r="D112" s="45" t="s">
        <v>347</v>
      </c>
      <c r="E112" s="47" t="s">
        <v>26</v>
      </c>
      <c r="F112" s="47" t="s">
        <v>24</v>
      </c>
      <c r="G112" s="46">
        <v>611781</v>
      </c>
      <c r="H112" s="15" t="s">
        <v>381</v>
      </c>
      <c r="I112" s="26" t="str">
        <f t="shared" si="10"/>
        <v>Thiago</v>
      </c>
      <c r="J112" s="26" t="str">
        <f t="shared" si="11"/>
        <v>3Viana - MA7</v>
      </c>
      <c r="K112" s="27" t="str">
        <f>IFERROR(VLOOKUP(J112,Substituicoes!J:J,1,0),"SS")</f>
        <v>SS</v>
      </c>
      <c r="L112" s="27" t="str">
        <f>IFERROR(VLOOKUP(J112,Substituicoes!K:K,1,0),"SS")</f>
        <v>SS</v>
      </c>
      <c r="M112" s="28" t="b">
        <f t="shared" si="12"/>
        <v>1</v>
      </c>
      <c r="N112" s="29">
        <f>IF(AND(K112=L112,LEFT(E112,1)="T"),VLOOKUP(A112,'JOGOS BASE'!A:E,4,0),IF(K112=J112,VLOOKUP(J112,Substituicoes!J:R,6,0),IF(L112=J112,VLOOKUP(Escalacao!J112,Substituicoes!K:R,7,0),0)))</f>
        <v>50</v>
      </c>
      <c r="O112" s="28">
        <f>IF(AND(K112=L112,LEFT(E112,1)="T"),VLOOKUP(A112,'JOGOS BASE'!A:E,5,0),IF(K112=J112,VLOOKUP(J112,Substituicoes!J:R,7,0),IF(L112=J112,VLOOKUP(Escalacao!J112,Substituicoes!K:R,8,0),0)))</f>
        <v>47</v>
      </c>
      <c r="P112" s="28">
        <f t="shared" si="13"/>
        <v>97</v>
      </c>
      <c r="Q112" s="28" t="str">
        <f t="shared" si="14"/>
        <v>37Viana - MA</v>
      </c>
      <c r="R112" s="28" t="str">
        <f>VLOOKUP(A112,'JOGOS BASE'!A:H,8)</f>
        <v>12.01.2025 - Pinheiro - MA x Viana - MA</v>
      </c>
    </row>
    <row r="113" spans="1:18" ht="20.399999999999999">
      <c r="A113" s="15">
        <v>3</v>
      </c>
      <c r="B113" s="46">
        <v>8</v>
      </c>
      <c r="C113" s="45" t="s">
        <v>348</v>
      </c>
      <c r="D113" s="45" t="s">
        <v>349</v>
      </c>
      <c r="E113" s="47" t="s">
        <v>26</v>
      </c>
      <c r="F113" s="47" t="s">
        <v>24</v>
      </c>
      <c r="G113" s="46">
        <v>317521</v>
      </c>
      <c r="H113" s="15" t="s">
        <v>381</v>
      </c>
      <c r="I113" s="26" t="str">
        <f t="shared" si="10"/>
        <v>Julio</v>
      </c>
      <c r="J113" s="26" t="str">
        <f t="shared" si="11"/>
        <v>3Viana - MA8</v>
      </c>
      <c r="K113" s="27" t="str">
        <f>IFERROR(VLOOKUP(J113,Substituicoes!J:J,1,0),"SS")</f>
        <v>SS</v>
      </c>
      <c r="L113" s="27" t="str">
        <f>IFERROR(VLOOKUP(J113,Substituicoes!K:K,1,0),"SS")</f>
        <v>3Viana - MA8</v>
      </c>
      <c r="M113" s="28" t="b">
        <f t="shared" si="12"/>
        <v>0</v>
      </c>
      <c r="N113" s="29">
        <f>IF(AND(K113=L113,LEFT(E113,1)="T"),VLOOKUP(A113,'JOGOS BASE'!A:E,4,0),IF(K113=J113,VLOOKUP(J113,Substituicoes!J:R,6,0),IF(L113=J113,VLOOKUP(Escalacao!J113,Substituicoes!K:R,7,0),0)))</f>
        <v>50</v>
      </c>
      <c r="O113" s="28">
        <f>IF(AND(K113=L113,LEFT(E113,1)="T"),VLOOKUP(A113,'JOGOS BASE'!A:E,5,0),IF(K113=J113,VLOOKUP(J113,Substituicoes!J:R,7,0),IF(L113=J113,VLOOKUP(Escalacao!J113,Substituicoes!K:R,8,0),0)))</f>
        <v>32</v>
      </c>
      <c r="P113" s="28">
        <f t="shared" si="13"/>
        <v>82</v>
      </c>
      <c r="Q113" s="28" t="str">
        <f t="shared" si="14"/>
        <v>38Viana - MA</v>
      </c>
      <c r="R113" s="28" t="str">
        <f>VLOOKUP(A113,'JOGOS BASE'!A:H,8)</f>
        <v>12.01.2025 - Pinheiro - MA x Viana - MA</v>
      </c>
    </row>
    <row r="114" spans="1:18" ht="30.6">
      <c r="A114" s="15">
        <v>3</v>
      </c>
      <c r="B114" s="46">
        <v>9</v>
      </c>
      <c r="C114" s="45" t="s">
        <v>350</v>
      </c>
      <c r="D114" s="45" t="s">
        <v>351</v>
      </c>
      <c r="E114" s="47" t="s">
        <v>26</v>
      </c>
      <c r="F114" s="47" t="s">
        <v>24</v>
      </c>
      <c r="G114" s="46">
        <v>628431</v>
      </c>
      <c r="H114" s="15" t="s">
        <v>381</v>
      </c>
      <c r="I114" s="26" t="str">
        <f t="shared" si="10"/>
        <v>Lucas Ramos</v>
      </c>
      <c r="J114" s="26" t="str">
        <f t="shared" si="11"/>
        <v>3Viana - MA9</v>
      </c>
      <c r="K114" s="27" t="str">
        <f>IFERROR(VLOOKUP(J114,Substituicoes!J:J,1,0),"SS")</f>
        <v>SS</v>
      </c>
      <c r="L114" s="27" t="str">
        <f>IFERROR(VLOOKUP(J114,Substituicoes!K:K,1,0),"SS")</f>
        <v>SS</v>
      </c>
      <c r="M114" s="28" t="b">
        <f t="shared" si="12"/>
        <v>1</v>
      </c>
      <c r="N114" s="29">
        <f>IF(AND(K114=L114,LEFT(E114,1)="T"),VLOOKUP(A114,'JOGOS BASE'!A:E,4,0),IF(K114=J114,VLOOKUP(J114,Substituicoes!J:R,6,0),IF(L114=J114,VLOOKUP(Escalacao!J114,Substituicoes!K:R,7,0),0)))</f>
        <v>50</v>
      </c>
      <c r="O114" s="28">
        <f>IF(AND(K114=L114,LEFT(E114,1)="T"),VLOOKUP(A114,'JOGOS BASE'!A:E,5,0),IF(K114=J114,VLOOKUP(J114,Substituicoes!J:R,7,0),IF(L114=J114,VLOOKUP(Escalacao!J114,Substituicoes!K:R,8,0),0)))</f>
        <v>47</v>
      </c>
      <c r="P114" s="28">
        <f t="shared" si="13"/>
        <v>97</v>
      </c>
      <c r="Q114" s="28" t="str">
        <f t="shared" si="14"/>
        <v>39Viana - MA</v>
      </c>
      <c r="R114" s="28" t="str">
        <f>VLOOKUP(A114,'JOGOS BASE'!A:H,8)</f>
        <v>12.01.2025 - Pinheiro - MA x Viana - MA</v>
      </c>
    </row>
    <row r="115" spans="1:18" ht="30.6">
      <c r="A115" s="15">
        <v>3</v>
      </c>
      <c r="B115" s="46">
        <v>10</v>
      </c>
      <c r="C115" s="45" t="s">
        <v>92</v>
      </c>
      <c r="D115" s="45" t="s">
        <v>352</v>
      </c>
      <c r="E115" s="47" t="s">
        <v>26</v>
      </c>
      <c r="F115" s="47" t="s">
        <v>24</v>
      </c>
      <c r="G115" s="46">
        <v>642816</v>
      </c>
      <c r="H115" s="15" t="s">
        <v>381</v>
      </c>
      <c r="I115" s="26" t="str">
        <f t="shared" si="10"/>
        <v>Thiago</v>
      </c>
      <c r="J115" s="26" t="str">
        <f t="shared" si="11"/>
        <v>3Viana - MA10</v>
      </c>
      <c r="K115" s="27" t="str">
        <f>IFERROR(VLOOKUP(J115,Substituicoes!J:J,1,0),"SS")</f>
        <v>SS</v>
      </c>
      <c r="L115" s="27" t="str">
        <f>IFERROR(VLOOKUP(J115,Substituicoes!K:K,1,0),"SS")</f>
        <v>SS</v>
      </c>
      <c r="M115" s="28" t="b">
        <f t="shared" si="12"/>
        <v>1</v>
      </c>
      <c r="N115" s="29">
        <f>IF(AND(K115=L115,LEFT(E115,1)="T"),VLOOKUP(A115,'JOGOS BASE'!A:E,4,0),IF(K115=J115,VLOOKUP(J115,Substituicoes!J:R,6,0),IF(L115=J115,VLOOKUP(Escalacao!J115,Substituicoes!K:R,7,0),0)))</f>
        <v>50</v>
      </c>
      <c r="O115" s="28">
        <f>IF(AND(K115=L115,LEFT(E115,1)="T"),VLOOKUP(A115,'JOGOS BASE'!A:E,5,0),IF(K115=J115,VLOOKUP(J115,Substituicoes!J:R,7,0),IF(L115=J115,VLOOKUP(Escalacao!J115,Substituicoes!K:R,8,0),0)))</f>
        <v>47</v>
      </c>
      <c r="P115" s="28">
        <f t="shared" si="13"/>
        <v>97</v>
      </c>
      <c r="Q115" s="28" t="str">
        <f t="shared" si="14"/>
        <v>310Viana - MA</v>
      </c>
      <c r="R115" s="28" t="str">
        <f>VLOOKUP(A115,'JOGOS BASE'!A:H,8)</f>
        <v>12.01.2025 - Pinheiro - MA x Viana - MA</v>
      </c>
    </row>
    <row r="116" spans="1:18" ht="20.399999999999999">
      <c r="A116" s="15">
        <v>3</v>
      </c>
      <c r="B116" s="46">
        <v>11</v>
      </c>
      <c r="C116" s="45" t="s">
        <v>353</v>
      </c>
      <c r="D116" s="45" t="s">
        <v>354</v>
      </c>
      <c r="E116" s="47" t="s">
        <v>26</v>
      </c>
      <c r="F116" s="47" t="s">
        <v>24</v>
      </c>
      <c r="G116" s="46">
        <v>700228</v>
      </c>
      <c r="H116" s="15" t="s">
        <v>381</v>
      </c>
      <c r="I116" s="26" t="str">
        <f t="shared" si="10"/>
        <v>ARIEL</v>
      </c>
      <c r="J116" s="26" t="str">
        <f t="shared" si="11"/>
        <v>3Viana - MA11</v>
      </c>
      <c r="K116" s="27" t="str">
        <f>IFERROR(VLOOKUP(J116,Substituicoes!J:J,1,0),"SS")</f>
        <v>SS</v>
      </c>
      <c r="L116" s="27" t="str">
        <f>IFERROR(VLOOKUP(J116,Substituicoes!K:K,1,0),"SS")</f>
        <v>SS</v>
      </c>
      <c r="M116" s="28" t="b">
        <f t="shared" si="12"/>
        <v>1</v>
      </c>
      <c r="N116" s="29">
        <f>IF(AND(K116=L116,LEFT(E116,1)="T"),VLOOKUP(A116,'JOGOS BASE'!A:E,4,0),IF(K116=J116,VLOOKUP(J116,Substituicoes!J:R,6,0),IF(L116=J116,VLOOKUP(Escalacao!J116,Substituicoes!K:R,7,0),0)))</f>
        <v>50</v>
      </c>
      <c r="O116" s="28">
        <f>IF(AND(K116=L116,LEFT(E116,1)="T"),VLOOKUP(A116,'JOGOS BASE'!A:E,5,0),IF(K116=J116,VLOOKUP(J116,Substituicoes!J:R,7,0),IF(L116=J116,VLOOKUP(Escalacao!J116,Substituicoes!K:R,8,0),0)))</f>
        <v>47</v>
      </c>
      <c r="P116" s="28">
        <f t="shared" si="13"/>
        <v>97</v>
      </c>
      <c r="Q116" s="28" t="str">
        <f t="shared" si="14"/>
        <v>311Viana - MA</v>
      </c>
      <c r="R116" s="28" t="str">
        <f>VLOOKUP(A116,'JOGOS BASE'!A:H,8)</f>
        <v>12.01.2025 - Pinheiro - MA x Viana - MA</v>
      </c>
    </row>
    <row r="117" spans="1:18" ht="30.6">
      <c r="A117" s="15">
        <v>3</v>
      </c>
      <c r="B117" s="46">
        <v>13</v>
      </c>
      <c r="C117" s="45" t="s">
        <v>355</v>
      </c>
      <c r="D117" s="45" t="s">
        <v>356</v>
      </c>
      <c r="E117" s="47" t="s">
        <v>42</v>
      </c>
      <c r="F117" s="47" t="s">
        <v>56</v>
      </c>
      <c r="G117" s="46">
        <v>683760</v>
      </c>
      <c r="H117" s="15" t="s">
        <v>381</v>
      </c>
      <c r="I117" s="26" t="str">
        <f t="shared" si="10"/>
        <v>PAULO</v>
      </c>
      <c r="J117" s="26" t="str">
        <f t="shared" si="11"/>
        <v>3Viana - MA13</v>
      </c>
      <c r="K117" s="27" t="str">
        <f>IFERROR(VLOOKUP(J117,Substituicoes!J:J,1,0),"SS")</f>
        <v>3Viana - MA13</v>
      </c>
      <c r="L117" s="27" t="str">
        <f>IFERROR(VLOOKUP(J117,Substituicoes!K:K,1,0),"SS")</f>
        <v>SS</v>
      </c>
      <c r="M117" s="28" t="b">
        <f t="shared" si="12"/>
        <v>0</v>
      </c>
      <c r="N117" s="29">
        <f>IF(AND(K117=L117,LEFT(E117,1)="T"),VLOOKUP(A117,'JOGOS BASE'!A:E,4,0),IF(K117=J117,VLOOKUP(J117,Substituicoes!J:R,6,0),IF(L117=J117,VLOOKUP(Escalacao!J117,Substituicoes!K:R,7,0),0)))</f>
        <v>0</v>
      </c>
      <c r="O117" s="28">
        <f>IF(AND(K117=L117,LEFT(E117,1)="T"),VLOOKUP(A117,'JOGOS BASE'!A:E,5,0),IF(K117=J117,VLOOKUP(J117,Substituicoes!J:R,7,0),IF(L117=J117,VLOOKUP(Escalacao!J117,Substituicoes!K:R,8,0),0)))</f>
        <v>15</v>
      </c>
      <c r="P117" s="28">
        <f t="shared" si="13"/>
        <v>15</v>
      </c>
      <c r="Q117" s="28" t="str">
        <f t="shared" si="14"/>
        <v>313Viana - MA</v>
      </c>
      <c r="R117" s="28" t="str">
        <f>VLOOKUP(A117,'JOGOS BASE'!A:H,8)</f>
        <v>12.01.2025 - Pinheiro - MA x Viana - MA</v>
      </c>
    </row>
  </sheetData>
  <autoFilter ref="A1:M1" xr:uid="{AB7CA54F-3F2D-4DC4-9242-0EAF8210CE31}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CEF09-01DF-41F4-A956-0179C3C5A7A5}">
  <dimension ref="A1:H17"/>
  <sheetViews>
    <sheetView showGridLines="0" workbookViewId="0">
      <selection activeCell="C4" sqref="C4"/>
    </sheetView>
  </sheetViews>
  <sheetFormatPr defaultRowHeight="14.4"/>
  <cols>
    <col min="1" max="1" width="11.88671875" style="15" bestFit="1" customWidth="1"/>
    <col min="2" max="2" width="13.77734375" style="15" bestFit="1" customWidth="1"/>
    <col min="3" max="3" width="18.5546875" style="15" bestFit="1" customWidth="1"/>
    <col min="4" max="5" width="3" style="20" bestFit="1" customWidth="1"/>
    <col min="6" max="6" width="22.109375" style="15" bestFit="1" customWidth="1"/>
    <col min="7" max="7" width="22.109375" style="44" customWidth="1"/>
    <col min="8" max="8" width="44.77734375" style="23" bestFit="1" customWidth="1"/>
  </cols>
  <sheetData>
    <row r="1" spans="1:8">
      <c r="A1" s="18" t="s">
        <v>134</v>
      </c>
      <c r="B1" s="18" t="s">
        <v>144</v>
      </c>
      <c r="C1" s="18" t="s">
        <v>145</v>
      </c>
      <c r="D1" s="19" t="s">
        <v>141</v>
      </c>
      <c r="E1" s="19" t="s">
        <v>111</v>
      </c>
      <c r="F1" s="18" t="s">
        <v>153</v>
      </c>
      <c r="G1" s="43" t="s">
        <v>165</v>
      </c>
      <c r="H1" s="22" t="s">
        <v>166</v>
      </c>
    </row>
    <row r="2" spans="1:8">
      <c r="A2" s="18">
        <v>1</v>
      </c>
      <c r="B2" s="18" t="s">
        <v>107</v>
      </c>
      <c r="C2" s="18" t="s">
        <v>122</v>
      </c>
      <c r="D2" s="19">
        <v>49</v>
      </c>
      <c r="E2" s="19">
        <v>50</v>
      </c>
      <c r="F2" s="18" t="s">
        <v>154</v>
      </c>
      <c r="G2" s="43" t="s">
        <v>167</v>
      </c>
      <c r="H2" s="28" t="str">
        <f>G2&amp;" - "&amp;B2&amp;" x "&amp;C2</f>
        <v>11.01.2025 - Imperatriz - MA x Sampaio Corrêa - MA</v>
      </c>
    </row>
    <row r="3" spans="1:8">
      <c r="A3" s="18">
        <v>2</v>
      </c>
      <c r="B3" s="18" t="s">
        <v>273</v>
      </c>
      <c r="C3" s="18" t="s">
        <v>260</v>
      </c>
      <c r="D3" s="19">
        <v>47</v>
      </c>
      <c r="E3" s="19">
        <v>50</v>
      </c>
      <c r="F3" s="18" t="s">
        <v>170</v>
      </c>
      <c r="G3" s="43" t="s">
        <v>171</v>
      </c>
      <c r="H3" s="28" t="str">
        <f>G3&amp;" - "&amp;B3&amp;" x "&amp;C3</f>
        <v>12.01.2025 - Moto Club - MA x Maranhão - MA</v>
      </c>
    </row>
    <row r="4" spans="1:8">
      <c r="A4" s="18">
        <v>3</v>
      </c>
      <c r="B4" s="18" t="s">
        <v>368</v>
      </c>
      <c r="C4" s="18" t="s">
        <v>381</v>
      </c>
      <c r="D4" s="19">
        <v>50</v>
      </c>
      <c r="E4" s="19">
        <v>47</v>
      </c>
      <c r="F4" s="18" t="s">
        <v>300</v>
      </c>
      <c r="G4" s="43" t="s">
        <v>171</v>
      </c>
      <c r="H4" s="28" t="str">
        <f>G4&amp;" - "&amp;B4&amp;" x "&amp;C4</f>
        <v>12.01.2025 - Pinheiro - MA x Viana - MA</v>
      </c>
    </row>
    <row r="5" spans="1:8">
      <c r="A5" s="18"/>
      <c r="B5" s="18"/>
      <c r="C5" s="18"/>
      <c r="D5" s="19"/>
      <c r="E5" s="19"/>
      <c r="F5" s="18"/>
      <c r="G5" s="43"/>
      <c r="H5" s="28"/>
    </row>
    <row r="6" spans="1:8">
      <c r="A6" s="18"/>
      <c r="B6" s="18"/>
      <c r="C6" s="18"/>
      <c r="D6" s="19"/>
      <c r="E6" s="19"/>
      <c r="F6" s="18"/>
      <c r="G6" s="43"/>
      <c r="H6" s="28"/>
    </row>
    <row r="7" spans="1:8">
      <c r="A7" s="18"/>
      <c r="B7" s="18"/>
      <c r="C7" s="18"/>
      <c r="D7" s="19"/>
      <c r="E7" s="19"/>
      <c r="F7" s="18"/>
      <c r="G7" s="43"/>
      <c r="H7" s="28"/>
    </row>
    <row r="8" spans="1:8">
      <c r="A8" s="18"/>
      <c r="B8" s="18"/>
      <c r="C8" s="18"/>
      <c r="D8" s="19"/>
      <c r="E8" s="19"/>
      <c r="F8" s="18"/>
      <c r="G8" s="43"/>
      <c r="H8" s="28"/>
    </row>
    <row r="9" spans="1:8">
      <c r="A9" s="18"/>
      <c r="B9" s="18"/>
      <c r="C9" s="18"/>
      <c r="D9" s="19"/>
      <c r="E9" s="19"/>
      <c r="F9" s="18"/>
      <c r="G9" s="43"/>
      <c r="H9" s="28"/>
    </row>
    <row r="10" spans="1:8">
      <c r="A10" s="18"/>
      <c r="B10" s="18"/>
      <c r="C10" s="18"/>
      <c r="D10" s="19"/>
      <c r="E10" s="19"/>
      <c r="F10" s="18"/>
      <c r="G10" s="43"/>
      <c r="H10" s="28"/>
    </row>
    <row r="11" spans="1:8">
      <c r="A11" s="18"/>
      <c r="B11" s="18"/>
      <c r="C11" s="18"/>
      <c r="D11" s="19"/>
      <c r="E11" s="19"/>
      <c r="F11" s="18"/>
      <c r="G11" s="43"/>
      <c r="H11" s="28"/>
    </row>
    <row r="12" spans="1:8">
      <c r="A12" s="18"/>
      <c r="B12" s="18"/>
      <c r="C12" s="18"/>
      <c r="D12" s="19"/>
      <c r="E12" s="19"/>
      <c r="F12" s="18"/>
      <c r="G12" s="43"/>
      <c r="H12" s="28"/>
    </row>
    <row r="13" spans="1:8">
      <c r="A13" s="18"/>
      <c r="B13" s="18"/>
      <c r="C13" s="18"/>
      <c r="D13" s="19"/>
      <c r="E13" s="19"/>
      <c r="F13" s="18"/>
      <c r="G13" s="43"/>
      <c r="H13" s="28"/>
    </row>
    <row r="14" spans="1:8">
      <c r="A14" s="18"/>
      <c r="B14" s="18"/>
      <c r="C14" s="18"/>
      <c r="D14" s="19"/>
      <c r="E14" s="19"/>
      <c r="F14" s="18"/>
      <c r="G14" s="43"/>
      <c r="H14" s="28"/>
    </row>
    <row r="15" spans="1:8">
      <c r="A15" s="18"/>
      <c r="B15" s="18"/>
      <c r="C15" s="18"/>
      <c r="D15" s="19"/>
      <c r="E15" s="19"/>
      <c r="F15" s="18"/>
      <c r="G15" s="43"/>
      <c r="H15" s="28"/>
    </row>
    <row r="16" spans="1:8">
      <c r="A16" s="18"/>
      <c r="B16" s="18"/>
      <c r="C16" s="18"/>
      <c r="D16" s="19"/>
      <c r="E16" s="19"/>
      <c r="F16" s="18"/>
      <c r="G16" s="43"/>
      <c r="H16" s="28"/>
    </row>
    <row r="17" spans="1:8">
      <c r="A17" s="18"/>
      <c r="B17" s="18"/>
      <c r="C17" s="18"/>
      <c r="D17" s="19"/>
      <c r="E17" s="19"/>
      <c r="F17" s="18"/>
      <c r="G17" s="43"/>
      <c r="H17" s="28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DBC58-DC47-47FD-B617-C0EF9E401D47}">
  <dimension ref="A1:N19"/>
  <sheetViews>
    <sheetView showGridLines="0" tabSelected="1" workbookViewId="0">
      <selection activeCell="A20" sqref="A20:XFD20"/>
    </sheetView>
  </sheetViews>
  <sheetFormatPr defaultRowHeight="14.4"/>
  <cols>
    <col min="5" max="5" width="8.44140625" bestFit="1" customWidth="1"/>
    <col min="6" max="6" width="8.88671875" style="15"/>
    <col min="7" max="7" width="22.109375" style="23" bestFit="1" customWidth="1"/>
    <col min="8" max="9" width="8.88671875" style="15"/>
    <col min="10" max="10" width="21.6640625" style="23" bestFit="1" customWidth="1"/>
    <col min="11" max="11" width="7" style="23" bestFit="1" customWidth="1"/>
    <col min="12" max="12" width="9.44140625" style="23" bestFit="1" customWidth="1"/>
    <col min="13" max="13" width="6.109375" style="23" bestFit="1" customWidth="1"/>
    <col min="14" max="14" width="44.33203125" style="23" bestFit="1" customWidth="1"/>
  </cols>
  <sheetData>
    <row r="1" spans="1:14" ht="19.2">
      <c r="A1" s="6" t="s">
        <v>134</v>
      </c>
      <c r="B1" s="6" t="s">
        <v>100</v>
      </c>
      <c r="C1" s="6" t="s">
        <v>101</v>
      </c>
      <c r="D1" s="6" t="s">
        <v>16</v>
      </c>
      <c r="E1" s="6" t="s">
        <v>158</v>
      </c>
      <c r="F1" s="16" t="s">
        <v>98</v>
      </c>
      <c r="G1" s="21" t="s">
        <v>153</v>
      </c>
      <c r="H1" s="16" t="s">
        <v>161</v>
      </c>
      <c r="I1" s="16" t="s">
        <v>169</v>
      </c>
      <c r="J1" s="21" t="s">
        <v>164</v>
      </c>
      <c r="K1" s="24" t="s">
        <v>0</v>
      </c>
      <c r="L1" s="21" t="s">
        <v>162</v>
      </c>
      <c r="M1" s="21" t="s">
        <v>168</v>
      </c>
      <c r="N1" s="21" t="s">
        <v>166</v>
      </c>
    </row>
    <row r="2" spans="1:14" ht="13.8" customHeight="1">
      <c r="A2" s="7">
        <v>1</v>
      </c>
      <c r="B2" s="7" t="s">
        <v>155</v>
      </c>
      <c r="C2" s="7" t="s">
        <v>141</v>
      </c>
      <c r="D2" s="8">
        <v>10</v>
      </c>
      <c r="E2" s="7" t="s">
        <v>75</v>
      </c>
      <c r="F2" s="14" t="s">
        <v>122</v>
      </c>
      <c r="G2" s="22" t="str">
        <f>VLOOKUP(A2,'JOGOS BASE'!A:F,6,)</f>
        <v>Paulo Jose Souza Mourao</v>
      </c>
      <c r="H2" s="14">
        <v>1</v>
      </c>
      <c r="I2" s="14">
        <v>0</v>
      </c>
      <c r="J2" s="22" t="str">
        <f>A2&amp;D2&amp;F2</f>
        <v>110Sampaio Corrêa - MA</v>
      </c>
      <c r="K2" s="22">
        <f>INDEX(Escalacao!G:G,MATCH(Cartoes!J2,Escalacao!Q:Q,0))</f>
        <v>668800</v>
      </c>
      <c r="L2" s="22" t="str">
        <f>VLOOKUP(K2,Escalacao!G:I,3,0)</f>
        <v>STENCE</v>
      </c>
      <c r="M2" s="22">
        <f>COUNTIF(Escalacao!G:G,Cartoes!K2)</f>
        <v>1</v>
      </c>
      <c r="N2" s="22" t="str">
        <f>VLOOKUP(A2,Escalacao!A:R,18,0)</f>
        <v>11.01.2025 - Imperatriz - MA x Sampaio Corrêa - MA</v>
      </c>
    </row>
    <row r="3" spans="1:14" ht="13.8" customHeight="1">
      <c r="A3" s="7">
        <v>1</v>
      </c>
      <c r="B3" s="7" t="s">
        <v>156</v>
      </c>
      <c r="C3" s="7" t="s">
        <v>111</v>
      </c>
      <c r="D3" s="8">
        <v>21</v>
      </c>
      <c r="E3" s="7" t="s">
        <v>157</v>
      </c>
      <c r="F3" s="14" t="s">
        <v>122</v>
      </c>
      <c r="G3" s="22" t="str">
        <f>VLOOKUP(A3,'JOGOS BASE'!A:F,6,)</f>
        <v>Paulo Jose Souza Mourao</v>
      </c>
      <c r="H3" s="14">
        <v>1</v>
      </c>
      <c r="I3" s="14">
        <v>0</v>
      </c>
      <c r="J3" s="22" t="str">
        <f t="shared" ref="J3:J4" si="0">A3&amp;D3&amp;F3</f>
        <v>121Sampaio Corrêa - MA</v>
      </c>
      <c r="K3" s="22">
        <f>INDEX(Escalacao!G:G,MATCH(Cartoes!J3,Escalacao!Q:Q,0))</f>
        <v>748572</v>
      </c>
      <c r="L3" s="22" t="str">
        <f>VLOOKUP(K3,Escalacao!G:I,3,0)</f>
        <v>ADRIANO</v>
      </c>
      <c r="M3" s="22">
        <f>COUNTIF(Escalacao!G:G,Cartoes!K3)</f>
        <v>1</v>
      </c>
      <c r="N3" s="22" t="str">
        <f>VLOOKUP(A3,Escalacao!A:R,18,0)</f>
        <v>11.01.2025 - Imperatriz - MA x Sampaio Corrêa - MA</v>
      </c>
    </row>
    <row r="4" spans="1:14" ht="13.8" customHeight="1">
      <c r="A4" s="7">
        <v>1</v>
      </c>
      <c r="B4" s="7" t="s">
        <v>159</v>
      </c>
      <c r="C4" s="7" t="s">
        <v>111</v>
      </c>
      <c r="D4" s="8">
        <v>19</v>
      </c>
      <c r="E4" s="7" t="s">
        <v>160</v>
      </c>
      <c r="F4" s="14" t="s">
        <v>107</v>
      </c>
      <c r="G4" s="22" t="str">
        <f>VLOOKUP(A4,'JOGOS BASE'!A:F,6,)</f>
        <v>Paulo Jose Souza Mourao</v>
      </c>
      <c r="H4" s="14">
        <v>1</v>
      </c>
      <c r="I4" s="14">
        <v>0</v>
      </c>
      <c r="J4" s="22" t="str">
        <f t="shared" si="0"/>
        <v>119Imperatriz - MA</v>
      </c>
      <c r="K4" s="22">
        <f>INDEX(Escalacao!G:G,MATCH(Cartoes!J4,Escalacao!Q:Q,0))</f>
        <v>611147</v>
      </c>
      <c r="L4" s="22" t="str">
        <f>VLOOKUP(K4,Escalacao!G:I,3,0)</f>
        <v>WYLDSON</v>
      </c>
      <c r="M4" s="22">
        <f>COUNTIF(Escalacao!G:G,Cartoes!K4)</f>
        <v>1</v>
      </c>
      <c r="N4" s="22" t="str">
        <f>VLOOKUP(A4,Escalacao!A:R,18,0)</f>
        <v>11.01.2025 - Imperatriz - MA x Sampaio Corrêa - MA</v>
      </c>
    </row>
    <row r="5" spans="1:14" ht="13.8" customHeight="1">
      <c r="A5" s="7">
        <v>2</v>
      </c>
      <c r="B5" s="7" t="s">
        <v>258</v>
      </c>
      <c r="C5" s="7" t="s">
        <v>141</v>
      </c>
      <c r="D5" s="8">
        <v>11</v>
      </c>
      <c r="E5" s="7" t="s">
        <v>259</v>
      </c>
      <c r="F5" s="14" t="s">
        <v>273</v>
      </c>
      <c r="G5" s="22" t="str">
        <f>VLOOKUP(A5,'JOGOS BASE'!A:F,6,)</f>
        <v>Mayron Frederico dos Reis Novais</v>
      </c>
      <c r="H5" s="14">
        <v>1</v>
      </c>
      <c r="I5" s="14">
        <v>0</v>
      </c>
      <c r="J5" s="22" t="str">
        <f t="shared" ref="J5:J13" si="1">A5&amp;D5&amp;F5</f>
        <v>211Moto Club - MA</v>
      </c>
      <c r="K5" s="22">
        <f>INDEX(Escalacao!G:G,MATCH(Cartoes!J5,Escalacao!Q:Q,0))</f>
        <v>438976</v>
      </c>
      <c r="L5" s="22" t="str">
        <f>VLOOKUP(K5,Escalacao!G:I,3,0)</f>
        <v>Danilo</v>
      </c>
      <c r="M5" s="22">
        <f>COUNTIF(Escalacao!G:G,Cartoes!K5)</f>
        <v>1</v>
      </c>
      <c r="N5" s="22" t="str">
        <f>VLOOKUP(A5,Escalacao!A:R,18,0)</f>
        <v>12.01.2025 - Moto Club - MA x Maranhão - MA</v>
      </c>
    </row>
    <row r="6" spans="1:14" ht="13.8" customHeight="1">
      <c r="A6" s="7">
        <v>2</v>
      </c>
      <c r="B6" s="7" t="s">
        <v>258</v>
      </c>
      <c r="C6" s="7" t="s">
        <v>141</v>
      </c>
      <c r="D6" s="8">
        <v>9</v>
      </c>
      <c r="E6" s="7" t="s">
        <v>286</v>
      </c>
      <c r="F6" s="14" t="s">
        <v>260</v>
      </c>
      <c r="G6" s="22" t="str">
        <f>VLOOKUP(A6,'JOGOS BASE'!A:F,6,)</f>
        <v>Mayron Frederico dos Reis Novais</v>
      </c>
      <c r="H6" s="14">
        <v>1</v>
      </c>
      <c r="I6" s="14">
        <v>0</v>
      </c>
      <c r="J6" s="22" t="str">
        <f t="shared" si="1"/>
        <v>29Maranhão - MA</v>
      </c>
      <c r="K6" s="22">
        <f>INDEX(Escalacao!G:G,MATCH(Cartoes!J6,Escalacao!Q:Q,0))</f>
        <v>610235</v>
      </c>
      <c r="L6" s="22" t="str">
        <f>VLOOKUP(K6,Escalacao!G:I,3,0)</f>
        <v>loro</v>
      </c>
      <c r="M6" s="22">
        <f>COUNTIF(Escalacao!G:G,Cartoes!K6)</f>
        <v>1</v>
      </c>
      <c r="N6" s="22" t="str">
        <f>VLOOKUP(A6,Escalacao!A:R,18,0)</f>
        <v>12.01.2025 - Moto Club - MA x Maranhão - MA</v>
      </c>
    </row>
    <row r="7" spans="1:14" ht="13.8" customHeight="1">
      <c r="A7" s="7">
        <v>2</v>
      </c>
      <c r="B7" s="7" t="s">
        <v>287</v>
      </c>
      <c r="C7" s="7" t="s">
        <v>111</v>
      </c>
      <c r="D7" s="8">
        <v>20</v>
      </c>
      <c r="E7" s="7" t="s">
        <v>292</v>
      </c>
      <c r="F7" s="14" t="s">
        <v>273</v>
      </c>
      <c r="G7" s="22" t="str">
        <f>VLOOKUP(A7,'JOGOS BASE'!A:F,6,)</f>
        <v>Mayron Frederico dos Reis Novais</v>
      </c>
      <c r="H7" s="14">
        <v>1</v>
      </c>
      <c r="I7" s="14">
        <v>0</v>
      </c>
      <c r="J7" s="22" t="str">
        <f t="shared" si="1"/>
        <v>220Moto Club - MA</v>
      </c>
      <c r="K7" s="22">
        <f>INDEX(Escalacao!G:G,MATCH(Cartoes!J7,Escalacao!Q:Q,0))</f>
        <v>610535</v>
      </c>
      <c r="L7" s="22" t="str">
        <f>VLOOKUP(K7,Escalacao!G:I,3,0)</f>
        <v>Paulo Renato</v>
      </c>
      <c r="M7" s="22">
        <f>COUNTIF(Escalacao!G:G,Cartoes!K7)</f>
        <v>1</v>
      </c>
      <c r="N7" s="22" t="str">
        <f>VLOOKUP(A7,Escalacao!A:R,18,0)</f>
        <v>12.01.2025 - Moto Club - MA x Maranhão - MA</v>
      </c>
    </row>
    <row r="8" spans="1:14" ht="13.8" customHeight="1">
      <c r="A8" s="7">
        <v>2</v>
      </c>
      <c r="B8" s="7" t="s">
        <v>288</v>
      </c>
      <c r="C8" s="7" t="s">
        <v>111</v>
      </c>
      <c r="D8" s="8">
        <v>5</v>
      </c>
      <c r="E8" s="7" t="s">
        <v>293</v>
      </c>
      <c r="F8" s="14" t="s">
        <v>273</v>
      </c>
      <c r="G8" s="22" t="str">
        <f>VLOOKUP(A8,'JOGOS BASE'!A:F,6,)</f>
        <v>Mayron Frederico dos Reis Novais</v>
      </c>
      <c r="H8" s="14">
        <v>1</v>
      </c>
      <c r="I8" s="14">
        <v>0</v>
      </c>
      <c r="J8" s="22" t="str">
        <f t="shared" si="1"/>
        <v>25Moto Club - MA</v>
      </c>
      <c r="K8" s="22">
        <f>INDEX(Escalacao!G:G,MATCH(Cartoes!J8,Escalacao!Q:Q,0))</f>
        <v>343511</v>
      </c>
      <c r="L8" s="22" t="str">
        <f>VLOOKUP(K8,Escalacao!G:I,3,0)</f>
        <v>Felipe Dias</v>
      </c>
      <c r="M8" s="22">
        <f>COUNTIF(Escalacao!G:G,Cartoes!K8)</f>
        <v>1</v>
      </c>
      <c r="N8" s="22" t="str">
        <f>VLOOKUP(A8,Escalacao!A:R,18,0)</f>
        <v>12.01.2025 - Moto Club - MA x Maranhão - MA</v>
      </c>
    </row>
    <row r="9" spans="1:14" ht="13.8" customHeight="1">
      <c r="A9" s="7">
        <v>2</v>
      </c>
      <c r="B9" s="7" t="s">
        <v>289</v>
      </c>
      <c r="C9" s="7" t="s">
        <v>141</v>
      </c>
      <c r="D9" s="8">
        <v>11</v>
      </c>
      <c r="E9" s="7" t="s">
        <v>294</v>
      </c>
      <c r="F9" s="14" t="s">
        <v>260</v>
      </c>
      <c r="G9" s="22" t="str">
        <f>VLOOKUP(A9,'JOGOS BASE'!A:F,6,)</f>
        <v>Mayron Frederico dos Reis Novais</v>
      </c>
      <c r="H9" s="14">
        <v>1</v>
      </c>
      <c r="I9" s="14">
        <v>0</v>
      </c>
      <c r="J9" s="22" t="str">
        <f t="shared" si="1"/>
        <v>211Maranhão - MA</v>
      </c>
      <c r="K9" s="22">
        <f>INDEX(Escalacao!G:G,MATCH(Cartoes!J9,Escalacao!Q:Q,0))</f>
        <v>618785</v>
      </c>
      <c r="L9" s="22" t="str">
        <f>VLOOKUP(K9,Escalacao!G:I,3,0)</f>
        <v>Ryan</v>
      </c>
      <c r="M9" s="22">
        <f>COUNTIF(Escalacao!G:G,Cartoes!K9)</f>
        <v>1</v>
      </c>
      <c r="N9" s="22" t="str">
        <f>VLOOKUP(A9,Escalacao!A:R,18,0)</f>
        <v>12.01.2025 - Moto Club - MA x Maranhão - MA</v>
      </c>
    </row>
    <row r="10" spans="1:14" ht="13.8" customHeight="1">
      <c r="A10" s="7">
        <v>2</v>
      </c>
      <c r="B10" s="7" t="s">
        <v>290</v>
      </c>
      <c r="C10" s="7" t="s">
        <v>111</v>
      </c>
      <c r="D10" s="8">
        <v>2</v>
      </c>
      <c r="E10" s="7" t="s">
        <v>295</v>
      </c>
      <c r="F10" s="14" t="s">
        <v>260</v>
      </c>
      <c r="G10" s="22" t="str">
        <f>VLOOKUP(A10,'JOGOS BASE'!A:F,6,)</f>
        <v>Mayron Frederico dos Reis Novais</v>
      </c>
      <c r="H10" s="14">
        <v>1</v>
      </c>
      <c r="I10" s="14">
        <v>0</v>
      </c>
      <c r="J10" s="22" t="str">
        <f t="shared" si="1"/>
        <v>22Maranhão - MA</v>
      </c>
      <c r="K10" s="22">
        <f>INDEX(Escalacao!G:G,MATCH(Cartoes!J10,Escalacao!Q:Q,0))</f>
        <v>359014</v>
      </c>
      <c r="L10" s="22" t="str">
        <f>VLOOKUP(K10,Escalacao!G:I,3,0)</f>
        <v>Franklin</v>
      </c>
      <c r="M10" s="22">
        <f>COUNTIF(Escalacao!G:G,Cartoes!K10)</f>
        <v>1</v>
      </c>
      <c r="N10" s="22" t="str">
        <f>VLOOKUP(A10,Escalacao!A:R,18,0)</f>
        <v>12.01.2025 - Moto Club - MA x Maranhão - MA</v>
      </c>
    </row>
    <row r="11" spans="1:14" ht="13.8" customHeight="1">
      <c r="A11" s="7">
        <v>2</v>
      </c>
      <c r="B11" s="7" t="s">
        <v>291</v>
      </c>
      <c r="C11" s="7" t="s">
        <v>111</v>
      </c>
      <c r="D11" s="8">
        <v>3</v>
      </c>
      <c r="E11" s="7" t="s">
        <v>296</v>
      </c>
      <c r="F11" s="14" t="s">
        <v>260</v>
      </c>
      <c r="G11" s="22" t="str">
        <f>VLOOKUP(A11,'JOGOS BASE'!A:F,6,)</f>
        <v>Mayron Frederico dos Reis Novais</v>
      </c>
      <c r="H11" s="14">
        <v>1</v>
      </c>
      <c r="I11" s="14">
        <v>0</v>
      </c>
      <c r="J11" s="22" t="str">
        <f t="shared" si="1"/>
        <v>23Maranhão - MA</v>
      </c>
      <c r="K11" s="22">
        <f>INDEX(Escalacao!G:G,MATCH(Cartoes!J11,Escalacao!Q:Q,0))</f>
        <v>401846</v>
      </c>
      <c r="L11" s="22" t="str">
        <f>VLOOKUP(K11,Escalacao!G:I,3,0)</f>
        <v>Luiz Fernando</v>
      </c>
      <c r="M11" s="22">
        <f>COUNTIF(Escalacao!G:G,Cartoes!K11)</f>
        <v>1</v>
      </c>
      <c r="N11" s="22" t="str">
        <f>VLOOKUP(A11,Escalacao!A:R,18,0)</f>
        <v>12.01.2025 - Moto Club - MA x Maranhão - MA</v>
      </c>
    </row>
    <row r="12" spans="1:14" ht="13.8" customHeight="1">
      <c r="A12" s="7">
        <v>2</v>
      </c>
      <c r="B12" s="49">
        <v>0</v>
      </c>
      <c r="C12" s="7" t="s">
        <v>297</v>
      </c>
      <c r="D12" s="8">
        <v>5</v>
      </c>
      <c r="E12" s="7" t="s">
        <v>298</v>
      </c>
      <c r="F12" s="14" t="s">
        <v>260</v>
      </c>
      <c r="G12" s="22" t="str">
        <f>VLOOKUP(A12,'JOGOS BASE'!A:F,6,)</f>
        <v>Mayron Frederico dos Reis Novais</v>
      </c>
      <c r="H12" s="14">
        <v>0</v>
      </c>
      <c r="I12" s="14">
        <v>1</v>
      </c>
      <c r="J12" s="22" t="str">
        <f t="shared" si="1"/>
        <v>25Maranhão - MA</v>
      </c>
      <c r="K12" s="22">
        <f>INDEX(Escalacao!G:G,MATCH(Cartoes!J12,Escalacao!Q:Q,0))</f>
        <v>320815</v>
      </c>
      <c r="L12" s="22" t="str">
        <f>VLOOKUP(K12,Escalacao!G:I,3,0)</f>
        <v>Rodrigo Co ...</v>
      </c>
      <c r="M12" s="22">
        <f>COUNTIF(Escalacao!G:G,Cartoes!K12)</f>
        <v>1</v>
      </c>
      <c r="N12" s="22" t="str">
        <f>VLOOKUP(A12,Escalacao!A:R,18,0)</f>
        <v>12.01.2025 - Moto Club - MA x Maranhão - MA</v>
      </c>
    </row>
    <row r="13" spans="1:14" ht="13.8" customHeight="1">
      <c r="A13" s="7">
        <v>2</v>
      </c>
      <c r="B13" s="49">
        <v>0</v>
      </c>
      <c r="C13" s="7" t="s">
        <v>297</v>
      </c>
      <c r="D13" s="8">
        <v>15</v>
      </c>
      <c r="E13" s="7" t="s">
        <v>299</v>
      </c>
      <c r="F13" s="14" t="s">
        <v>260</v>
      </c>
      <c r="G13" s="22" t="str">
        <f>VLOOKUP(A13,'JOGOS BASE'!A:F,6,)</f>
        <v>Mayron Frederico dos Reis Novais</v>
      </c>
      <c r="H13" s="14">
        <v>0</v>
      </c>
      <c r="I13" s="14">
        <v>1</v>
      </c>
      <c r="J13" s="22" t="str">
        <f t="shared" si="1"/>
        <v>215Maranhão - MA</v>
      </c>
      <c r="K13" s="22">
        <f>INDEX(Escalacao!G:G,MATCH(Cartoes!J13,Escalacao!Q:Q,0))</f>
        <v>597056</v>
      </c>
      <c r="L13" s="22" t="str">
        <f>VLOOKUP(K13,Escalacao!G:I,3,0)</f>
        <v>EDSON</v>
      </c>
      <c r="M13" s="22">
        <f>COUNTIF(Escalacao!G:G,Cartoes!K13)</f>
        <v>1</v>
      </c>
      <c r="N13" s="22" t="str">
        <f>VLOOKUP(A13,Escalacao!A:R,18,0)</f>
        <v>12.01.2025 - Moto Club - MA x Maranhão - MA</v>
      </c>
    </row>
    <row r="14" spans="1:14" ht="13.8" customHeight="1">
      <c r="A14" s="7">
        <v>3</v>
      </c>
      <c r="B14" s="7" t="s">
        <v>357</v>
      </c>
      <c r="C14" s="7" t="s">
        <v>141</v>
      </c>
      <c r="D14" s="8">
        <v>6</v>
      </c>
      <c r="E14" s="7" t="s">
        <v>358</v>
      </c>
      <c r="F14" s="14" t="s">
        <v>368</v>
      </c>
      <c r="G14" s="22" t="str">
        <f>VLOOKUP(A14,'JOGOS BASE'!A:F,6,)</f>
        <v>Marcos Vinicius Muniz Teixeira</v>
      </c>
      <c r="H14" s="14">
        <v>1</v>
      </c>
      <c r="I14" s="14">
        <v>0</v>
      </c>
      <c r="J14" s="22" t="str">
        <f t="shared" ref="J14:J19" si="2">A14&amp;D14&amp;F14</f>
        <v>36Pinheiro - MA</v>
      </c>
      <c r="K14" s="22">
        <f>INDEX(Escalacao!G:G,MATCH(Cartoes!J14,Escalacao!Q:Q,0))</f>
        <v>637743</v>
      </c>
      <c r="L14" s="22" t="str">
        <f>VLOOKUP(K14,Escalacao!G:I,3,0)</f>
        <v>Gabriel</v>
      </c>
      <c r="M14" s="22">
        <f>COUNTIF(Escalacao!G:G,Cartoes!K14)</f>
        <v>1</v>
      </c>
      <c r="N14" s="22" t="str">
        <f>VLOOKUP(A14,Escalacao!A:R,18,0)</f>
        <v>12.01.2025 - Pinheiro - MA x Viana - MA</v>
      </c>
    </row>
    <row r="15" spans="1:14" ht="13.8" customHeight="1">
      <c r="A15" s="7">
        <v>3</v>
      </c>
      <c r="B15" s="7" t="s">
        <v>359</v>
      </c>
      <c r="C15" s="7" t="s">
        <v>111</v>
      </c>
      <c r="D15" s="8">
        <v>2</v>
      </c>
      <c r="E15" s="7" t="s">
        <v>360</v>
      </c>
      <c r="F15" s="14" t="s">
        <v>368</v>
      </c>
      <c r="G15" s="22" t="str">
        <f>VLOOKUP(A15,'JOGOS BASE'!A:F,6,)</f>
        <v>Marcos Vinicius Muniz Teixeira</v>
      </c>
      <c r="H15" s="14">
        <v>1</v>
      </c>
      <c r="I15" s="14">
        <v>0</v>
      </c>
      <c r="J15" s="22" t="str">
        <f t="shared" si="2"/>
        <v>32Pinheiro - MA</v>
      </c>
      <c r="K15" s="22">
        <f>INDEX(Escalacao!G:G,MATCH(Cartoes!J15,Escalacao!Q:Q,0))</f>
        <v>748495</v>
      </c>
      <c r="L15" s="22" t="str">
        <f>VLOOKUP(K15,Escalacao!G:I,3,0)</f>
        <v>Italo</v>
      </c>
      <c r="M15" s="22">
        <f>COUNTIF(Escalacao!G:G,Cartoes!K15)</f>
        <v>1</v>
      </c>
      <c r="N15" s="22" t="str">
        <f>VLOOKUP(A15,Escalacao!A:R,18,0)</f>
        <v>12.01.2025 - Pinheiro - MA x Viana - MA</v>
      </c>
    </row>
    <row r="16" spans="1:14" ht="13.8" customHeight="1">
      <c r="A16" s="7">
        <v>3</v>
      </c>
      <c r="B16" s="7" t="s">
        <v>361</v>
      </c>
      <c r="C16" s="7" t="s">
        <v>141</v>
      </c>
      <c r="D16" s="8">
        <v>2</v>
      </c>
      <c r="E16" s="7" t="s">
        <v>338</v>
      </c>
      <c r="F16" s="14" t="s">
        <v>381</v>
      </c>
      <c r="G16" s="22" t="str">
        <f>VLOOKUP(A16,'JOGOS BASE'!A:F,6,)</f>
        <v>Marcos Vinicius Muniz Teixeira</v>
      </c>
      <c r="H16" s="14">
        <v>1</v>
      </c>
      <c r="I16" s="14">
        <v>0</v>
      </c>
      <c r="J16" s="22" t="str">
        <f t="shared" si="2"/>
        <v>32Viana - MA</v>
      </c>
      <c r="K16" s="22">
        <f>INDEX(Escalacao!G:G,MATCH(Cartoes!J16,Escalacao!Q:Q,0))</f>
        <v>754354</v>
      </c>
      <c r="L16" s="22" t="str">
        <f>VLOOKUP(K16,Escalacao!G:I,3,0)</f>
        <v>ARTHUR CAR</v>
      </c>
      <c r="M16" s="22">
        <f>COUNTIF(Escalacao!G:G,Cartoes!K16)</f>
        <v>1</v>
      </c>
      <c r="N16" s="22" t="str">
        <f>VLOOKUP(A16,Escalacao!A:R,18,0)</f>
        <v>12.01.2025 - Pinheiro - MA x Viana - MA</v>
      </c>
    </row>
    <row r="17" spans="1:14" ht="13.8" customHeight="1">
      <c r="A17" s="7">
        <v>3</v>
      </c>
      <c r="B17" s="7" t="s">
        <v>362</v>
      </c>
      <c r="C17" s="7" t="s">
        <v>111</v>
      </c>
      <c r="D17" s="8">
        <v>4</v>
      </c>
      <c r="E17" s="7" t="s">
        <v>363</v>
      </c>
      <c r="F17" s="14" t="s">
        <v>381</v>
      </c>
      <c r="G17" s="22" t="str">
        <f>VLOOKUP(A17,'JOGOS BASE'!A:F,6,)</f>
        <v>Marcos Vinicius Muniz Teixeira</v>
      </c>
      <c r="H17" s="14">
        <v>1</v>
      </c>
      <c r="I17" s="14">
        <v>0</v>
      </c>
      <c r="J17" s="22" t="str">
        <f t="shared" si="2"/>
        <v>34Viana - MA</v>
      </c>
      <c r="K17" s="22">
        <f>INDEX(Escalacao!G:G,MATCH(Cartoes!J17,Escalacao!Q:Q,0))</f>
        <v>622807</v>
      </c>
      <c r="L17" s="22" t="str">
        <f>VLOOKUP(K17,Escalacao!G:I,3,0)</f>
        <v>LUIZ HENRIQ</v>
      </c>
      <c r="M17" s="22">
        <f>COUNTIF(Escalacao!G:G,Cartoes!K17)</f>
        <v>1</v>
      </c>
      <c r="N17" s="22" t="str">
        <f>VLOOKUP(A17,Escalacao!A:R,18,0)</f>
        <v>12.01.2025 - Pinheiro - MA x Viana - MA</v>
      </c>
    </row>
    <row r="18" spans="1:14" ht="13.8" customHeight="1">
      <c r="A18" s="7">
        <v>3</v>
      </c>
      <c r="B18" s="7" t="s">
        <v>364</v>
      </c>
      <c r="C18" s="7" t="s">
        <v>111</v>
      </c>
      <c r="D18" s="8">
        <v>13</v>
      </c>
      <c r="E18" s="7" t="s">
        <v>365</v>
      </c>
      <c r="F18" s="14" t="s">
        <v>381</v>
      </c>
      <c r="G18" s="22" t="str">
        <f>VLOOKUP(A18,'JOGOS BASE'!A:F,6,)</f>
        <v>Marcos Vinicius Muniz Teixeira</v>
      </c>
      <c r="H18" s="14">
        <v>1</v>
      </c>
      <c r="I18" s="14">
        <v>0</v>
      </c>
      <c r="J18" s="22" t="str">
        <f t="shared" si="2"/>
        <v>313Viana - MA</v>
      </c>
      <c r="K18" s="22">
        <f>INDEX(Escalacao!G:G,MATCH(Cartoes!J18,Escalacao!Q:Q,0))</f>
        <v>683760</v>
      </c>
      <c r="L18" s="22" t="str">
        <f>VLOOKUP(K18,Escalacao!G:I,3,0)</f>
        <v>PAULO</v>
      </c>
      <c r="M18" s="22">
        <f>COUNTIF(Escalacao!G:G,Cartoes!K18)</f>
        <v>1</v>
      </c>
      <c r="N18" s="22" t="str">
        <f>VLOOKUP(A18,Escalacao!A:R,18,0)</f>
        <v>12.01.2025 - Pinheiro - MA x Viana - MA</v>
      </c>
    </row>
    <row r="19" spans="1:14" ht="13.8" customHeight="1">
      <c r="A19" s="7">
        <v>3</v>
      </c>
      <c r="B19" s="7" t="s">
        <v>159</v>
      </c>
      <c r="C19" s="7" t="s">
        <v>141</v>
      </c>
      <c r="D19" s="8">
        <v>6</v>
      </c>
      <c r="E19" s="7" t="s">
        <v>366</v>
      </c>
      <c r="F19" s="14" t="s">
        <v>381</v>
      </c>
      <c r="G19" s="22" t="str">
        <f>VLOOKUP(A19,'JOGOS BASE'!A:F,6,)</f>
        <v>Marcos Vinicius Muniz Teixeira</v>
      </c>
      <c r="H19" s="14">
        <v>1</v>
      </c>
      <c r="I19" s="14">
        <v>0</v>
      </c>
      <c r="J19" s="22" t="str">
        <f t="shared" si="2"/>
        <v>36Viana - MA</v>
      </c>
      <c r="K19" s="22">
        <f>INDEX(Escalacao!G:G,MATCH(Cartoes!J19,Escalacao!Q:Q,0))</f>
        <v>621098</v>
      </c>
      <c r="L19" s="22" t="str">
        <f>VLOOKUP(K19,Escalacao!G:I,3,0)</f>
        <v>Leleu</v>
      </c>
      <c r="M19" s="22">
        <f>COUNTIF(Escalacao!G:G,Cartoes!K19)</f>
        <v>1</v>
      </c>
      <c r="N19" s="22" t="str">
        <f>VLOOKUP(A19,Escalacao!A:R,18,0)</f>
        <v>12.01.2025 - Pinheiro - MA x Viana - MA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E166D-6A5A-45E2-833F-D0524957A1BA}">
  <dimension ref="A1:R27"/>
  <sheetViews>
    <sheetView showGridLines="0" topLeftCell="A13" workbookViewId="0">
      <selection activeCell="D27" sqref="D27"/>
    </sheetView>
  </sheetViews>
  <sheetFormatPr defaultRowHeight="14.4"/>
  <cols>
    <col min="1" max="1" width="5.109375" style="15" customWidth="1"/>
    <col min="2" max="2" width="12.6640625" customWidth="1"/>
    <col min="3" max="3" width="4.21875" bestFit="1" customWidth="1"/>
    <col min="4" max="6" width="15.6640625" customWidth="1"/>
    <col min="7" max="7" width="15.6640625" style="39" customWidth="1"/>
    <col min="8" max="11" width="15.6640625" style="23" customWidth="1"/>
    <col min="12" max="13" width="5.88671875" style="40" customWidth="1"/>
    <col min="14" max="14" width="5.88671875" style="23" customWidth="1"/>
    <col min="15" max="18" width="5.88671875" style="40" customWidth="1"/>
  </cols>
  <sheetData>
    <row r="1" spans="1:18" ht="28.8">
      <c r="A1" s="41" t="s">
        <v>134</v>
      </c>
      <c r="B1" s="4" t="s">
        <v>100</v>
      </c>
      <c r="C1" s="4" t="s">
        <v>101</v>
      </c>
      <c r="D1" s="4" t="s">
        <v>102</v>
      </c>
      <c r="E1" s="4" t="s">
        <v>103</v>
      </c>
      <c r="F1" s="4" t="s">
        <v>104</v>
      </c>
      <c r="G1" s="30" t="s">
        <v>148</v>
      </c>
      <c r="H1" s="31" t="s">
        <v>146</v>
      </c>
      <c r="I1" s="31" t="s">
        <v>147</v>
      </c>
      <c r="J1" s="31" t="s">
        <v>138</v>
      </c>
      <c r="K1" s="31" t="s">
        <v>139</v>
      </c>
      <c r="L1" s="32" t="s">
        <v>135</v>
      </c>
      <c r="M1" s="32" t="s">
        <v>136</v>
      </c>
      <c r="N1" s="31" t="s">
        <v>140</v>
      </c>
      <c r="O1" s="33" t="s">
        <v>142</v>
      </c>
      <c r="P1" s="33" t="s">
        <v>143</v>
      </c>
      <c r="Q1" s="33" t="s">
        <v>149</v>
      </c>
      <c r="R1" s="33" t="s">
        <v>150</v>
      </c>
    </row>
    <row r="2" spans="1:18" ht="20.399999999999999">
      <c r="A2" s="42">
        <v>1</v>
      </c>
      <c r="B2" s="3" t="s">
        <v>105</v>
      </c>
      <c r="C2" s="3" t="s">
        <v>106</v>
      </c>
      <c r="D2" s="2" t="s">
        <v>107</v>
      </c>
      <c r="E2" s="2" t="s">
        <v>108</v>
      </c>
      <c r="F2" s="2" t="s">
        <v>109</v>
      </c>
      <c r="G2" s="34">
        <f>VALUE(LEFT(B2,2))</f>
        <v>0</v>
      </c>
      <c r="H2" s="35">
        <f>IF(VALUE(LEFT(E2,2))&lt;10,VALUE(LEFT(E2,1)),VALUE(LEFT(E2,2)))</f>
        <v>19</v>
      </c>
      <c r="I2" s="35">
        <f>IF(VALUE(LEFT(F2,2))&lt;10,VALUE(LEFT(F2,1)),VALUE(LEFT(F2,2)))</f>
        <v>10</v>
      </c>
      <c r="J2" s="36" t="str">
        <f>$A2&amp;$D2&amp;H2</f>
        <v>1Imperatriz - MA19</v>
      </c>
      <c r="K2" s="36" t="str">
        <f>$A2&amp;$D2&amp;I2</f>
        <v>1Imperatriz - MA10</v>
      </c>
      <c r="L2" s="37">
        <f>VLOOKUP(A2,'JOGOS BASE'!A:E,4,0)</f>
        <v>49</v>
      </c>
      <c r="M2" s="37">
        <f>VLOOKUP(A2,'JOGOS BASE'!A:E,5,0)</f>
        <v>50</v>
      </c>
      <c r="N2" s="38" t="str">
        <f>LEFT(C2,1)</f>
        <v>I</v>
      </c>
      <c r="O2" s="37">
        <f>IF(N2="1",L2-G2,0)</f>
        <v>0</v>
      </c>
      <c r="P2" s="37">
        <f>IF(N2="1",M2,IF(OR(N2="2",N2="I"),M2-G2,0))</f>
        <v>50</v>
      </c>
      <c r="Q2" s="37">
        <f>IF(N2="1",G2,L2)</f>
        <v>49</v>
      </c>
      <c r="R2" s="37">
        <f>IF(OR(N2="1",N2="I"),0,G2)</f>
        <v>0</v>
      </c>
    </row>
    <row r="3" spans="1:18" ht="20.399999999999999">
      <c r="A3" s="42">
        <v>1</v>
      </c>
      <c r="B3" s="3" t="s">
        <v>110</v>
      </c>
      <c r="C3" s="3" t="s">
        <v>111</v>
      </c>
      <c r="D3" s="2" t="s">
        <v>107</v>
      </c>
      <c r="E3" s="2" t="s">
        <v>112</v>
      </c>
      <c r="F3" s="2" t="s">
        <v>113</v>
      </c>
      <c r="G3" s="34">
        <f t="shared" ref="G3:G11" si="0">VALUE(LEFT(B3,2))</f>
        <v>13</v>
      </c>
      <c r="H3" s="35">
        <f t="shared" ref="H3:H11" si="1">IF(VALUE(LEFT(E3,2))&lt;10,VALUE(LEFT(E3,1)),VALUE(LEFT(E3,2)))</f>
        <v>21</v>
      </c>
      <c r="I3" s="35">
        <f t="shared" ref="I3:I11" si="2">IF(VALUE(LEFT(F3,2))&lt;10,VALUE(LEFT(F3,1)),VALUE(LEFT(F3,2)))</f>
        <v>11</v>
      </c>
      <c r="J3" s="36" t="str">
        <f t="shared" ref="J3:J11" si="3">$A3&amp;$D3&amp;H3</f>
        <v>1Imperatriz - MA21</v>
      </c>
      <c r="K3" s="36" t="str">
        <f t="shared" ref="K3:K11" si="4">$A3&amp;$D3&amp;I3</f>
        <v>1Imperatriz - MA11</v>
      </c>
      <c r="L3" s="37">
        <f>VLOOKUP(A3,'JOGOS BASE'!A:E,4,0)</f>
        <v>49</v>
      </c>
      <c r="M3" s="37">
        <f>VLOOKUP(A3,'JOGOS BASE'!A:E,5,0)</f>
        <v>50</v>
      </c>
      <c r="N3" s="38" t="str">
        <f t="shared" ref="N3:N11" si="5">LEFT(C3,1)</f>
        <v>2</v>
      </c>
      <c r="O3" s="37">
        <f t="shared" ref="O3:O11" si="6">IF(N3="1",L3-G3,0)</f>
        <v>0</v>
      </c>
      <c r="P3" s="37">
        <f t="shared" ref="P3:P11" si="7">IF(N3="1",M3,IF(OR(N3="2",N3="I"),M3-G3,0))</f>
        <v>37</v>
      </c>
      <c r="Q3" s="37">
        <f t="shared" ref="Q3:Q11" si="8">IF(N3="1",G3,L3)</f>
        <v>49</v>
      </c>
      <c r="R3" s="37">
        <f t="shared" ref="R3:R11" si="9">IF(OR(N3="1",N3="I"),0,G3)</f>
        <v>13</v>
      </c>
    </row>
    <row r="4" spans="1:18" ht="20.399999999999999">
      <c r="A4" s="42">
        <v>1</v>
      </c>
      <c r="B4" s="3" t="s">
        <v>114</v>
      </c>
      <c r="C4" s="3" t="s">
        <v>111</v>
      </c>
      <c r="D4" s="2" t="s">
        <v>107</v>
      </c>
      <c r="E4" s="2" t="s">
        <v>115</v>
      </c>
      <c r="F4" s="2" t="s">
        <v>116</v>
      </c>
      <c r="G4" s="34">
        <f t="shared" si="0"/>
        <v>27</v>
      </c>
      <c r="H4" s="35">
        <f t="shared" si="1"/>
        <v>22</v>
      </c>
      <c r="I4" s="35">
        <f t="shared" si="2"/>
        <v>9</v>
      </c>
      <c r="J4" s="36" t="str">
        <f t="shared" si="3"/>
        <v>1Imperatriz - MA22</v>
      </c>
      <c r="K4" s="36" t="str">
        <f t="shared" si="4"/>
        <v>1Imperatriz - MA9</v>
      </c>
      <c r="L4" s="37">
        <f>VLOOKUP(A4,'JOGOS BASE'!A:E,4,0)</f>
        <v>49</v>
      </c>
      <c r="M4" s="37">
        <f>VLOOKUP(A4,'JOGOS BASE'!A:E,5,0)</f>
        <v>50</v>
      </c>
      <c r="N4" s="38" t="str">
        <f t="shared" si="5"/>
        <v>2</v>
      </c>
      <c r="O4" s="37">
        <f t="shared" si="6"/>
        <v>0</v>
      </c>
      <c r="P4" s="37">
        <f t="shared" si="7"/>
        <v>23</v>
      </c>
      <c r="Q4" s="37">
        <f t="shared" si="8"/>
        <v>49</v>
      </c>
      <c r="R4" s="37">
        <f t="shared" si="9"/>
        <v>27</v>
      </c>
    </row>
    <row r="5" spans="1:18" ht="20.399999999999999">
      <c r="A5" s="42">
        <v>1</v>
      </c>
      <c r="B5" s="3" t="s">
        <v>114</v>
      </c>
      <c r="C5" s="3" t="s">
        <v>111</v>
      </c>
      <c r="D5" s="2" t="s">
        <v>107</v>
      </c>
      <c r="E5" s="2" t="s">
        <v>117</v>
      </c>
      <c r="F5" s="2" t="s">
        <v>118</v>
      </c>
      <c r="G5" s="34">
        <f t="shared" si="0"/>
        <v>27</v>
      </c>
      <c r="H5" s="35">
        <f t="shared" si="1"/>
        <v>17</v>
      </c>
      <c r="I5" s="35">
        <f t="shared" si="2"/>
        <v>5</v>
      </c>
      <c r="J5" s="36" t="str">
        <f t="shared" si="3"/>
        <v>1Imperatriz - MA17</v>
      </c>
      <c r="K5" s="36" t="str">
        <f t="shared" si="4"/>
        <v>1Imperatriz - MA5</v>
      </c>
      <c r="L5" s="37">
        <f>VLOOKUP(A5,'JOGOS BASE'!A:E,4,0)</f>
        <v>49</v>
      </c>
      <c r="M5" s="37">
        <f>VLOOKUP(A5,'JOGOS BASE'!A:E,5,0)</f>
        <v>50</v>
      </c>
      <c r="N5" s="38" t="str">
        <f t="shared" si="5"/>
        <v>2</v>
      </c>
      <c r="O5" s="37">
        <f t="shared" si="6"/>
        <v>0</v>
      </c>
      <c r="P5" s="37">
        <f t="shared" si="7"/>
        <v>23</v>
      </c>
      <c r="Q5" s="37">
        <f t="shared" si="8"/>
        <v>49</v>
      </c>
      <c r="R5" s="37">
        <f t="shared" si="9"/>
        <v>27</v>
      </c>
    </row>
    <row r="6" spans="1:18" ht="20.399999999999999">
      <c r="A6" s="42">
        <v>1</v>
      </c>
      <c r="B6" s="3" t="s">
        <v>119</v>
      </c>
      <c r="C6" s="3" t="s">
        <v>111</v>
      </c>
      <c r="D6" s="2" t="s">
        <v>107</v>
      </c>
      <c r="E6" s="2" t="s">
        <v>120</v>
      </c>
      <c r="F6" s="2" t="s">
        <v>121</v>
      </c>
      <c r="G6" s="34">
        <f t="shared" si="0"/>
        <v>40</v>
      </c>
      <c r="H6" s="35">
        <f t="shared" si="1"/>
        <v>20</v>
      </c>
      <c r="I6" s="35">
        <f t="shared" si="2"/>
        <v>7</v>
      </c>
      <c r="J6" s="36" t="str">
        <f t="shared" si="3"/>
        <v>1Imperatriz - MA20</v>
      </c>
      <c r="K6" s="36" t="str">
        <f t="shared" si="4"/>
        <v>1Imperatriz - MA7</v>
      </c>
      <c r="L6" s="37">
        <f>VLOOKUP(A6,'JOGOS BASE'!A:E,4,0)</f>
        <v>49</v>
      </c>
      <c r="M6" s="37">
        <f>VLOOKUP(A6,'JOGOS BASE'!A:E,5,0)</f>
        <v>50</v>
      </c>
      <c r="N6" s="38" t="str">
        <f t="shared" si="5"/>
        <v>2</v>
      </c>
      <c r="O6" s="37">
        <f t="shared" si="6"/>
        <v>0</v>
      </c>
      <c r="P6" s="37">
        <f t="shared" si="7"/>
        <v>10</v>
      </c>
      <c r="Q6" s="37">
        <f t="shared" si="8"/>
        <v>49</v>
      </c>
      <c r="R6" s="37">
        <f t="shared" si="9"/>
        <v>40</v>
      </c>
    </row>
    <row r="7" spans="1:18" ht="20.399999999999999">
      <c r="A7" s="42">
        <v>1</v>
      </c>
      <c r="B7" s="3" t="s">
        <v>105</v>
      </c>
      <c r="C7" s="3" t="s">
        <v>106</v>
      </c>
      <c r="D7" s="2" t="s">
        <v>122</v>
      </c>
      <c r="E7" s="2" t="s">
        <v>123</v>
      </c>
      <c r="F7" s="2" t="s">
        <v>124</v>
      </c>
      <c r="G7" s="34">
        <f t="shared" si="0"/>
        <v>0</v>
      </c>
      <c r="H7" s="35">
        <f t="shared" si="1"/>
        <v>19</v>
      </c>
      <c r="I7" s="35">
        <f t="shared" si="2"/>
        <v>7</v>
      </c>
      <c r="J7" s="36" t="str">
        <f t="shared" si="3"/>
        <v>1Sampaio Corrêa - MA19</v>
      </c>
      <c r="K7" s="36" t="str">
        <f t="shared" si="4"/>
        <v>1Sampaio Corrêa - MA7</v>
      </c>
      <c r="L7" s="37">
        <f>VLOOKUP(A7,'JOGOS BASE'!A:E,4,0)</f>
        <v>49</v>
      </c>
      <c r="M7" s="37">
        <f>VLOOKUP(A7,'JOGOS BASE'!A:E,5,0)</f>
        <v>50</v>
      </c>
      <c r="N7" s="38" t="str">
        <f t="shared" si="5"/>
        <v>I</v>
      </c>
      <c r="O7" s="37">
        <f t="shared" si="6"/>
        <v>0</v>
      </c>
      <c r="P7" s="37">
        <f t="shared" si="7"/>
        <v>50</v>
      </c>
      <c r="Q7" s="37">
        <f t="shared" si="8"/>
        <v>49</v>
      </c>
      <c r="R7" s="37">
        <f t="shared" si="9"/>
        <v>0</v>
      </c>
    </row>
    <row r="8" spans="1:18" ht="20.399999999999999">
      <c r="A8" s="42">
        <v>1</v>
      </c>
      <c r="B8" s="3" t="s">
        <v>110</v>
      </c>
      <c r="C8" s="3" t="s">
        <v>111</v>
      </c>
      <c r="D8" s="2" t="s">
        <v>122</v>
      </c>
      <c r="E8" s="2" t="s">
        <v>125</v>
      </c>
      <c r="F8" s="2" t="s">
        <v>126</v>
      </c>
      <c r="G8" s="34">
        <f t="shared" si="0"/>
        <v>13</v>
      </c>
      <c r="H8" s="35">
        <f t="shared" si="1"/>
        <v>18</v>
      </c>
      <c r="I8" s="35">
        <f t="shared" si="2"/>
        <v>10</v>
      </c>
      <c r="J8" s="36" t="str">
        <f t="shared" si="3"/>
        <v>1Sampaio Corrêa - MA18</v>
      </c>
      <c r="K8" s="36" t="str">
        <f t="shared" si="4"/>
        <v>1Sampaio Corrêa - MA10</v>
      </c>
      <c r="L8" s="37">
        <f>VLOOKUP(A8,'JOGOS BASE'!A:E,4,0)</f>
        <v>49</v>
      </c>
      <c r="M8" s="37">
        <f>VLOOKUP(A8,'JOGOS BASE'!A:E,5,0)</f>
        <v>50</v>
      </c>
      <c r="N8" s="38" t="str">
        <f t="shared" si="5"/>
        <v>2</v>
      </c>
      <c r="O8" s="37">
        <f t="shared" si="6"/>
        <v>0</v>
      </c>
      <c r="P8" s="37">
        <f t="shared" si="7"/>
        <v>37</v>
      </c>
      <c r="Q8" s="37">
        <f t="shared" si="8"/>
        <v>49</v>
      </c>
      <c r="R8" s="37">
        <f t="shared" si="9"/>
        <v>13</v>
      </c>
    </row>
    <row r="9" spans="1:18" ht="20.399999999999999">
      <c r="A9" s="42">
        <v>1</v>
      </c>
      <c r="B9" s="3" t="s">
        <v>110</v>
      </c>
      <c r="C9" s="3" t="s">
        <v>111</v>
      </c>
      <c r="D9" s="2" t="s">
        <v>122</v>
      </c>
      <c r="E9" s="2" t="s">
        <v>127</v>
      </c>
      <c r="F9" s="2" t="s">
        <v>128</v>
      </c>
      <c r="G9" s="34">
        <f t="shared" si="0"/>
        <v>13</v>
      </c>
      <c r="H9" s="35">
        <f t="shared" si="1"/>
        <v>15</v>
      </c>
      <c r="I9" s="35">
        <f t="shared" si="2"/>
        <v>6</v>
      </c>
      <c r="J9" s="36" t="str">
        <f t="shared" si="3"/>
        <v>1Sampaio Corrêa - MA15</v>
      </c>
      <c r="K9" s="36" t="str">
        <f t="shared" si="4"/>
        <v>1Sampaio Corrêa - MA6</v>
      </c>
      <c r="L9" s="37">
        <f>VLOOKUP(A9,'JOGOS BASE'!A:E,4,0)</f>
        <v>49</v>
      </c>
      <c r="M9" s="37">
        <f>VLOOKUP(A9,'JOGOS BASE'!A:E,5,0)</f>
        <v>50</v>
      </c>
      <c r="N9" s="38" t="str">
        <f t="shared" si="5"/>
        <v>2</v>
      </c>
      <c r="O9" s="37">
        <f t="shared" si="6"/>
        <v>0</v>
      </c>
      <c r="P9" s="37">
        <f t="shared" si="7"/>
        <v>37</v>
      </c>
      <c r="Q9" s="37">
        <f t="shared" si="8"/>
        <v>49</v>
      </c>
      <c r="R9" s="37">
        <f t="shared" si="9"/>
        <v>13</v>
      </c>
    </row>
    <row r="10" spans="1:18" ht="20.399999999999999">
      <c r="A10" s="42">
        <v>1</v>
      </c>
      <c r="B10" s="3" t="s">
        <v>114</v>
      </c>
      <c r="C10" s="3" t="s">
        <v>111</v>
      </c>
      <c r="D10" s="2" t="s">
        <v>122</v>
      </c>
      <c r="E10" s="2" t="s">
        <v>129</v>
      </c>
      <c r="F10" s="2" t="s">
        <v>130</v>
      </c>
      <c r="G10" s="34">
        <f t="shared" si="0"/>
        <v>27</v>
      </c>
      <c r="H10" s="35">
        <f t="shared" si="1"/>
        <v>21</v>
      </c>
      <c r="I10" s="35">
        <f t="shared" si="2"/>
        <v>11</v>
      </c>
      <c r="J10" s="36" t="str">
        <f t="shared" si="3"/>
        <v>1Sampaio Corrêa - MA21</v>
      </c>
      <c r="K10" s="36" t="str">
        <f t="shared" si="4"/>
        <v>1Sampaio Corrêa - MA11</v>
      </c>
      <c r="L10" s="37">
        <f>VLOOKUP(A10,'JOGOS BASE'!A:E,4,0)</f>
        <v>49</v>
      </c>
      <c r="M10" s="37">
        <f>VLOOKUP(A10,'JOGOS BASE'!A:E,5,0)</f>
        <v>50</v>
      </c>
      <c r="N10" s="38" t="str">
        <f t="shared" si="5"/>
        <v>2</v>
      </c>
      <c r="O10" s="37">
        <f t="shared" si="6"/>
        <v>0</v>
      </c>
      <c r="P10" s="37">
        <f t="shared" si="7"/>
        <v>23</v>
      </c>
      <c r="Q10" s="37">
        <f t="shared" si="8"/>
        <v>49</v>
      </c>
      <c r="R10" s="37">
        <f t="shared" si="9"/>
        <v>27</v>
      </c>
    </row>
    <row r="11" spans="1:18" ht="20.399999999999999">
      <c r="A11" s="42">
        <v>1</v>
      </c>
      <c r="B11" s="3" t="s">
        <v>131</v>
      </c>
      <c r="C11" s="3" t="s">
        <v>111</v>
      </c>
      <c r="D11" s="2" t="s">
        <v>122</v>
      </c>
      <c r="E11" s="2" t="s">
        <v>132</v>
      </c>
      <c r="F11" s="2" t="s">
        <v>133</v>
      </c>
      <c r="G11" s="34">
        <f t="shared" si="0"/>
        <v>41</v>
      </c>
      <c r="H11" s="35">
        <f t="shared" si="1"/>
        <v>17</v>
      </c>
      <c r="I11" s="35">
        <f t="shared" si="2"/>
        <v>9</v>
      </c>
      <c r="J11" s="36" t="str">
        <f t="shared" si="3"/>
        <v>1Sampaio Corrêa - MA17</v>
      </c>
      <c r="K11" s="36" t="str">
        <f t="shared" si="4"/>
        <v>1Sampaio Corrêa - MA9</v>
      </c>
      <c r="L11" s="37">
        <f>VLOOKUP(A11,'JOGOS BASE'!A:E,4,0)</f>
        <v>49</v>
      </c>
      <c r="M11" s="37">
        <f>VLOOKUP(A11,'JOGOS BASE'!A:E,5,0)</f>
        <v>50</v>
      </c>
      <c r="N11" s="38" t="str">
        <f t="shared" si="5"/>
        <v>2</v>
      </c>
      <c r="O11" s="37">
        <f t="shared" si="6"/>
        <v>0</v>
      </c>
      <c r="P11" s="37">
        <f t="shared" si="7"/>
        <v>9</v>
      </c>
      <c r="Q11" s="37">
        <f t="shared" si="8"/>
        <v>49</v>
      </c>
      <c r="R11" s="37">
        <f t="shared" si="9"/>
        <v>41</v>
      </c>
    </row>
    <row r="12" spans="1:18" ht="20.399999999999999">
      <c r="A12" s="15">
        <v>2</v>
      </c>
      <c r="B12" s="48">
        <v>2.25</v>
      </c>
      <c r="C12" s="47" t="s">
        <v>111</v>
      </c>
      <c r="D12" s="45" t="s">
        <v>260</v>
      </c>
      <c r="E12" s="45" t="s">
        <v>261</v>
      </c>
      <c r="F12" s="45" t="s">
        <v>262</v>
      </c>
      <c r="G12" s="34">
        <f t="shared" ref="G12:G21" si="10">VALUE(LEFT(B12,2))</f>
        <v>2</v>
      </c>
      <c r="H12" s="35">
        <f t="shared" ref="H12:H21" si="11">IF(VALUE(LEFT(E12,2))&lt;10,VALUE(LEFT(E12,1)),VALUE(LEFT(E12,2)))</f>
        <v>14</v>
      </c>
      <c r="I12" s="35">
        <f t="shared" ref="I12:I21" si="12">IF(VALUE(LEFT(F12,2))&lt;10,VALUE(LEFT(F12,1)),VALUE(LEFT(F12,2)))</f>
        <v>11</v>
      </c>
      <c r="J12" s="36" t="str">
        <f t="shared" ref="J12:J21" si="13">$A12&amp;$D12&amp;H12</f>
        <v>2Maranhão - MA14</v>
      </c>
      <c r="K12" s="36" t="str">
        <f t="shared" ref="K12:K21" si="14">$A12&amp;$D12&amp;I12</f>
        <v>2Maranhão - MA11</v>
      </c>
      <c r="L12" s="37">
        <f>VLOOKUP(A12,'JOGOS BASE'!A:E,4,0)</f>
        <v>47</v>
      </c>
      <c r="M12" s="37">
        <f>VLOOKUP(A12,'JOGOS BASE'!A:E,5,0)</f>
        <v>50</v>
      </c>
      <c r="N12" s="38" t="str">
        <f t="shared" ref="N12:N21" si="15">LEFT(C12,1)</f>
        <v>2</v>
      </c>
      <c r="O12" s="37">
        <f t="shared" ref="O12:O21" si="16">IF(N12="1",L12-G12,0)</f>
        <v>0</v>
      </c>
      <c r="P12" s="37">
        <f t="shared" ref="P12:P21" si="17">IF(N12="1",M12,IF(OR(N12="2",N12="I"),M12-G12,0))</f>
        <v>48</v>
      </c>
      <c r="Q12" s="37">
        <f t="shared" ref="Q12:Q21" si="18">IF(N12="1",G12,L12)</f>
        <v>47</v>
      </c>
      <c r="R12" s="37">
        <f t="shared" ref="R12:R21" si="19">IF(OR(N12="1",N12="I"),0,G12)</f>
        <v>2</v>
      </c>
    </row>
    <row r="13" spans="1:18" ht="20.399999999999999">
      <c r="A13" s="15">
        <v>2</v>
      </c>
      <c r="B13" s="47" t="s">
        <v>105</v>
      </c>
      <c r="C13" s="47" t="s">
        <v>106</v>
      </c>
      <c r="D13" s="45" t="s">
        <v>260</v>
      </c>
      <c r="E13" s="45" t="s">
        <v>263</v>
      </c>
      <c r="F13" s="45" t="s">
        <v>264</v>
      </c>
      <c r="G13" s="34">
        <f t="shared" si="10"/>
        <v>0</v>
      </c>
      <c r="H13" s="35">
        <f t="shared" si="11"/>
        <v>19</v>
      </c>
      <c r="I13" s="35">
        <f t="shared" si="12"/>
        <v>10</v>
      </c>
      <c r="J13" s="36" t="str">
        <f t="shared" si="13"/>
        <v>2Maranhão - MA19</v>
      </c>
      <c r="K13" s="36" t="str">
        <f t="shared" si="14"/>
        <v>2Maranhão - MA10</v>
      </c>
      <c r="L13" s="37">
        <f>VLOOKUP(A13,'JOGOS BASE'!A:E,4,0)</f>
        <v>47</v>
      </c>
      <c r="M13" s="37">
        <f>VLOOKUP(A13,'JOGOS BASE'!A:E,5,0)</f>
        <v>50</v>
      </c>
      <c r="N13" s="38" t="str">
        <f t="shared" si="15"/>
        <v>I</v>
      </c>
      <c r="O13" s="37">
        <f t="shared" si="16"/>
        <v>0</v>
      </c>
      <c r="P13" s="37">
        <f t="shared" si="17"/>
        <v>50</v>
      </c>
      <c r="Q13" s="37">
        <f t="shared" si="18"/>
        <v>47</v>
      </c>
      <c r="R13" s="37">
        <f t="shared" si="19"/>
        <v>0</v>
      </c>
    </row>
    <row r="14" spans="1:18" ht="20.399999999999999">
      <c r="A14" s="15">
        <v>2</v>
      </c>
      <c r="B14" s="47" t="s">
        <v>105</v>
      </c>
      <c r="C14" s="47" t="s">
        <v>106</v>
      </c>
      <c r="D14" s="45" t="s">
        <v>260</v>
      </c>
      <c r="E14" s="45" t="s">
        <v>265</v>
      </c>
      <c r="F14" s="45" t="s">
        <v>266</v>
      </c>
      <c r="G14" s="34">
        <f t="shared" si="10"/>
        <v>0</v>
      </c>
      <c r="H14" s="35">
        <f t="shared" si="11"/>
        <v>18</v>
      </c>
      <c r="I14" s="35">
        <f t="shared" si="12"/>
        <v>8</v>
      </c>
      <c r="J14" s="36" t="str">
        <f t="shared" si="13"/>
        <v>2Maranhão - MA18</v>
      </c>
      <c r="K14" s="36" t="str">
        <f t="shared" si="14"/>
        <v>2Maranhão - MA8</v>
      </c>
      <c r="L14" s="37">
        <f>VLOOKUP(A14,'JOGOS BASE'!A:E,4,0)</f>
        <v>47</v>
      </c>
      <c r="M14" s="37">
        <f>VLOOKUP(A14,'JOGOS BASE'!A:E,5,0)</f>
        <v>50</v>
      </c>
      <c r="N14" s="38" t="str">
        <f t="shared" si="15"/>
        <v>I</v>
      </c>
      <c r="O14" s="37">
        <f t="shared" si="16"/>
        <v>0</v>
      </c>
      <c r="P14" s="37">
        <f t="shared" si="17"/>
        <v>50</v>
      </c>
      <c r="Q14" s="37">
        <f t="shared" si="18"/>
        <v>47</v>
      </c>
      <c r="R14" s="37">
        <f t="shared" si="19"/>
        <v>0</v>
      </c>
    </row>
    <row r="15" spans="1:18" ht="20.399999999999999">
      <c r="A15" s="15">
        <v>2</v>
      </c>
      <c r="B15" s="47" t="s">
        <v>105</v>
      </c>
      <c r="C15" s="47" t="s">
        <v>106</v>
      </c>
      <c r="D15" s="45" t="s">
        <v>260</v>
      </c>
      <c r="E15" s="45" t="s">
        <v>267</v>
      </c>
      <c r="F15" s="45" t="s">
        <v>268</v>
      </c>
      <c r="G15" s="34">
        <f t="shared" si="10"/>
        <v>0</v>
      </c>
      <c r="H15" s="35">
        <f t="shared" si="11"/>
        <v>20</v>
      </c>
      <c r="I15" s="35">
        <f t="shared" si="12"/>
        <v>22</v>
      </c>
      <c r="J15" s="36" t="str">
        <f t="shared" si="13"/>
        <v>2Maranhão - MA20</v>
      </c>
      <c r="K15" s="36" t="str">
        <f t="shared" si="14"/>
        <v>2Maranhão - MA22</v>
      </c>
      <c r="L15" s="37">
        <f>VLOOKUP(A15,'JOGOS BASE'!A:E,4,0)</f>
        <v>47</v>
      </c>
      <c r="M15" s="37">
        <f>VLOOKUP(A15,'JOGOS BASE'!A:E,5,0)</f>
        <v>50</v>
      </c>
      <c r="N15" s="38" t="str">
        <f t="shared" si="15"/>
        <v>I</v>
      </c>
      <c r="O15" s="37">
        <f t="shared" si="16"/>
        <v>0</v>
      </c>
      <c r="P15" s="37">
        <f t="shared" si="17"/>
        <v>50</v>
      </c>
      <c r="Q15" s="37">
        <f t="shared" si="18"/>
        <v>47</v>
      </c>
      <c r="R15" s="37">
        <f t="shared" si="19"/>
        <v>0</v>
      </c>
    </row>
    <row r="16" spans="1:18" ht="20.399999999999999">
      <c r="A16" s="15">
        <v>2</v>
      </c>
      <c r="B16" s="47" t="s">
        <v>269</v>
      </c>
      <c r="C16" s="47" t="s">
        <v>111</v>
      </c>
      <c r="D16" s="45" t="s">
        <v>260</v>
      </c>
      <c r="E16" s="45" t="s">
        <v>270</v>
      </c>
      <c r="F16" s="45" t="s">
        <v>271</v>
      </c>
      <c r="G16" s="34">
        <f t="shared" si="10"/>
        <v>23</v>
      </c>
      <c r="H16" s="35">
        <f t="shared" si="11"/>
        <v>13</v>
      </c>
      <c r="I16" s="35">
        <f t="shared" si="12"/>
        <v>2</v>
      </c>
      <c r="J16" s="36" t="str">
        <f t="shared" si="13"/>
        <v>2Maranhão - MA13</v>
      </c>
      <c r="K16" s="36" t="str">
        <f t="shared" si="14"/>
        <v>2Maranhão - MA2</v>
      </c>
      <c r="L16" s="37">
        <f>VLOOKUP(A16,'JOGOS BASE'!A:E,4,0)</f>
        <v>47</v>
      </c>
      <c r="M16" s="37">
        <f>VLOOKUP(A16,'JOGOS BASE'!A:E,5,0)</f>
        <v>50</v>
      </c>
      <c r="N16" s="38" t="str">
        <f t="shared" si="15"/>
        <v>2</v>
      </c>
      <c r="O16" s="37">
        <f t="shared" si="16"/>
        <v>0</v>
      </c>
      <c r="P16" s="37">
        <f t="shared" si="17"/>
        <v>27</v>
      </c>
      <c r="Q16" s="37">
        <f t="shared" si="18"/>
        <v>47</v>
      </c>
      <c r="R16" s="37">
        <f t="shared" si="19"/>
        <v>23</v>
      </c>
    </row>
    <row r="17" spans="1:18" ht="20.399999999999999">
      <c r="A17" s="15">
        <v>2</v>
      </c>
      <c r="B17" s="47" t="s">
        <v>272</v>
      </c>
      <c r="C17" s="47" t="s">
        <v>111</v>
      </c>
      <c r="D17" s="45" t="s">
        <v>273</v>
      </c>
      <c r="E17" s="45" t="s">
        <v>274</v>
      </c>
      <c r="F17" s="45" t="s">
        <v>275</v>
      </c>
      <c r="G17" s="34">
        <f t="shared" si="10"/>
        <v>15</v>
      </c>
      <c r="H17" s="35">
        <f t="shared" si="11"/>
        <v>19</v>
      </c>
      <c r="I17" s="35">
        <f t="shared" si="12"/>
        <v>10</v>
      </c>
      <c r="J17" s="36" t="str">
        <f t="shared" si="13"/>
        <v>2Moto Club - MA19</v>
      </c>
      <c r="K17" s="36" t="str">
        <f t="shared" si="14"/>
        <v>2Moto Club - MA10</v>
      </c>
      <c r="L17" s="37">
        <f>VLOOKUP(A17,'JOGOS BASE'!A:E,4,0)</f>
        <v>47</v>
      </c>
      <c r="M17" s="37">
        <f>VLOOKUP(A17,'JOGOS BASE'!A:E,5,0)</f>
        <v>50</v>
      </c>
      <c r="N17" s="38" t="str">
        <f t="shared" si="15"/>
        <v>2</v>
      </c>
      <c r="O17" s="37">
        <f t="shared" si="16"/>
        <v>0</v>
      </c>
      <c r="P17" s="37">
        <f t="shared" si="17"/>
        <v>35</v>
      </c>
      <c r="Q17" s="37">
        <f t="shared" si="18"/>
        <v>47</v>
      </c>
      <c r="R17" s="37">
        <f t="shared" si="19"/>
        <v>15</v>
      </c>
    </row>
    <row r="18" spans="1:18" ht="20.399999999999999">
      <c r="A18" s="15">
        <v>2</v>
      </c>
      <c r="B18" s="47" t="s">
        <v>272</v>
      </c>
      <c r="C18" s="47" t="s">
        <v>111</v>
      </c>
      <c r="D18" s="45" t="s">
        <v>273</v>
      </c>
      <c r="E18" s="45" t="s">
        <v>276</v>
      </c>
      <c r="F18" s="45" t="s">
        <v>277</v>
      </c>
      <c r="G18" s="34">
        <f t="shared" si="10"/>
        <v>15</v>
      </c>
      <c r="H18" s="35">
        <f t="shared" si="11"/>
        <v>15</v>
      </c>
      <c r="I18" s="35">
        <f t="shared" si="12"/>
        <v>9</v>
      </c>
      <c r="J18" s="36" t="str">
        <f t="shared" si="13"/>
        <v>2Moto Club - MA15</v>
      </c>
      <c r="K18" s="36" t="str">
        <f t="shared" si="14"/>
        <v>2Moto Club - MA9</v>
      </c>
      <c r="L18" s="37">
        <f>VLOOKUP(A18,'JOGOS BASE'!A:E,4,0)</f>
        <v>47</v>
      </c>
      <c r="M18" s="37">
        <f>VLOOKUP(A18,'JOGOS BASE'!A:E,5,0)</f>
        <v>50</v>
      </c>
      <c r="N18" s="38" t="str">
        <f t="shared" si="15"/>
        <v>2</v>
      </c>
      <c r="O18" s="37">
        <f t="shared" si="16"/>
        <v>0</v>
      </c>
      <c r="P18" s="37">
        <f t="shared" si="17"/>
        <v>35</v>
      </c>
      <c r="Q18" s="37">
        <f t="shared" si="18"/>
        <v>47</v>
      </c>
      <c r="R18" s="37">
        <f t="shared" si="19"/>
        <v>15</v>
      </c>
    </row>
    <row r="19" spans="1:18" ht="20.399999999999999">
      <c r="A19" s="15">
        <v>2</v>
      </c>
      <c r="B19" s="47" t="s">
        <v>278</v>
      </c>
      <c r="C19" s="47" t="s">
        <v>111</v>
      </c>
      <c r="D19" s="45" t="s">
        <v>273</v>
      </c>
      <c r="E19" s="45" t="s">
        <v>279</v>
      </c>
      <c r="F19" s="45" t="s">
        <v>280</v>
      </c>
      <c r="G19" s="34">
        <f t="shared" si="10"/>
        <v>20</v>
      </c>
      <c r="H19" s="35">
        <f t="shared" si="11"/>
        <v>16</v>
      </c>
      <c r="I19" s="35">
        <f t="shared" si="12"/>
        <v>6</v>
      </c>
      <c r="J19" s="36" t="str">
        <f t="shared" si="13"/>
        <v>2Moto Club - MA16</v>
      </c>
      <c r="K19" s="36" t="str">
        <f t="shared" si="14"/>
        <v>2Moto Club - MA6</v>
      </c>
      <c r="L19" s="37">
        <f>VLOOKUP(A19,'JOGOS BASE'!A:E,4,0)</f>
        <v>47</v>
      </c>
      <c r="M19" s="37">
        <f>VLOOKUP(A19,'JOGOS BASE'!A:E,5,0)</f>
        <v>50</v>
      </c>
      <c r="N19" s="38" t="str">
        <f t="shared" si="15"/>
        <v>2</v>
      </c>
      <c r="O19" s="37">
        <f t="shared" si="16"/>
        <v>0</v>
      </c>
      <c r="P19" s="37">
        <f t="shared" si="17"/>
        <v>30</v>
      </c>
      <c r="Q19" s="37">
        <f t="shared" si="18"/>
        <v>47</v>
      </c>
      <c r="R19" s="37">
        <f t="shared" si="19"/>
        <v>20</v>
      </c>
    </row>
    <row r="20" spans="1:18" ht="20.399999999999999">
      <c r="A20" s="15">
        <v>2</v>
      </c>
      <c r="B20" s="47" t="s">
        <v>281</v>
      </c>
      <c r="C20" s="47" t="s">
        <v>111</v>
      </c>
      <c r="D20" s="45" t="s">
        <v>273</v>
      </c>
      <c r="E20" s="45" t="s">
        <v>282</v>
      </c>
      <c r="F20" s="45" t="s">
        <v>283</v>
      </c>
      <c r="G20" s="34">
        <f t="shared" si="10"/>
        <v>24</v>
      </c>
      <c r="H20" s="35">
        <f t="shared" si="11"/>
        <v>17</v>
      </c>
      <c r="I20" s="35">
        <f t="shared" si="12"/>
        <v>3</v>
      </c>
      <c r="J20" s="36" t="str">
        <f t="shared" si="13"/>
        <v>2Moto Club - MA17</v>
      </c>
      <c r="K20" s="36" t="str">
        <f t="shared" si="14"/>
        <v>2Moto Club - MA3</v>
      </c>
      <c r="L20" s="37">
        <f>VLOOKUP(A20,'JOGOS BASE'!A:E,4,0)</f>
        <v>47</v>
      </c>
      <c r="M20" s="37">
        <f>VLOOKUP(A20,'JOGOS BASE'!A:E,5,0)</f>
        <v>50</v>
      </c>
      <c r="N20" s="38" t="str">
        <f t="shared" si="15"/>
        <v>2</v>
      </c>
      <c r="O20" s="37">
        <f t="shared" si="16"/>
        <v>0</v>
      </c>
      <c r="P20" s="37">
        <f t="shared" si="17"/>
        <v>26</v>
      </c>
      <c r="Q20" s="37">
        <f t="shared" si="18"/>
        <v>47</v>
      </c>
      <c r="R20" s="37">
        <f t="shared" si="19"/>
        <v>24</v>
      </c>
    </row>
    <row r="21" spans="1:18" ht="20.399999999999999">
      <c r="A21" s="15">
        <v>2</v>
      </c>
      <c r="B21" s="47" t="s">
        <v>281</v>
      </c>
      <c r="C21" s="47" t="s">
        <v>111</v>
      </c>
      <c r="D21" s="45" t="s">
        <v>273</v>
      </c>
      <c r="E21" s="45" t="s">
        <v>284</v>
      </c>
      <c r="F21" s="45" t="s">
        <v>285</v>
      </c>
      <c r="G21" s="34">
        <f t="shared" si="10"/>
        <v>24</v>
      </c>
      <c r="H21" s="35">
        <f t="shared" si="11"/>
        <v>20</v>
      </c>
      <c r="I21" s="35">
        <f t="shared" si="12"/>
        <v>8</v>
      </c>
      <c r="J21" s="36" t="str">
        <f t="shared" si="13"/>
        <v>2Moto Club - MA20</v>
      </c>
      <c r="K21" s="36" t="str">
        <f t="shared" si="14"/>
        <v>2Moto Club - MA8</v>
      </c>
      <c r="L21" s="37">
        <f>VLOOKUP(A21,'JOGOS BASE'!A:E,4,0)</f>
        <v>47</v>
      </c>
      <c r="M21" s="37">
        <f>VLOOKUP(A21,'JOGOS BASE'!A:E,5,0)</f>
        <v>50</v>
      </c>
      <c r="N21" s="38" t="str">
        <f t="shared" si="15"/>
        <v>2</v>
      </c>
      <c r="O21" s="37">
        <f t="shared" si="16"/>
        <v>0</v>
      </c>
      <c r="P21" s="37">
        <f t="shared" si="17"/>
        <v>26</v>
      </c>
      <c r="Q21" s="37">
        <f t="shared" si="18"/>
        <v>47</v>
      </c>
      <c r="R21" s="37">
        <f t="shared" si="19"/>
        <v>24</v>
      </c>
    </row>
    <row r="22" spans="1:18" ht="20.399999999999999">
      <c r="A22" s="15">
        <v>3</v>
      </c>
      <c r="B22" s="47" t="s">
        <v>367</v>
      </c>
      <c r="C22" s="47" t="s">
        <v>111</v>
      </c>
      <c r="D22" s="45" t="s">
        <v>368</v>
      </c>
      <c r="E22" s="45" t="s">
        <v>369</v>
      </c>
      <c r="F22" s="45" t="s">
        <v>370</v>
      </c>
      <c r="G22" s="34">
        <f t="shared" ref="G22:G27" si="20">VALUE(LEFT(B22,2))</f>
        <v>25</v>
      </c>
      <c r="H22" s="35">
        <f t="shared" ref="H22:H27" si="21">IF(VALUE(LEFT(E22,2))&lt;10,VALUE(LEFT(E22,1)),VALUE(LEFT(E22,2)))</f>
        <v>18</v>
      </c>
      <c r="I22" s="35">
        <f t="shared" ref="I22:I27" si="22">IF(VALUE(LEFT(F22,2))&lt;10,VALUE(LEFT(F22,1)),VALUE(LEFT(F22,2)))</f>
        <v>11</v>
      </c>
      <c r="J22" s="36" t="str">
        <f t="shared" ref="J22:J27" si="23">$A22&amp;$D22&amp;H22</f>
        <v>3Pinheiro - MA18</v>
      </c>
      <c r="K22" s="36" t="str">
        <f t="shared" ref="K22:K27" si="24">$A22&amp;$D22&amp;I22</f>
        <v>3Pinheiro - MA11</v>
      </c>
      <c r="L22" s="37">
        <f>VLOOKUP(A22,'JOGOS BASE'!A:E,4,0)</f>
        <v>50</v>
      </c>
      <c r="M22" s="37">
        <f>VLOOKUP(A22,'JOGOS BASE'!A:E,5,0)</f>
        <v>47</v>
      </c>
      <c r="N22" s="38" t="str">
        <f t="shared" ref="N22:N27" si="25">LEFT(C22,1)</f>
        <v>2</v>
      </c>
      <c r="O22" s="37">
        <f t="shared" ref="O22:O27" si="26">IF(N22="1",L22-G22,0)</f>
        <v>0</v>
      </c>
      <c r="P22" s="37">
        <f t="shared" ref="P22:P27" si="27">IF(N22="1",M22,IF(OR(N22="2",N22="I"),M22-G22,0))</f>
        <v>22</v>
      </c>
      <c r="Q22" s="37">
        <f t="shared" ref="Q22:Q27" si="28">IF(N22="1",G22,L22)</f>
        <v>50</v>
      </c>
      <c r="R22" s="37">
        <f t="shared" ref="R22:R27" si="29">IF(OR(N22="1",N22="I"),0,G22)</f>
        <v>25</v>
      </c>
    </row>
    <row r="23" spans="1:18" ht="20.399999999999999">
      <c r="A23" s="15">
        <v>3</v>
      </c>
      <c r="B23" s="47" t="s">
        <v>371</v>
      </c>
      <c r="C23" s="47" t="s">
        <v>111</v>
      </c>
      <c r="D23" s="45" t="s">
        <v>368</v>
      </c>
      <c r="E23" s="45" t="s">
        <v>372</v>
      </c>
      <c r="F23" s="45" t="s">
        <v>373</v>
      </c>
      <c r="G23" s="34">
        <f t="shared" si="20"/>
        <v>32</v>
      </c>
      <c r="H23" s="35">
        <f t="shared" si="21"/>
        <v>13</v>
      </c>
      <c r="I23" s="35">
        <f t="shared" si="22"/>
        <v>7</v>
      </c>
      <c r="J23" s="36" t="str">
        <f t="shared" si="23"/>
        <v>3Pinheiro - MA13</v>
      </c>
      <c r="K23" s="36" t="str">
        <f t="shared" si="24"/>
        <v>3Pinheiro - MA7</v>
      </c>
      <c r="L23" s="37">
        <f>VLOOKUP(A23,'JOGOS BASE'!A:E,4,0)</f>
        <v>50</v>
      </c>
      <c r="M23" s="37">
        <f>VLOOKUP(A23,'JOGOS BASE'!A:E,5,0)</f>
        <v>47</v>
      </c>
      <c r="N23" s="38" t="str">
        <f t="shared" si="25"/>
        <v>2</v>
      </c>
      <c r="O23" s="37">
        <f t="shared" si="26"/>
        <v>0</v>
      </c>
      <c r="P23" s="37">
        <f t="shared" si="27"/>
        <v>15</v>
      </c>
      <c r="Q23" s="37">
        <f t="shared" si="28"/>
        <v>50</v>
      </c>
      <c r="R23" s="37">
        <f t="shared" si="29"/>
        <v>32</v>
      </c>
    </row>
    <row r="24" spans="1:18" ht="20.399999999999999">
      <c r="A24" s="15">
        <v>3</v>
      </c>
      <c r="B24" s="47" t="s">
        <v>371</v>
      </c>
      <c r="C24" s="47" t="s">
        <v>111</v>
      </c>
      <c r="D24" s="45" t="s">
        <v>368</v>
      </c>
      <c r="E24" s="45" t="s">
        <v>374</v>
      </c>
      <c r="F24" s="45" t="s">
        <v>375</v>
      </c>
      <c r="G24" s="34">
        <f t="shared" si="20"/>
        <v>32</v>
      </c>
      <c r="H24" s="35">
        <f t="shared" si="21"/>
        <v>17</v>
      </c>
      <c r="I24" s="35">
        <f t="shared" si="22"/>
        <v>9</v>
      </c>
      <c r="J24" s="36" t="str">
        <f t="shared" si="23"/>
        <v>3Pinheiro - MA17</v>
      </c>
      <c r="K24" s="36" t="str">
        <f t="shared" si="24"/>
        <v>3Pinheiro - MA9</v>
      </c>
      <c r="L24" s="37">
        <f>VLOOKUP(A24,'JOGOS BASE'!A:E,4,0)</f>
        <v>50</v>
      </c>
      <c r="M24" s="37">
        <f>VLOOKUP(A24,'JOGOS BASE'!A:E,5,0)</f>
        <v>47</v>
      </c>
      <c r="N24" s="38" t="str">
        <f t="shared" si="25"/>
        <v>2</v>
      </c>
      <c r="O24" s="37">
        <f t="shared" si="26"/>
        <v>0</v>
      </c>
      <c r="P24" s="37">
        <f t="shared" si="27"/>
        <v>15</v>
      </c>
      <c r="Q24" s="37">
        <f t="shared" si="28"/>
        <v>50</v>
      </c>
      <c r="R24" s="37">
        <f t="shared" si="29"/>
        <v>32</v>
      </c>
    </row>
    <row r="25" spans="1:18" ht="20.399999999999999">
      <c r="A25" s="15">
        <v>3</v>
      </c>
      <c r="B25" s="47" t="s">
        <v>371</v>
      </c>
      <c r="C25" s="47" t="s">
        <v>111</v>
      </c>
      <c r="D25" s="45" t="s">
        <v>368</v>
      </c>
      <c r="E25" s="45" t="s">
        <v>376</v>
      </c>
      <c r="F25" s="45" t="s">
        <v>377</v>
      </c>
      <c r="G25" s="34">
        <f t="shared" si="20"/>
        <v>32</v>
      </c>
      <c r="H25" s="35">
        <f t="shared" si="21"/>
        <v>15</v>
      </c>
      <c r="I25" s="35">
        <f t="shared" si="22"/>
        <v>6</v>
      </c>
      <c r="J25" s="36" t="str">
        <f t="shared" si="23"/>
        <v>3Pinheiro - MA15</v>
      </c>
      <c r="K25" s="36" t="str">
        <f t="shared" si="24"/>
        <v>3Pinheiro - MA6</v>
      </c>
      <c r="L25" s="37">
        <f>VLOOKUP(A25,'JOGOS BASE'!A:E,4,0)</f>
        <v>50</v>
      </c>
      <c r="M25" s="37">
        <f>VLOOKUP(A25,'JOGOS BASE'!A:E,5,0)</f>
        <v>47</v>
      </c>
      <c r="N25" s="38" t="str">
        <f t="shared" si="25"/>
        <v>2</v>
      </c>
      <c r="O25" s="37">
        <f t="shared" si="26"/>
        <v>0</v>
      </c>
      <c r="P25" s="37">
        <f t="shared" si="27"/>
        <v>15</v>
      </c>
      <c r="Q25" s="37">
        <f t="shared" si="28"/>
        <v>50</v>
      </c>
      <c r="R25" s="37">
        <f t="shared" si="29"/>
        <v>32</v>
      </c>
    </row>
    <row r="26" spans="1:18" ht="20.399999999999999">
      <c r="A26" s="15">
        <v>3</v>
      </c>
      <c r="B26" s="47" t="s">
        <v>378</v>
      </c>
      <c r="C26" s="47" t="s">
        <v>141</v>
      </c>
      <c r="D26" s="45" t="s">
        <v>368</v>
      </c>
      <c r="E26" s="45" t="s">
        <v>379</v>
      </c>
      <c r="F26" s="45" t="s">
        <v>380</v>
      </c>
      <c r="G26" s="34">
        <f t="shared" si="20"/>
        <v>42</v>
      </c>
      <c r="H26" s="35">
        <f t="shared" si="21"/>
        <v>14</v>
      </c>
      <c r="I26" s="35">
        <f t="shared" si="22"/>
        <v>2</v>
      </c>
      <c r="J26" s="36" t="str">
        <f t="shared" si="23"/>
        <v>3Pinheiro - MA14</v>
      </c>
      <c r="K26" s="36" t="str">
        <f t="shared" si="24"/>
        <v>3Pinheiro - MA2</v>
      </c>
      <c r="L26" s="37">
        <f>VLOOKUP(A26,'JOGOS BASE'!A:E,4,0)</f>
        <v>50</v>
      </c>
      <c r="M26" s="37">
        <f>VLOOKUP(A26,'JOGOS BASE'!A:E,5,0)</f>
        <v>47</v>
      </c>
      <c r="N26" s="38" t="str">
        <f t="shared" si="25"/>
        <v>1</v>
      </c>
      <c r="O26" s="37">
        <f t="shared" si="26"/>
        <v>8</v>
      </c>
      <c r="P26" s="37">
        <f t="shared" si="27"/>
        <v>47</v>
      </c>
      <c r="Q26" s="37">
        <f t="shared" si="28"/>
        <v>42</v>
      </c>
      <c r="R26" s="37">
        <f t="shared" si="29"/>
        <v>0</v>
      </c>
    </row>
    <row r="27" spans="1:18" ht="20.399999999999999">
      <c r="A27" s="15">
        <v>3</v>
      </c>
      <c r="B27" s="47" t="s">
        <v>371</v>
      </c>
      <c r="C27" s="47" t="s">
        <v>111</v>
      </c>
      <c r="D27" s="45" t="s">
        <v>381</v>
      </c>
      <c r="E27" s="45" t="s">
        <v>382</v>
      </c>
      <c r="F27" s="45" t="s">
        <v>383</v>
      </c>
      <c r="G27" s="34">
        <f t="shared" si="20"/>
        <v>32</v>
      </c>
      <c r="H27" s="35">
        <f t="shared" si="21"/>
        <v>13</v>
      </c>
      <c r="I27" s="35">
        <f t="shared" si="22"/>
        <v>8</v>
      </c>
      <c r="J27" s="36" t="str">
        <f t="shared" si="23"/>
        <v>3Viana - MA13</v>
      </c>
      <c r="K27" s="36" t="str">
        <f t="shared" si="24"/>
        <v>3Viana - MA8</v>
      </c>
      <c r="L27" s="37">
        <f>VLOOKUP(A27,'JOGOS BASE'!A:E,4,0)</f>
        <v>50</v>
      </c>
      <c r="M27" s="37">
        <f>VLOOKUP(A27,'JOGOS BASE'!A:E,5,0)</f>
        <v>47</v>
      </c>
      <c r="N27" s="38" t="str">
        <f t="shared" si="25"/>
        <v>2</v>
      </c>
      <c r="O27" s="37">
        <f t="shared" si="26"/>
        <v>0</v>
      </c>
      <c r="P27" s="37">
        <f t="shared" si="27"/>
        <v>15</v>
      </c>
      <c r="Q27" s="37">
        <f t="shared" si="28"/>
        <v>50</v>
      </c>
      <c r="R27" s="37">
        <f t="shared" si="29"/>
        <v>32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3C967-6924-4AD5-9990-FE8F24AEC083}">
  <dimension ref="A1"/>
  <sheetViews>
    <sheetView workbookViewId="0">
      <selection activeCell="F26" sqref="F26"/>
    </sheetView>
  </sheetViews>
  <sheetFormatPr defaultRowHeight="14.4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Escalacao</vt:lpstr>
      <vt:lpstr>JOGOS BASE</vt:lpstr>
      <vt:lpstr>Cartoes</vt:lpstr>
      <vt:lpstr>Substituicoes</vt:lpstr>
      <vt:lpstr>Gols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Vilanova</dc:creator>
  <cp:lastModifiedBy>Andrew Vilanova</cp:lastModifiedBy>
  <dcterms:created xsi:type="dcterms:W3CDTF">2015-06-05T18:19:34Z</dcterms:created>
  <dcterms:modified xsi:type="dcterms:W3CDTF">2025-01-13T16:30:35Z</dcterms:modified>
</cp:coreProperties>
</file>