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J:\Projetos\streamlit_projectmulti\"/>
    </mc:Choice>
  </mc:AlternateContent>
  <xr:revisionPtr revIDLastSave="0" documentId="13_ncr:1_{720A7BDF-313D-4EE9-B13A-B1A1B87DA83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scalacao" sheetId="3" r:id="rId1"/>
    <sheet name="JOGOS BASE" sheetId="5" r:id="rId2"/>
    <sheet name="Cartoes" sheetId="6" r:id="rId3"/>
    <sheet name="Substituicoes" sheetId="4" r:id="rId4"/>
    <sheet name="Gols" sheetId="7" r:id="rId5"/>
  </sheets>
  <definedNames>
    <definedName name="_xlnm._FilterDatabase" localSheetId="0" hidden="1">Escalacao!$A$1:$M$117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5" i="6" l="1"/>
  <c r="J55" i="6"/>
  <c r="K55" i="6" s="1"/>
  <c r="N54" i="6"/>
  <c r="J54" i="6"/>
  <c r="K54" i="6" s="1"/>
  <c r="N53" i="6"/>
  <c r="J53" i="6"/>
  <c r="K53" i="6" s="1"/>
  <c r="N52" i="6"/>
  <c r="J52" i="6"/>
  <c r="K52" i="6" s="1"/>
  <c r="G55" i="6"/>
  <c r="G54" i="6"/>
  <c r="G53" i="6"/>
  <c r="G52" i="6"/>
  <c r="R326" i="3"/>
  <c r="Q326" i="3"/>
  <c r="J326" i="3"/>
  <c r="K326" i="3" s="1"/>
  <c r="I326" i="3"/>
  <c r="R325" i="3"/>
  <c r="Q325" i="3"/>
  <c r="J325" i="3"/>
  <c r="L325" i="3" s="1"/>
  <c r="I325" i="3"/>
  <c r="R324" i="3"/>
  <c r="Q324" i="3"/>
  <c r="J324" i="3"/>
  <c r="L324" i="3" s="1"/>
  <c r="I324" i="3"/>
  <c r="R323" i="3"/>
  <c r="Q323" i="3"/>
  <c r="J323" i="3"/>
  <c r="L323" i="3" s="1"/>
  <c r="I323" i="3"/>
  <c r="R322" i="3"/>
  <c r="Q322" i="3"/>
  <c r="L322" i="3"/>
  <c r="K322" i="3"/>
  <c r="N322" i="3" s="1"/>
  <c r="J322" i="3"/>
  <c r="I322" i="3"/>
  <c r="R321" i="3"/>
  <c r="Q321" i="3"/>
  <c r="J321" i="3"/>
  <c r="K321" i="3" s="1"/>
  <c r="I321" i="3"/>
  <c r="R320" i="3"/>
  <c r="Q320" i="3"/>
  <c r="J320" i="3"/>
  <c r="K320" i="3" s="1"/>
  <c r="I320" i="3"/>
  <c r="R319" i="3"/>
  <c r="Q319" i="3"/>
  <c r="J319" i="3"/>
  <c r="L319" i="3" s="1"/>
  <c r="I319" i="3"/>
  <c r="R318" i="3"/>
  <c r="Q318" i="3"/>
  <c r="J318" i="3"/>
  <c r="K318" i="3" s="1"/>
  <c r="I318" i="3"/>
  <c r="R317" i="3"/>
  <c r="Q317" i="3"/>
  <c r="J317" i="3"/>
  <c r="L317" i="3" s="1"/>
  <c r="I317" i="3"/>
  <c r="R316" i="3"/>
  <c r="Q316" i="3"/>
  <c r="J316" i="3"/>
  <c r="K316" i="3" s="1"/>
  <c r="I316" i="3"/>
  <c r="R315" i="3"/>
  <c r="Q315" i="3"/>
  <c r="J315" i="3"/>
  <c r="L315" i="3" s="1"/>
  <c r="I315" i="3"/>
  <c r="R314" i="3"/>
  <c r="Q314" i="3"/>
  <c r="L314" i="3"/>
  <c r="K314" i="3"/>
  <c r="M314" i="3" s="1"/>
  <c r="J314" i="3"/>
  <c r="I314" i="3"/>
  <c r="R313" i="3"/>
  <c r="Q313" i="3"/>
  <c r="J313" i="3"/>
  <c r="L313" i="3" s="1"/>
  <c r="I313" i="3"/>
  <c r="R312" i="3"/>
  <c r="Q312" i="3"/>
  <c r="J312" i="3"/>
  <c r="K312" i="3" s="1"/>
  <c r="I312" i="3"/>
  <c r="R311" i="3"/>
  <c r="Q311" i="3"/>
  <c r="J311" i="3"/>
  <c r="K311" i="3" s="1"/>
  <c r="I311" i="3"/>
  <c r="R310" i="3"/>
  <c r="Q310" i="3"/>
  <c r="J310" i="3"/>
  <c r="K310" i="3" s="1"/>
  <c r="I310" i="3"/>
  <c r="R309" i="3"/>
  <c r="Q309" i="3"/>
  <c r="J309" i="3"/>
  <c r="L309" i="3" s="1"/>
  <c r="I309" i="3"/>
  <c r="R308" i="3"/>
  <c r="Q308" i="3"/>
  <c r="J308" i="3"/>
  <c r="L308" i="3" s="1"/>
  <c r="I308" i="3"/>
  <c r="R307" i="3"/>
  <c r="Q307" i="3"/>
  <c r="J307" i="3"/>
  <c r="K307" i="3" s="1"/>
  <c r="I307" i="3"/>
  <c r="R306" i="3"/>
  <c r="Q306" i="3"/>
  <c r="L306" i="3"/>
  <c r="K306" i="3"/>
  <c r="O306" i="3" s="1"/>
  <c r="J306" i="3"/>
  <c r="I306" i="3"/>
  <c r="R305" i="3"/>
  <c r="Q305" i="3"/>
  <c r="J305" i="3"/>
  <c r="L305" i="3" s="1"/>
  <c r="I305" i="3"/>
  <c r="R304" i="3"/>
  <c r="Q304" i="3"/>
  <c r="J304" i="3"/>
  <c r="L304" i="3" s="1"/>
  <c r="I304" i="3"/>
  <c r="R303" i="3"/>
  <c r="Q303" i="3"/>
  <c r="J303" i="3"/>
  <c r="K303" i="3" s="1"/>
  <c r="I303" i="3"/>
  <c r="R302" i="3"/>
  <c r="Q302" i="3"/>
  <c r="J302" i="3"/>
  <c r="L302" i="3" s="1"/>
  <c r="I302" i="3"/>
  <c r="R301" i="3"/>
  <c r="Q301" i="3"/>
  <c r="J301" i="3"/>
  <c r="L301" i="3" s="1"/>
  <c r="I301" i="3"/>
  <c r="R300" i="3"/>
  <c r="Q300" i="3"/>
  <c r="J300" i="3"/>
  <c r="L300" i="3" s="1"/>
  <c r="I300" i="3"/>
  <c r="R299" i="3"/>
  <c r="Q299" i="3"/>
  <c r="J299" i="3"/>
  <c r="K299" i="3" s="1"/>
  <c r="I299" i="3"/>
  <c r="R298" i="3"/>
  <c r="Q298" i="3"/>
  <c r="L298" i="3"/>
  <c r="K298" i="3"/>
  <c r="J298" i="3"/>
  <c r="I298" i="3"/>
  <c r="R297" i="3"/>
  <c r="Q297" i="3"/>
  <c r="J297" i="3"/>
  <c r="L297" i="3" s="1"/>
  <c r="I297" i="3"/>
  <c r="R296" i="3"/>
  <c r="Q296" i="3"/>
  <c r="J296" i="3"/>
  <c r="K296" i="3" s="1"/>
  <c r="I296" i="3"/>
  <c r="R295" i="3"/>
  <c r="Q295" i="3"/>
  <c r="J295" i="3"/>
  <c r="L295" i="3" s="1"/>
  <c r="I295" i="3"/>
  <c r="R294" i="3"/>
  <c r="Q294" i="3"/>
  <c r="J294" i="3"/>
  <c r="L294" i="3" s="1"/>
  <c r="I294" i="3"/>
  <c r="R293" i="3"/>
  <c r="Q293" i="3"/>
  <c r="J293" i="3"/>
  <c r="L293" i="3" s="1"/>
  <c r="I293" i="3"/>
  <c r="R292" i="3"/>
  <c r="Q292" i="3"/>
  <c r="J292" i="3"/>
  <c r="L292" i="3" s="1"/>
  <c r="I292" i="3"/>
  <c r="R291" i="3"/>
  <c r="Q291" i="3"/>
  <c r="J291" i="3"/>
  <c r="L291" i="3" s="1"/>
  <c r="I291" i="3"/>
  <c r="N72" i="4"/>
  <c r="R72" i="4" s="1"/>
  <c r="M72" i="4"/>
  <c r="L72" i="4"/>
  <c r="I72" i="4"/>
  <c r="K72" i="4" s="1"/>
  <c r="H72" i="4"/>
  <c r="J72" i="4" s="1"/>
  <c r="G72" i="4"/>
  <c r="R71" i="4"/>
  <c r="Q71" i="4"/>
  <c r="P71" i="4"/>
  <c r="O71" i="4"/>
  <c r="N71" i="4"/>
  <c r="M71" i="4"/>
  <c r="L71" i="4"/>
  <c r="I71" i="4"/>
  <c r="K71" i="4" s="1"/>
  <c r="H71" i="4"/>
  <c r="J71" i="4" s="1"/>
  <c r="G71" i="4"/>
  <c r="N70" i="4"/>
  <c r="Q70" i="4" s="1"/>
  <c r="M70" i="4"/>
  <c r="L70" i="4"/>
  <c r="K70" i="4"/>
  <c r="I70" i="4"/>
  <c r="H70" i="4"/>
  <c r="J70" i="4" s="1"/>
  <c r="G70" i="4"/>
  <c r="N69" i="4"/>
  <c r="R69" i="4" s="1"/>
  <c r="M69" i="4"/>
  <c r="L69" i="4"/>
  <c r="I69" i="4"/>
  <c r="K69" i="4" s="1"/>
  <c r="H69" i="4"/>
  <c r="J69" i="4" s="1"/>
  <c r="G69" i="4"/>
  <c r="N68" i="4"/>
  <c r="R68" i="4" s="1"/>
  <c r="M68" i="4"/>
  <c r="L68" i="4"/>
  <c r="I68" i="4"/>
  <c r="K68" i="4" s="1"/>
  <c r="H68" i="4"/>
  <c r="J68" i="4" s="1"/>
  <c r="G68" i="4"/>
  <c r="R67" i="4"/>
  <c r="Q67" i="4"/>
  <c r="P67" i="4"/>
  <c r="O67" i="4"/>
  <c r="N67" i="4"/>
  <c r="M67" i="4"/>
  <c r="L67" i="4"/>
  <c r="I67" i="4"/>
  <c r="K67" i="4" s="1"/>
  <c r="H67" i="4"/>
  <c r="J67" i="4" s="1"/>
  <c r="G67" i="4"/>
  <c r="N66" i="4"/>
  <c r="O66" i="4" s="1"/>
  <c r="M66" i="4"/>
  <c r="L66" i="4"/>
  <c r="K66" i="4"/>
  <c r="I66" i="4"/>
  <c r="H66" i="4"/>
  <c r="J66" i="4" s="1"/>
  <c r="G66" i="4"/>
  <c r="N65" i="4"/>
  <c r="R65" i="4" s="1"/>
  <c r="M65" i="4"/>
  <c r="L65" i="4"/>
  <c r="I65" i="4"/>
  <c r="K65" i="4" s="1"/>
  <c r="H65" i="4"/>
  <c r="J65" i="4" s="1"/>
  <c r="G65" i="4"/>
  <c r="H9" i="5"/>
  <c r="E9" i="5"/>
  <c r="D9" i="5"/>
  <c r="J43" i="6"/>
  <c r="K43" i="6" s="1"/>
  <c r="J44" i="6"/>
  <c r="K44" i="6" s="1"/>
  <c r="J45" i="6"/>
  <c r="K45" i="6"/>
  <c r="L45" i="6" s="1"/>
  <c r="J46" i="6"/>
  <c r="K46" i="6" s="1"/>
  <c r="J47" i="6"/>
  <c r="K47" i="6"/>
  <c r="L47" i="6" s="1"/>
  <c r="N47" i="6"/>
  <c r="J48" i="6"/>
  <c r="K48" i="6"/>
  <c r="L48" i="6" s="1"/>
  <c r="J49" i="6"/>
  <c r="K49" i="6"/>
  <c r="L49" i="6" s="1"/>
  <c r="J50" i="6"/>
  <c r="K50" i="6"/>
  <c r="L50" i="6" s="1"/>
  <c r="M50" i="6"/>
  <c r="J51" i="6"/>
  <c r="K51" i="6"/>
  <c r="L51" i="6" s="1"/>
  <c r="N51" i="6"/>
  <c r="G43" i="6"/>
  <c r="G44" i="6"/>
  <c r="G45" i="6"/>
  <c r="G46" i="6"/>
  <c r="G47" i="6"/>
  <c r="G48" i="6"/>
  <c r="G49" i="6"/>
  <c r="G50" i="6"/>
  <c r="G51" i="6"/>
  <c r="G57" i="4"/>
  <c r="H57" i="4"/>
  <c r="I57" i="4"/>
  <c r="J57" i="4"/>
  <c r="K57" i="4"/>
  <c r="L57" i="4"/>
  <c r="M57" i="4"/>
  <c r="N57" i="4"/>
  <c r="O57" i="4"/>
  <c r="P57" i="4"/>
  <c r="Q57" i="4"/>
  <c r="R57" i="4"/>
  <c r="G58" i="4"/>
  <c r="H58" i="4"/>
  <c r="I58" i="4"/>
  <c r="K58" i="4" s="1"/>
  <c r="J58" i="4"/>
  <c r="L58" i="4"/>
  <c r="Q58" i="4" s="1"/>
  <c r="M58" i="4"/>
  <c r="N58" i="4"/>
  <c r="O58" i="4"/>
  <c r="G59" i="4"/>
  <c r="H59" i="4"/>
  <c r="I59" i="4"/>
  <c r="J59" i="4"/>
  <c r="K59" i="4"/>
  <c r="L59" i="4"/>
  <c r="M59" i="4"/>
  <c r="N59" i="4"/>
  <c r="G60" i="4"/>
  <c r="H60" i="4"/>
  <c r="I60" i="4"/>
  <c r="J60" i="4"/>
  <c r="K60" i="4"/>
  <c r="L60" i="4"/>
  <c r="Q60" i="4" s="1"/>
  <c r="M60" i="4"/>
  <c r="N60" i="4"/>
  <c r="O60" i="4"/>
  <c r="P60" i="4"/>
  <c r="R60" i="4"/>
  <c r="G61" i="4"/>
  <c r="H61" i="4"/>
  <c r="I61" i="4"/>
  <c r="J61" i="4"/>
  <c r="K61" i="4"/>
  <c r="L61" i="4"/>
  <c r="Q61" i="4" s="1"/>
  <c r="M61" i="4"/>
  <c r="P61" i="4" s="1"/>
  <c r="N61" i="4"/>
  <c r="O61" i="4"/>
  <c r="R61" i="4"/>
  <c r="G62" i="4"/>
  <c r="H62" i="4"/>
  <c r="I62" i="4"/>
  <c r="K62" i="4" s="1"/>
  <c r="J62" i="4"/>
  <c r="L62" i="4"/>
  <c r="M62" i="4"/>
  <c r="N62" i="4"/>
  <c r="O62" i="4"/>
  <c r="Q62" i="4"/>
  <c r="R62" i="4"/>
  <c r="G63" i="4"/>
  <c r="H63" i="4"/>
  <c r="I63" i="4"/>
  <c r="J63" i="4"/>
  <c r="K63" i="4"/>
  <c r="L63" i="4"/>
  <c r="M63" i="4"/>
  <c r="N63" i="4"/>
  <c r="G64" i="4"/>
  <c r="H64" i="4"/>
  <c r="I64" i="4"/>
  <c r="J64" i="4"/>
  <c r="K64" i="4"/>
  <c r="L64" i="4"/>
  <c r="M64" i="4"/>
  <c r="N64" i="4"/>
  <c r="O64" i="4"/>
  <c r="P64" i="4"/>
  <c r="Q64" i="4"/>
  <c r="R64" i="4"/>
  <c r="I249" i="3"/>
  <c r="J249" i="3"/>
  <c r="Q249" i="3"/>
  <c r="R249" i="3"/>
  <c r="N43" i="6" s="1"/>
  <c r="I250" i="3"/>
  <c r="J250" i="3"/>
  <c r="Q250" i="3"/>
  <c r="R250" i="3"/>
  <c r="I251" i="3"/>
  <c r="J251" i="3"/>
  <c r="Q251" i="3"/>
  <c r="R251" i="3"/>
  <c r="I252" i="3"/>
  <c r="J252" i="3"/>
  <c r="Q252" i="3"/>
  <c r="R252" i="3"/>
  <c r="I253" i="3"/>
  <c r="J253" i="3"/>
  <c r="Q253" i="3"/>
  <c r="R253" i="3"/>
  <c r="I254" i="3"/>
  <c r="J254" i="3"/>
  <c r="Q254" i="3"/>
  <c r="R254" i="3"/>
  <c r="I255" i="3"/>
  <c r="J255" i="3"/>
  <c r="Q255" i="3"/>
  <c r="R255" i="3"/>
  <c r="I256" i="3"/>
  <c r="J256" i="3"/>
  <c r="Q256" i="3"/>
  <c r="R256" i="3"/>
  <c r="I257" i="3"/>
  <c r="J257" i="3"/>
  <c r="L257" i="3"/>
  <c r="Q257" i="3"/>
  <c r="R257" i="3"/>
  <c r="I258" i="3"/>
  <c r="J258" i="3"/>
  <c r="Q258" i="3"/>
  <c r="R258" i="3"/>
  <c r="I259" i="3"/>
  <c r="J259" i="3"/>
  <c r="Q259" i="3"/>
  <c r="R259" i="3"/>
  <c r="I260" i="3"/>
  <c r="J260" i="3"/>
  <c r="Q260" i="3"/>
  <c r="R260" i="3"/>
  <c r="I261" i="3"/>
  <c r="J261" i="3"/>
  <c r="Q261" i="3"/>
  <c r="R261" i="3"/>
  <c r="I262" i="3"/>
  <c r="J262" i="3"/>
  <c r="Q262" i="3"/>
  <c r="R262" i="3"/>
  <c r="I263" i="3"/>
  <c r="J263" i="3"/>
  <c r="Q263" i="3"/>
  <c r="R263" i="3"/>
  <c r="I264" i="3"/>
  <c r="J264" i="3"/>
  <c r="Q264" i="3"/>
  <c r="R264" i="3"/>
  <c r="I265" i="3"/>
  <c r="J265" i="3"/>
  <c r="Q265" i="3"/>
  <c r="R265" i="3"/>
  <c r="I266" i="3"/>
  <c r="J266" i="3"/>
  <c r="Q266" i="3"/>
  <c r="R266" i="3"/>
  <c r="I267" i="3"/>
  <c r="J267" i="3"/>
  <c r="Q267" i="3"/>
  <c r="R267" i="3"/>
  <c r="I268" i="3"/>
  <c r="J268" i="3"/>
  <c r="Q268" i="3"/>
  <c r="R268" i="3"/>
  <c r="I269" i="3"/>
  <c r="J269" i="3"/>
  <c r="Q269" i="3"/>
  <c r="R269" i="3"/>
  <c r="I270" i="3"/>
  <c r="J270" i="3"/>
  <c r="K270" i="3" s="1"/>
  <c r="Q270" i="3"/>
  <c r="R270" i="3"/>
  <c r="I271" i="3"/>
  <c r="J271" i="3"/>
  <c r="Q271" i="3"/>
  <c r="R271" i="3"/>
  <c r="I272" i="3"/>
  <c r="J272" i="3"/>
  <c r="Q272" i="3"/>
  <c r="R272" i="3"/>
  <c r="I273" i="3"/>
  <c r="J273" i="3"/>
  <c r="Q273" i="3"/>
  <c r="R273" i="3"/>
  <c r="I274" i="3"/>
  <c r="J274" i="3"/>
  <c r="Q274" i="3"/>
  <c r="R274" i="3"/>
  <c r="I275" i="3"/>
  <c r="J275" i="3"/>
  <c r="Q275" i="3"/>
  <c r="R275" i="3"/>
  <c r="I276" i="3"/>
  <c r="J276" i="3"/>
  <c r="Q276" i="3"/>
  <c r="R276" i="3"/>
  <c r="I277" i="3"/>
  <c r="J277" i="3"/>
  <c r="Q277" i="3"/>
  <c r="R277" i="3"/>
  <c r="I278" i="3"/>
  <c r="J278" i="3"/>
  <c r="Q278" i="3"/>
  <c r="R278" i="3"/>
  <c r="I279" i="3"/>
  <c r="J279" i="3"/>
  <c r="Q279" i="3"/>
  <c r="R279" i="3"/>
  <c r="I280" i="3"/>
  <c r="J280" i="3"/>
  <c r="Q280" i="3"/>
  <c r="R280" i="3"/>
  <c r="I281" i="3"/>
  <c r="J281" i="3"/>
  <c r="Q281" i="3"/>
  <c r="R281" i="3"/>
  <c r="I282" i="3"/>
  <c r="J282" i="3"/>
  <c r="Q282" i="3"/>
  <c r="R282" i="3"/>
  <c r="I283" i="3"/>
  <c r="J283" i="3"/>
  <c r="Q283" i="3"/>
  <c r="R283" i="3"/>
  <c r="I284" i="3"/>
  <c r="J284" i="3"/>
  <c r="Q284" i="3"/>
  <c r="R284" i="3"/>
  <c r="I285" i="3"/>
  <c r="J285" i="3"/>
  <c r="Q285" i="3"/>
  <c r="R285" i="3"/>
  <c r="I286" i="3"/>
  <c r="J286" i="3"/>
  <c r="Q286" i="3"/>
  <c r="R286" i="3"/>
  <c r="I287" i="3"/>
  <c r="J287" i="3"/>
  <c r="Q287" i="3"/>
  <c r="R287" i="3"/>
  <c r="I288" i="3"/>
  <c r="J288" i="3"/>
  <c r="Q288" i="3"/>
  <c r="R288" i="3"/>
  <c r="I289" i="3"/>
  <c r="J289" i="3"/>
  <c r="Q289" i="3"/>
  <c r="R289" i="3"/>
  <c r="I290" i="3"/>
  <c r="J290" i="3"/>
  <c r="Q290" i="3"/>
  <c r="R290" i="3"/>
  <c r="E8" i="5"/>
  <c r="D8" i="5"/>
  <c r="H8" i="5"/>
  <c r="I205" i="3"/>
  <c r="J205" i="3"/>
  <c r="Q205" i="3"/>
  <c r="R205" i="3"/>
  <c r="N36" i="6" s="1"/>
  <c r="I206" i="3"/>
  <c r="J206" i="3"/>
  <c r="L206" i="3"/>
  <c r="Q206" i="3"/>
  <c r="R206" i="3"/>
  <c r="I207" i="3"/>
  <c r="J207" i="3"/>
  <c r="Q207" i="3"/>
  <c r="K39" i="6" s="1"/>
  <c r="L39" i="6" s="1"/>
  <c r="R207" i="3"/>
  <c r="I208" i="3"/>
  <c r="J208" i="3"/>
  <c r="Q208" i="3"/>
  <c r="R208" i="3"/>
  <c r="I209" i="3"/>
  <c r="J209" i="3"/>
  <c r="Q209" i="3"/>
  <c r="K33" i="6" s="1"/>
  <c r="L33" i="6" s="1"/>
  <c r="R209" i="3"/>
  <c r="I210" i="3"/>
  <c r="J210" i="3"/>
  <c r="Q210" i="3"/>
  <c r="R210" i="3"/>
  <c r="I211" i="3"/>
  <c r="J211" i="3"/>
  <c r="Q211" i="3"/>
  <c r="R211" i="3"/>
  <c r="I212" i="3"/>
  <c r="J212" i="3"/>
  <c r="L212" i="3"/>
  <c r="Q212" i="3"/>
  <c r="R212" i="3"/>
  <c r="I213" i="3"/>
  <c r="J213" i="3"/>
  <c r="Q213" i="3"/>
  <c r="R213" i="3"/>
  <c r="I214" i="3"/>
  <c r="J214" i="3"/>
  <c r="L214" i="3"/>
  <c r="Q214" i="3"/>
  <c r="R214" i="3"/>
  <c r="I215" i="3"/>
  <c r="J215" i="3"/>
  <c r="Q215" i="3"/>
  <c r="R215" i="3"/>
  <c r="I216" i="3"/>
  <c r="J216" i="3"/>
  <c r="K216" i="3" s="1"/>
  <c r="Q216" i="3"/>
  <c r="R216" i="3"/>
  <c r="I217" i="3"/>
  <c r="J217" i="3"/>
  <c r="K217" i="3"/>
  <c r="Q217" i="3"/>
  <c r="R217" i="3"/>
  <c r="I218" i="3"/>
  <c r="J218" i="3"/>
  <c r="Q218" i="3"/>
  <c r="R218" i="3"/>
  <c r="I219" i="3"/>
  <c r="J219" i="3"/>
  <c r="Q219" i="3"/>
  <c r="R219" i="3"/>
  <c r="I220" i="3"/>
  <c r="J220" i="3"/>
  <c r="Q220" i="3"/>
  <c r="R220" i="3"/>
  <c r="I221" i="3"/>
  <c r="J221" i="3"/>
  <c r="Q221" i="3"/>
  <c r="R221" i="3"/>
  <c r="I222" i="3"/>
  <c r="J222" i="3"/>
  <c r="Q222" i="3"/>
  <c r="R222" i="3"/>
  <c r="I223" i="3"/>
  <c r="J223" i="3"/>
  <c r="K223" i="3"/>
  <c r="Q223" i="3"/>
  <c r="R223" i="3"/>
  <c r="I224" i="3"/>
  <c r="J224" i="3"/>
  <c r="K224" i="3" s="1"/>
  <c r="Q224" i="3"/>
  <c r="R224" i="3"/>
  <c r="I225" i="3"/>
  <c r="J225" i="3"/>
  <c r="K225" i="3"/>
  <c r="Q225" i="3"/>
  <c r="R225" i="3"/>
  <c r="I226" i="3"/>
  <c r="J226" i="3"/>
  <c r="Q226" i="3"/>
  <c r="R226" i="3"/>
  <c r="I227" i="3"/>
  <c r="J227" i="3"/>
  <c r="Q227" i="3"/>
  <c r="R227" i="3"/>
  <c r="I228" i="3"/>
  <c r="J228" i="3"/>
  <c r="Q228" i="3"/>
  <c r="R228" i="3"/>
  <c r="I229" i="3"/>
  <c r="J229" i="3"/>
  <c r="Q229" i="3"/>
  <c r="R229" i="3"/>
  <c r="I230" i="3"/>
  <c r="J230" i="3"/>
  <c r="Q230" i="3"/>
  <c r="R230" i="3"/>
  <c r="I231" i="3"/>
  <c r="J231" i="3"/>
  <c r="Q231" i="3"/>
  <c r="R231" i="3"/>
  <c r="I232" i="3"/>
  <c r="J232" i="3"/>
  <c r="Q232" i="3"/>
  <c r="R232" i="3"/>
  <c r="I233" i="3"/>
  <c r="J233" i="3"/>
  <c r="L233" i="3"/>
  <c r="Q233" i="3"/>
  <c r="R233" i="3"/>
  <c r="I234" i="3"/>
  <c r="J234" i="3"/>
  <c r="L234" i="3" s="1"/>
  <c r="Q234" i="3"/>
  <c r="R234" i="3"/>
  <c r="I235" i="3"/>
  <c r="J235" i="3"/>
  <c r="L235" i="3"/>
  <c r="Q235" i="3"/>
  <c r="R235" i="3"/>
  <c r="I236" i="3"/>
  <c r="J236" i="3"/>
  <c r="L236" i="3"/>
  <c r="Q236" i="3"/>
  <c r="R236" i="3"/>
  <c r="I237" i="3"/>
  <c r="J237" i="3"/>
  <c r="Q237" i="3"/>
  <c r="R237" i="3"/>
  <c r="I238" i="3"/>
  <c r="J238" i="3"/>
  <c r="Q238" i="3"/>
  <c r="R238" i="3"/>
  <c r="I239" i="3"/>
  <c r="J239" i="3"/>
  <c r="K239" i="3"/>
  <c r="Q239" i="3"/>
  <c r="R239" i="3"/>
  <c r="I240" i="3"/>
  <c r="J240" i="3"/>
  <c r="Q240" i="3"/>
  <c r="R240" i="3"/>
  <c r="I241" i="3"/>
  <c r="J241" i="3"/>
  <c r="Q241" i="3"/>
  <c r="R241" i="3"/>
  <c r="I242" i="3"/>
  <c r="J242" i="3"/>
  <c r="K242" i="3"/>
  <c r="Q242" i="3"/>
  <c r="R242" i="3"/>
  <c r="I243" i="3"/>
  <c r="J243" i="3"/>
  <c r="K243" i="3"/>
  <c r="Q243" i="3"/>
  <c r="R243" i="3"/>
  <c r="I244" i="3"/>
  <c r="J244" i="3"/>
  <c r="Q244" i="3"/>
  <c r="R244" i="3"/>
  <c r="I245" i="3"/>
  <c r="J245" i="3"/>
  <c r="K245" i="3" s="1"/>
  <c r="Q245" i="3"/>
  <c r="R245" i="3"/>
  <c r="I246" i="3"/>
  <c r="J246" i="3"/>
  <c r="Q246" i="3"/>
  <c r="R246" i="3"/>
  <c r="I247" i="3"/>
  <c r="J247" i="3"/>
  <c r="K247" i="3"/>
  <c r="Q247" i="3"/>
  <c r="R247" i="3"/>
  <c r="I248" i="3"/>
  <c r="J248" i="3"/>
  <c r="Q248" i="3"/>
  <c r="R248" i="3"/>
  <c r="J32" i="6"/>
  <c r="J33" i="6"/>
  <c r="J34" i="6"/>
  <c r="K34" i="6" s="1"/>
  <c r="J35" i="6"/>
  <c r="K35" i="6" s="1"/>
  <c r="J36" i="6"/>
  <c r="J37" i="6"/>
  <c r="J38" i="6"/>
  <c r="J39" i="6"/>
  <c r="J40" i="6"/>
  <c r="K40" i="6"/>
  <c r="M40" i="6" s="1"/>
  <c r="J41" i="6"/>
  <c r="J42" i="6"/>
  <c r="G32" i="6"/>
  <c r="G33" i="6"/>
  <c r="G34" i="6"/>
  <c r="G35" i="6"/>
  <c r="G36" i="6"/>
  <c r="G37" i="6"/>
  <c r="G38" i="6"/>
  <c r="G39" i="6"/>
  <c r="G40" i="6"/>
  <c r="G41" i="6"/>
  <c r="G42" i="6"/>
  <c r="N56" i="4"/>
  <c r="R56" i="4" s="1"/>
  <c r="M56" i="4"/>
  <c r="L56" i="4"/>
  <c r="I56" i="4"/>
  <c r="K56" i="4" s="1"/>
  <c r="H56" i="4"/>
  <c r="J56" i="4" s="1"/>
  <c r="G56" i="4"/>
  <c r="R55" i="4"/>
  <c r="O55" i="4"/>
  <c r="N55" i="4"/>
  <c r="M55" i="4"/>
  <c r="P55" i="4" s="1"/>
  <c r="L55" i="4"/>
  <c r="Q55" i="4" s="1"/>
  <c r="I55" i="4"/>
  <c r="K55" i="4" s="1"/>
  <c r="H55" i="4"/>
  <c r="J55" i="4" s="1"/>
  <c r="G55" i="4"/>
  <c r="N54" i="4"/>
  <c r="M54" i="4"/>
  <c r="L54" i="4"/>
  <c r="K54" i="4"/>
  <c r="I54" i="4"/>
  <c r="H54" i="4"/>
  <c r="J54" i="4" s="1"/>
  <c r="G54" i="4"/>
  <c r="N53" i="4"/>
  <c r="M53" i="4"/>
  <c r="L53" i="4"/>
  <c r="I53" i="4"/>
  <c r="K53" i="4" s="1"/>
  <c r="H53" i="4"/>
  <c r="J53" i="4" s="1"/>
  <c r="G53" i="4"/>
  <c r="N52" i="4"/>
  <c r="R52" i="4" s="1"/>
  <c r="M52" i="4"/>
  <c r="L52" i="4"/>
  <c r="I52" i="4"/>
  <c r="K52" i="4" s="1"/>
  <c r="H52" i="4"/>
  <c r="J52" i="4" s="1"/>
  <c r="G52" i="4"/>
  <c r="R51" i="4"/>
  <c r="O51" i="4"/>
  <c r="N51" i="4"/>
  <c r="M51" i="4"/>
  <c r="P51" i="4" s="1"/>
  <c r="L51" i="4"/>
  <c r="Q51" i="4" s="1"/>
  <c r="I51" i="4"/>
  <c r="K51" i="4" s="1"/>
  <c r="H51" i="4"/>
  <c r="J51" i="4" s="1"/>
  <c r="G51" i="4"/>
  <c r="N50" i="4"/>
  <c r="M50" i="4"/>
  <c r="L50" i="4"/>
  <c r="K50" i="4"/>
  <c r="I50" i="4"/>
  <c r="H50" i="4"/>
  <c r="J50" i="4" s="1"/>
  <c r="G50" i="4"/>
  <c r="N49" i="4"/>
  <c r="M49" i="4"/>
  <c r="L49" i="4"/>
  <c r="I49" i="4"/>
  <c r="K49" i="4" s="1"/>
  <c r="H49" i="4"/>
  <c r="J49" i="4" s="1"/>
  <c r="G49" i="4"/>
  <c r="N48" i="4"/>
  <c r="R48" i="4" s="1"/>
  <c r="M48" i="4"/>
  <c r="L48" i="4"/>
  <c r="I48" i="4"/>
  <c r="K48" i="4" s="1"/>
  <c r="H48" i="4"/>
  <c r="J48" i="4" s="1"/>
  <c r="G48" i="4"/>
  <c r="R47" i="4"/>
  <c r="Q47" i="4"/>
  <c r="N47" i="4"/>
  <c r="M47" i="4"/>
  <c r="P47" i="4" s="1"/>
  <c r="L47" i="4"/>
  <c r="O47" i="4" s="1"/>
  <c r="I47" i="4"/>
  <c r="K47" i="4" s="1"/>
  <c r="H47" i="4"/>
  <c r="J47" i="4" s="1"/>
  <c r="G47" i="4"/>
  <c r="J28" i="6"/>
  <c r="K28" i="6" s="1"/>
  <c r="J29" i="6"/>
  <c r="K29" i="6" s="1"/>
  <c r="L29" i="6" s="1"/>
  <c r="J30" i="6"/>
  <c r="K30" i="6" s="1"/>
  <c r="J31" i="6"/>
  <c r="K31" i="6" s="1"/>
  <c r="G28" i="6"/>
  <c r="G29" i="6"/>
  <c r="G30" i="6"/>
  <c r="G31" i="6"/>
  <c r="I159" i="3"/>
  <c r="J159" i="3"/>
  <c r="Q159" i="3"/>
  <c r="I160" i="3"/>
  <c r="J160" i="3"/>
  <c r="Q160" i="3"/>
  <c r="I161" i="3"/>
  <c r="J161" i="3"/>
  <c r="Q161" i="3"/>
  <c r="I162" i="3"/>
  <c r="J162" i="3"/>
  <c r="Q162" i="3"/>
  <c r="I163" i="3"/>
  <c r="J163" i="3"/>
  <c r="Q163" i="3"/>
  <c r="I164" i="3"/>
  <c r="J164" i="3"/>
  <c r="L164" i="3"/>
  <c r="Q164" i="3"/>
  <c r="I165" i="3"/>
  <c r="J165" i="3"/>
  <c r="L165" i="3"/>
  <c r="Q165" i="3"/>
  <c r="I166" i="3"/>
  <c r="J166" i="3"/>
  <c r="L166" i="3"/>
  <c r="Q166" i="3"/>
  <c r="I167" i="3"/>
  <c r="J167" i="3"/>
  <c r="L167" i="3"/>
  <c r="Q167" i="3"/>
  <c r="I168" i="3"/>
  <c r="J168" i="3"/>
  <c r="Q168" i="3"/>
  <c r="I169" i="3"/>
  <c r="J169" i="3"/>
  <c r="L169" i="3"/>
  <c r="Q169" i="3"/>
  <c r="R169" i="3"/>
  <c r="I170" i="3"/>
  <c r="J170" i="3"/>
  <c r="Q170" i="3"/>
  <c r="R170" i="3"/>
  <c r="I171" i="3"/>
  <c r="J171" i="3"/>
  <c r="Q171" i="3"/>
  <c r="I172" i="3"/>
  <c r="J172" i="3"/>
  <c r="K172" i="3"/>
  <c r="Q172" i="3"/>
  <c r="I173" i="3"/>
  <c r="J173" i="3"/>
  <c r="Q173" i="3"/>
  <c r="I174" i="3"/>
  <c r="J174" i="3"/>
  <c r="K174" i="3"/>
  <c r="Q174" i="3"/>
  <c r="R174" i="3"/>
  <c r="I175" i="3"/>
  <c r="J175" i="3"/>
  <c r="Q175" i="3"/>
  <c r="I176" i="3"/>
  <c r="J176" i="3"/>
  <c r="K176" i="3"/>
  <c r="Q176" i="3"/>
  <c r="I177" i="3"/>
  <c r="J177" i="3"/>
  <c r="Q177" i="3"/>
  <c r="I178" i="3"/>
  <c r="J178" i="3"/>
  <c r="Q178" i="3"/>
  <c r="I179" i="3"/>
  <c r="J179" i="3"/>
  <c r="K179" i="3"/>
  <c r="Q179" i="3"/>
  <c r="I180" i="3"/>
  <c r="J180" i="3"/>
  <c r="Q180" i="3"/>
  <c r="R180" i="3"/>
  <c r="I181" i="3"/>
  <c r="J181" i="3"/>
  <c r="K181" i="3"/>
  <c r="Q181" i="3"/>
  <c r="R181" i="3"/>
  <c r="I182" i="3"/>
  <c r="J182" i="3"/>
  <c r="Q182" i="3"/>
  <c r="I183" i="3"/>
  <c r="J183" i="3"/>
  <c r="Q183" i="3"/>
  <c r="I184" i="3"/>
  <c r="J184" i="3"/>
  <c r="Q184" i="3"/>
  <c r="I185" i="3"/>
  <c r="J185" i="3"/>
  <c r="Q185" i="3"/>
  <c r="R185" i="3"/>
  <c r="I186" i="3"/>
  <c r="J186" i="3"/>
  <c r="Q186" i="3"/>
  <c r="I187" i="3"/>
  <c r="J187" i="3"/>
  <c r="Q187" i="3"/>
  <c r="I188" i="3"/>
  <c r="J188" i="3"/>
  <c r="L188" i="3"/>
  <c r="Q188" i="3"/>
  <c r="I189" i="3"/>
  <c r="J189" i="3"/>
  <c r="L189" i="3"/>
  <c r="Q189" i="3"/>
  <c r="I190" i="3"/>
  <c r="J190" i="3"/>
  <c r="L190" i="3"/>
  <c r="Q190" i="3"/>
  <c r="I191" i="3"/>
  <c r="J191" i="3"/>
  <c r="L191" i="3"/>
  <c r="Q191" i="3"/>
  <c r="I192" i="3"/>
  <c r="J192" i="3"/>
  <c r="L192" i="3"/>
  <c r="Q192" i="3"/>
  <c r="R192" i="3"/>
  <c r="I193" i="3"/>
  <c r="J193" i="3"/>
  <c r="Q193" i="3"/>
  <c r="I194" i="3"/>
  <c r="J194" i="3"/>
  <c r="K194" i="3" s="1"/>
  <c r="Q194" i="3"/>
  <c r="I195" i="3"/>
  <c r="J195" i="3"/>
  <c r="Q195" i="3"/>
  <c r="I196" i="3"/>
  <c r="J196" i="3"/>
  <c r="Q196" i="3"/>
  <c r="R196" i="3"/>
  <c r="I197" i="3"/>
  <c r="J197" i="3"/>
  <c r="K197" i="3"/>
  <c r="Q197" i="3"/>
  <c r="I198" i="3"/>
  <c r="J198" i="3"/>
  <c r="Q198" i="3"/>
  <c r="I199" i="3"/>
  <c r="J199" i="3"/>
  <c r="K199" i="3" s="1"/>
  <c r="Q199" i="3"/>
  <c r="I200" i="3"/>
  <c r="J200" i="3"/>
  <c r="K200" i="3"/>
  <c r="Q200" i="3"/>
  <c r="I201" i="3"/>
  <c r="J201" i="3"/>
  <c r="Q201" i="3"/>
  <c r="I202" i="3"/>
  <c r="J202" i="3"/>
  <c r="Q202" i="3"/>
  <c r="R202" i="3"/>
  <c r="I203" i="3"/>
  <c r="J203" i="3"/>
  <c r="Q203" i="3"/>
  <c r="R203" i="3"/>
  <c r="I204" i="3"/>
  <c r="J204" i="3"/>
  <c r="K204" i="3"/>
  <c r="Q204" i="3"/>
  <c r="G37" i="4"/>
  <c r="H37" i="4"/>
  <c r="J37" i="4" s="1"/>
  <c r="I37" i="4"/>
  <c r="K37" i="4" s="1"/>
  <c r="L37" i="4"/>
  <c r="Q37" i="4" s="1"/>
  <c r="M37" i="4"/>
  <c r="P37" i="4" s="1"/>
  <c r="N37" i="4"/>
  <c r="O37" i="4"/>
  <c r="R37" i="4"/>
  <c r="G38" i="4"/>
  <c r="H38" i="4"/>
  <c r="I38" i="4"/>
  <c r="K38" i="4" s="1"/>
  <c r="J38" i="4"/>
  <c r="L38" i="4"/>
  <c r="Q38" i="4" s="1"/>
  <c r="M38" i="4"/>
  <c r="N38" i="4"/>
  <c r="O38" i="4" s="1"/>
  <c r="R38" i="4"/>
  <c r="G39" i="4"/>
  <c r="H39" i="4"/>
  <c r="I39" i="4"/>
  <c r="J39" i="4"/>
  <c r="K39" i="4"/>
  <c r="L39" i="4"/>
  <c r="M39" i="4"/>
  <c r="N39" i="4"/>
  <c r="O39" i="4" s="1"/>
  <c r="G40" i="4"/>
  <c r="H40" i="4"/>
  <c r="I40" i="4"/>
  <c r="J40" i="4"/>
  <c r="K40" i="4"/>
  <c r="L40" i="4"/>
  <c r="Q40" i="4" s="1"/>
  <c r="M40" i="4"/>
  <c r="P40" i="4" s="1"/>
  <c r="N40" i="4"/>
  <c r="O40" i="4"/>
  <c r="R40" i="4"/>
  <c r="G41" i="4"/>
  <c r="H41" i="4"/>
  <c r="J41" i="4" s="1"/>
  <c r="I41" i="4"/>
  <c r="K41" i="4" s="1"/>
  <c r="L41" i="4"/>
  <c r="Q41" i="4" s="1"/>
  <c r="M41" i="4"/>
  <c r="P41" i="4" s="1"/>
  <c r="N41" i="4"/>
  <c r="O41" i="4"/>
  <c r="R41" i="4"/>
  <c r="G42" i="4"/>
  <c r="H42" i="4"/>
  <c r="I42" i="4"/>
  <c r="K42" i="4" s="1"/>
  <c r="J42" i="4"/>
  <c r="L42" i="4"/>
  <c r="Q42" i="4" s="1"/>
  <c r="M42" i="4"/>
  <c r="N42" i="4"/>
  <c r="O42" i="4"/>
  <c r="R42" i="4"/>
  <c r="G43" i="4"/>
  <c r="H43" i="4"/>
  <c r="I43" i="4"/>
  <c r="J43" i="4"/>
  <c r="K43" i="4"/>
  <c r="L43" i="4"/>
  <c r="M43" i="4"/>
  <c r="N43" i="4"/>
  <c r="O43" i="4" s="1"/>
  <c r="G44" i="4"/>
  <c r="H44" i="4"/>
  <c r="I44" i="4"/>
  <c r="J44" i="4"/>
  <c r="K44" i="4"/>
  <c r="L44" i="4"/>
  <c r="Q44" i="4" s="1"/>
  <c r="M44" i="4"/>
  <c r="P44" i="4" s="1"/>
  <c r="N44" i="4"/>
  <c r="O44" i="4"/>
  <c r="R44" i="4"/>
  <c r="G45" i="4"/>
  <c r="H45" i="4"/>
  <c r="J45" i="4" s="1"/>
  <c r="I45" i="4"/>
  <c r="K45" i="4" s="1"/>
  <c r="L45" i="4"/>
  <c r="Q45" i="4" s="1"/>
  <c r="M45" i="4"/>
  <c r="P45" i="4" s="1"/>
  <c r="N45" i="4"/>
  <c r="O45" i="4"/>
  <c r="R45" i="4"/>
  <c r="G46" i="4"/>
  <c r="H46" i="4"/>
  <c r="I46" i="4"/>
  <c r="K46" i="4" s="1"/>
  <c r="J46" i="4"/>
  <c r="L46" i="4"/>
  <c r="Q46" i="4" s="1"/>
  <c r="M46" i="4"/>
  <c r="N46" i="4"/>
  <c r="O46" i="4"/>
  <c r="K24" i="6"/>
  <c r="L24" i="6" s="1"/>
  <c r="K25" i="6"/>
  <c r="L25" i="6" s="1"/>
  <c r="K26" i="6"/>
  <c r="L26" i="6" s="1"/>
  <c r="K27" i="6"/>
  <c r="L27" i="6" s="1"/>
  <c r="J21" i="6"/>
  <c r="K21" i="6" s="1"/>
  <c r="J22" i="6"/>
  <c r="K22" i="6" s="1"/>
  <c r="J23" i="6"/>
  <c r="K23" i="6" s="1"/>
  <c r="J24" i="6"/>
  <c r="J25" i="6"/>
  <c r="J26" i="6"/>
  <c r="J27" i="6"/>
  <c r="G20" i="6"/>
  <c r="G21" i="6"/>
  <c r="G22" i="6"/>
  <c r="G23" i="6"/>
  <c r="G24" i="6"/>
  <c r="G25" i="6"/>
  <c r="G26" i="6"/>
  <c r="G27" i="6"/>
  <c r="I118" i="3"/>
  <c r="J118" i="3"/>
  <c r="Q118" i="3"/>
  <c r="R118" i="3"/>
  <c r="N20" i="6" s="1"/>
  <c r="I119" i="3"/>
  <c r="J119" i="3"/>
  <c r="Q119" i="3"/>
  <c r="R119" i="3"/>
  <c r="I120" i="3"/>
  <c r="J120" i="3"/>
  <c r="Q120" i="3"/>
  <c r="R120" i="3"/>
  <c r="I121" i="3"/>
  <c r="J121" i="3"/>
  <c r="Q121" i="3"/>
  <c r="R121" i="3"/>
  <c r="I122" i="3"/>
  <c r="J122" i="3"/>
  <c r="Q122" i="3"/>
  <c r="R122" i="3"/>
  <c r="I123" i="3"/>
  <c r="J123" i="3"/>
  <c r="Q123" i="3"/>
  <c r="R123" i="3"/>
  <c r="I124" i="3"/>
  <c r="J124" i="3"/>
  <c r="L124" i="3"/>
  <c r="Q124" i="3"/>
  <c r="R124" i="3"/>
  <c r="I125" i="3"/>
  <c r="J125" i="3"/>
  <c r="Q125" i="3"/>
  <c r="R125" i="3"/>
  <c r="I126" i="3"/>
  <c r="J126" i="3"/>
  <c r="L126" i="3"/>
  <c r="Q126" i="3"/>
  <c r="R126" i="3"/>
  <c r="I127" i="3"/>
  <c r="J127" i="3"/>
  <c r="L127" i="3"/>
  <c r="Q127" i="3"/>
  <c r="R127" i="3"/>
  <c r="I128" i="3"/>
  <c r="J128" i="3"/>
  <c r="L128" i="3"/>
  <c r="Q128" i="3"/>
  <c r="R128" i="3"/>
  <c r="I129" i="3"/>
  <c r="J129" i="3"/>
  <c r="Q129" i="3"/>
  <c r="R129" i="3"/>
  <c r="I130" i="3"/>
  <c r="J130" i="3"/>
  <c r="K130" i="3"/>
  <c r="Q130" i="3"/>
  <c r="R130" i="3"/>
  <c r="I131" i="3"/>
  <c r="J131" i="3"/>
  <c r="K131" i="3" s="1"/>
  <c r="Q131" i="3"/>
  <c r="R131" i="3"/>
  <c r="I132" i="3"/>
  <c r="J132" i="3"/>
  <c r="Q132" i="3"/>
  <c r="R132" i="3"/>
  <c r="I133" i="3"/>
  <c r="J133" i="3"/>
  <c r="Q133" i="3"/>
  <c r="R133" i="3"/>
  <c r="I134" i="3"/>
  <c r="J134" i="3"/>
  <c r="K134" i="3" s="1"/>
  <c r="Q134" i="3"/>
  <c r="R134" i="3"/>
  <c r="I135" i="3"/>
  <c r="J135" i="3"/>
  <c r="K135" i="3"/>
  <c r="Q135" i="3"/>
  <c r="R135" i="3"/>
  <c r="I136" i="3"/>
  <c r="J136" i="3"/>
  <c r="Q136" i="3"/>
  <c r="R136" i="3"/>
  <c r="I137" i="3"/>
  <c r="J137" i="3"/>
  <c r="Q137" i="3"/>
  <c r="R137" i="3"/>
  <c r="I138" i="3"/>
  <c r="J138" i="3"/>
  <c r="Q138" i="3"/>
  <c r="R138" i="3"/>
  <c r="I139" i="3"/>
  <c r="J139" i="3"/>
  <c r="Q139" i="3"/>
  <c r="R139" i="3"/>
  <c r="I140" i="3"/>
  <c r="J140" i="3"/>
  <c r="Q140" i="3"/>
  <c r="R140" i="3"/>
  <c r="I141" i="3"/>
  <c r="J141" i="3"/>
  <c r="L141" i="3"/>
  <c r="Q141" i="3"/>
  <c r="R141" i="3"/>
  <c r="I142" i="3"/>
  <c r="J142" i="3"/>
  <c r="Q142" i="3"/>
  <c r="R142" i="3"/>
  <c r="I143" i="3"/>
  <c r="J143" i="3"/>
  <c r="Q143" i="3"/>
  <c r="R143" i="3"/>
  <c r="I144" i="3"/>
  <c r="J144" i="3"/>
  <c r="L144" i="3"/>
  <c r="Q144" i="3"/>
  <c r="R144" i="3"/>
  <c r="I145" i="3"/>
  <c r="J145" i="3"/>
  <c r="Q145" i="3"/>
  <c r="R145" i="3"/>
  <c r="I146" i="3"/>
  <c r="J146" i="3"/>
  <c r="L146" i="3"/>
  <c r="Q146" i="3"/>
  <c r="R146" i="3"/>
  <c r="I147" i="3"/>
  <c r="J147" i="3"/>
  <c r="Q147" i="3"/>
  <c r="R147" i="3"/>
  <c r="I148" i="3"/>
  <c r="J148" i="3"/>
  <c r="L148" i="3"/>
  <c r="Q148" i="3"/>
  <c r="R148" i="3"/>
  <c r="I149" i="3"/>
  <c r="J149" i="3"/>
  <c r="Q149" i="3"/>
  <c r="R149" i="3"/>
  <c r="I150" i="3"/>
  <c r="J150" i="3"/>
  <c r="K150" i="3" s="1"/>
  <c r="Q150" i="3"/>
  <c r="R150" i="3"/>
  <c r="I151" i="3"/>
  <c r="J151" i="3"/>
  <c r="Q151" i="3"/>
  <c r="R151" i="3"/>
  <c r="I152" i="3"/>
  <c r="J152" i="3"/>
  <c r="K152" i="3"/>
  <c r="Q152" i="3"/>
  <c r="R152" i="3"/>
  <c r="I153" i="3"/>
  <c r="J153" i="3"/>
  <c r="Q153" i="3"/>
  <c r="R153" i="3"/>
  <c r="I154" i="3"/>
  <c r="J154" i="3"/>
  <c r="Q154" i="3"/>
  <c r="R154" i="3"/>
  <c r="I155" i="3"/>
  <c r="J155" i="3"/>
  <c r="Q155" i="3"/>
  <c r="R155" i="3"/>
  <c r="I156" i="3"/>
  <c r="J156" i="3"/>
  <c r="K156" i="3"/>
  <c r="Q156" i="3"/>
  <c r="R156" i="3"/>
  <c r="I157" i="3"/>
  <c r="J157" i="3"/>
  <c r="K157" i="3"/>
  <c r="Q157" i="3"/>
  <c r="R157" i="3"/>
  <c r="I158" i="3"/>
  <c r="J158" i="3"/>
  <c r="K158" i="3" s="1"/>
  <c r="Q158" i="3"/>
  <c r="R158" i="3"/>
  <c r="G28" i="4"/>
  <c r="H28" i="4"/>
  <c r="J28" i="4" s="1"/>
  <c r="I28" i="4"/>
  <c r="K28" i="4" s="1"/>
  <c r="L28" i="4"/>
  <c r="Q28" i="4" s="1"/>
  <c r="M28" i="4"/>
  <c r="P28" i="4" s="1"/>
  <c r="N28" i="4"/>
  <c r="R28" i="4" s="1"/>
  <c r="O28" i="4"/>
  <c r="G29" i="4"/>
  <c r="H29" i="4"/>
  <c r="I29" i="4"/>
  <c r="K29" i="4" s="1"/>
  <c r="J29" i="4"/>
  <c r="L29" i="4"/>
  <c r="Q29" i="4" s="1"/>
  <c r="M29" i="4"/>
  <c r="P29" i="4" s="1"/>
  <c r="N29" i="4"/>
  <c r="O29" i="4" s="1"/>
  <c r="R29" i="4"/>
  <c r="G30" i="4"/>
  <c r="H30" i="4"/>
  <c r="J30" i="4" s="1"/>
  <c r="I30" i="4"/>
  <c r="K30" i="4" s="1"/>
  <c r="L30" i="4"/>
  <c r="M30" i="4"/>
  <c r="N30" i="4"/>
  <c r="O30" i="4" s="1"/>
  <c r="G31" i="4"/>
  <c r="H31" i="4"/>
  <c r="I31" i="4"/>
  <c r="J31" i="4"/>
  <c r="K31" i="4"/>
  <c r="L31" i="4"/>
  <c r="Q31" i="4" s="1"/>
  <c r="M31" i="4"/>
  <c r="P31" i="4" s="1"/>
  <c r="N31" i="4"/>
  <c r="O31" i="4"/>
  <c r="R31" i="4"/>
  <c r="G32" i="4"/>
  <c r="H32" i="4"/>
  <c r="J32" i="4" s="1"/>
  <c r="I32" i="4"/>
  <c r="K32" i="4" s="1"/>
  <c r="L32" i="4"/>
  <c r="Q32" i="4" s="1"/>
  <c r="M32" i="4"/>
  <c r="P32" i="4" s="1"/>
  <c r="N32" i="4"/>
  <c r="R32" i="4" s="1"/>
  <c r="O32" i="4"/>
  <c r="G33" i="4"/>
  <c r="H33" i="4"/>
  <c r="I33" i="4"/>
  <c r="K33" i="4" s="1"/>
  <c r="J33" i="4"/>
  <c r="L33" i="4"/>
  <c r="Q33" i="4" s="1"/>
  <c r="M33" i="4"/>
  <c r="P33" i="4" s="1"/>
  <c r="N33" i="4"/>
  <c r="O33" i="4"/>
  <c r="R33" i="4"/>
  <c r="G34" i="4"/>
  <c r="H34" i="4"/>
  <c r="J34" i="4" s="1"/>
  <c r="I34" i="4"/>
  <c r="K34" i="4" s="1"/>
  <c r="L34" i="4"/>
  <c r="M34" i="4"/>
  <c r="N34" i="4"/>
  <c r="O34" i="4" s="1"/>
  <c r="G35" i="4"/>
  <c r="H35" i="4"/>
  <c r="I35" i="4"/>
  <c r="J35" i="4"/>
  <c r="K35" i="4"/>
  <c r="L35" i="4"/>
  <c r="Q35" i="4" s="1"/>
  <c r="M35" i="4"/>
  <c r="P35" i="4" s="1"/>
  <c r="N35" i="4"/>
  <c r="O35" i="4"/>
  <c r="R35" i="4"/>
  <c r="G36" i="4"/>
  <c r="H36" i="4"/>
  <c r="J36" i="4" s="1"/>
  <c r="I36" i="4"/>
  <c r="K36" i="4" s="1"/>
  <c r="L36" i="4"/>
  <c r="Q36" i="4" s="1"/>
  <c r="M36" i="4"/>
  <c r="P36" i="4" s="1"/>
  <c r="N36" i="4"/>
  <c r="R36" i="4" s="1"/>
  <c r="O36" i="4"/>
  <c r="J20" i="6"/>
  <c r="K20" i="6" s="1"/>
  <c r="L20" i="6" s="1"/>
  <c r="H7" i="5"/>
  <c r="H6" i="5"/>
  <c r="R160" i="3" s="1"/>
  <c r="E7" i="5"/>
  <c r="D7" i="5"/>
  <c r="E6" i="5"/>
  <c r="H5" i="5"/>
  <c r="E5" i="5"/>
  <c r="D5" i="5"/>
  <c r="J62" i="3"/>
  <c r="N27" i="4"/>
  <c r="M27" i="4"/>
  <c r="L27" i="4"/>
  <c r="I27" i="4"/>
  <c r="K27" i="4" s="1"/>
  <c r="H27" i="4"/>
  <c r="J27" i="4" s="1"/>
  <c r="G27" i="4"/>
  <c r="R27" i="4" s="1"/>
  <c r="R26" i="4"/>
  <c r="N26" i="4"/>
  <c r="Q26" i="4" s="1"/>
  <c r="M26" i="4"/>
  <c r="L26" i="4"/>
  <c r="K26" i="4"/>
  <c r="I26" i="4"/>
  <c r="H26" i="4"/>
  <c r="J26" i="4" s="1"/>
  <c r="G26" i="4"/>
  <c r="O25" i="4"/>
  <c r="N25" i="4"/>
  <c r="R25" i="4" s="1"/>
  <c r="M25" i="4"/>
  <c r="L25" i="4"/>
  <c r="I25" i="4"/>
  <c r="K25" i="4" s="1"/>
  <c r="H25" i="4"/>
  <c r="J25" i="4" s="1"/>
  <c r="G25" i="4"/>
  <c r="N24" i="4"/>
  <c r="R24" i="4" s="1"/>
  <c r="M24" i="4"/>
  <c r="L24" i="4"/>
  <c r="I24" i="4"/>
  <c r="K24" i="4" s="1"/>
  <c r="H24" i="4"/>
  <c r="J24" i="4" s="1"/>
  <c r="G24" i="4"/>
  <c r="N23" i="4"/>
  <c r="M23" i="4"/>
  <c r="L23" i="4"/>
  <c r="I23" i="4"/>
  <c r="K23" i="4" s="1"/>
  <c r="H23" i="4"/>
  <c r="J23" i="4" s="1"/>
  <c r="G23" i="4"/>
  <c r="R23" i="4" s="1"/>
  <c r="N22" i="4"/>
  <c r="R22" i="4" s="1"/>
  <c r="M22" i="4"/>
  <c r="L22" i="4"/>
  <c r="I22" i="4"/>
  <c r="K22" i="4" s="1"/>
  <c r="H22" i="4"/>
  <c r="J22" i="4" s="1"/>
  <c r="G22" i="4"/>
  <c r="J19" i="6"/>
  <c r="J18" i="6"/>
  <c r="J17" i="6"/>
  <c r="J16" i="6"/>
  <c r="J15" i="6"/>
  <c r="J14" i="6"/>
  <c r="G19" i="6"/>
  <c r="G18" i="6"/>
  <c r="G17" i="6"/>
  <c r="G16" i="6"/>
  <c r="G15" i="6"/>
  <c r="G14" i="6"/>
  <c r="Q117" i="3"/>
  <c r="J117" i="3"/>
  <c r="I117" i="3"/>
  <c r="Q116" i="3"/>
  <c r="J116" i="3"/>
  <c r="I116" i="3"/>
  <c r="Q115" i="3"/>
  <c r="J115" i="3"/>
  <c r="I115" i="3"/>
  <c r="Q114" i="3"/>
  <c r="J114" i="3"/>
  <c r="I114" i="3"/>
  <c r="Q113" i="3"/>
  <c r="J113" i="3"/>
  <c r="I113" i="3"/>
  <c r="Q112" i="3"/>
  <c r="J112" i="3"/>
  <c r="I112" i="3"/>
  <c r="Q111" i="3"/>
  <c r="J111" i="3"/>
  <c r="I111" i="3"/>
  <c r="Q110" i="3"/>
  <c r="J110" i="3"/>
  <c r="I110" i="3"/>
  <c r="Q109" i="3"/>
  <c r="J109" i="3"/>
  <c r="I109" i="3"/>
  <c r="Q108" i="3"/>
  <c r="J108" i="3"/>
  <c r="I108" i="3"/>
  <c r="Q107" i="3"/>
  <c r="J107" i="3"/>
  <c r="I107" i="3"/>
  <c r="Q106" i="3"/>
  <c r="J106" i="3"/>
  <c r="I106" i="3"/>
  <c r="Q105" i="3"/>
  <c r="J105" i="3"/>
  <c r="I105" i="3"/>
  <c r="Q104" i="3"/>
  <c r="J104" i="3"/>
  <c r="I104" i="3"/>
  <c r="Q103" i="3"/>
  <c r="J103" i="3"/>
  <c r="I103" i="3"/>
  <c r="Q102" i="3"/>
  <c r="J102" i="3"/>
  <c r="I102" i="3"/>
  <c r="Q101" i="3"/>
  <c r="J101" i="3"/>
  <c r="I101" i="3"/>
  <c r="R100" i="3"/>
  <c r="Q100" i="3"/>
  <c r="J100" i="3"/>
  <c r="I100" i="3"/>
  <c r="Q99" i="3"/>
  <c r="J99" i="3"/>
  <c r="I99" i="3"/>
  <c r="Q98" i="3"/>
  <c r="J98" i="3"/>
  <c r="I98" i="3"/>
  <c r="Q97" i="3"/>
  <c r="J97" i="3"/>
  <c r="I97" i="3"/>
  <c r="Q96" i="3"/>
  <c r="J96" i="3"/>
  <c r="I96" i="3"/>
  <c r="Q95" i="3"/>
  <c r="J95" i="3"/>
  <c r="I95" i="3"/>
  <c r="Q94" i="3"/>
  <c r="J94" i="3"/>
  <c r="I94" i="3"/>
  <c r="Q93" i="3"/>
  <c r="J93" i="3"/>
  <c r="I93" i="3"/>
  <c r="Q92" i="3"/>
  <c r="J92" i="3"/>
  <c r="I92" i="3"/>
  <c r="Q91" i="3"/>
  <c r="J91" i="3"/>
  <c r="I91" i="3"/>
  <c r="Q90" i="3"/>
  <c r="J90" i="3"/>
  <c r="I90" i="3"/>
  <c r="Q89" i="3"/>
  <c r="J89" i="3"/>
  <c r="I89" i="3"/>
  <c r="Q88" i="3"/>
  <c r="J88" i="3"/>
  <c r="I88" i="3"/>
  <c r="H4" i="5"/>
  <c r="R115" i="3" s="1"/>
  <c r="J13" i="6"/>
  <c r="J12" i="6"/>
  <c r="J11" i="6"/>
  <c r="J10" i="6"/>
  <c r="J9" i="6"/>
  <c r="J8" i="6"/>
  <c r="J7" i="6"/>
  <c r="J6" i="6"/>
  <c r="J5" i="6"/>
  <c r="K5" i="6" s="1"/>
  <c r="G13" i="6"/>
  <c r="G12" i="6"/>
  <c r="G11" i="6"/>
  <c r="G10" i="6"/>
  <c r="G9" i="6"/>
  <c r="G8" i="6"/>
  <c r="G7" i="6"/>
  <c r="G6" i="6"/>
  <c r="G5" i="6"/>
  <c r="H3" i="5"/>
  <c r="R60" i="3" s="1"/>
  <c r="R87" i="3"/>
  <c r="Q87" i="3"/>
  <c r="J87" i="3"/>
  <c r="I87" i="3"/>
  <c r="R86" i="3"/>
  <c r="Q86" i="3"/>
  <c r="J86" i="3"/>
  <c r="I86" i="3"/>
  <c r="R85" i="3"/>
  <c r="Q85" i="3"/>
  <c r="J85" i="3"/>
  <c r="I85" i="3"/>
  <c r="R84" i="3"/>
  <c r="Q84" i="3"/>
  <c r="J84" i="3"/>
  <c r="I84" i="3"/>
  <c r="R83" i="3"/>
  <c r="Q83" i="3"/>
  <c r="J83" i="3"/>
  <c r="I83" i="3"/>
  <c r="R82" i="3"/>
  <c r="Q82" i="3"/>
  <c r="J82" i="3"/>
  <c r="I82" i="3"/>
  <c r="R81" i="3"/>
  <c r="Q81" i="3"/>
  <c r="J81" i="3"/>
  <c r="I81" i="3"/>
  <c r="R80" i="3"/>
  <c r="Q80" i="3"/>
  <c r="J80" i="3"/>
  <c r="I80" i="3"/>
  <c r="R79" i="3"/>
  <c r="Q79" i="3"/>
  <c r="J79" i="3"/>
  <c r="I79" i="3"/>
  <c r="R78" i="3"/>
  <c r="Q78" i="3"/>
  <c r="J78" i="3"/>
  <c r="I78" i="3"/>
  <c r="R77" i="3"/>
  <c r="Q77" i="3"/>
  <c r="J77" i="3"/>
  <c r="I77" i="3"/>
  <c r="R76" i="3"/>
  <c r="Q76" i="3"/>
  <c r="J76" i="3"/>
  <c r="I76" i="3"/>
  <c r="R75" i="3"/>
  <c r="Q75" i="3"/>
  <c r="J75" i="3"/>
  <c r="I75" i="3"/>
  <c r="R74" i="3"/>
  <c r="Q74" i="3"/>
  <c r="J74" i="3"/>
  <c r="I74" i="3"/>
  <c r="R73" i="3"/>
  <c r="Q73" i="3"/>
  <c r="J73" i="3"/>
  <c r="I73" i="3"/>
  <c r="R72" i="3"/>
  <c r="Q72" i="3"/>
  <c r="J72" i="3"/>
  <c r="I72" i="3"/>
  <c r="R71" i="3"/>
  <c r="Q71" i="3"/>
  <c r="J71" i="3"/>
  <c r="I71" i="3"/>
  <c r="R70" i="3"/>
  <c r="Q70" i="3"/>
  <c r="J70" i="3"/>
  <c r="I70" i="3"/>
  <c r="R69" i="3"/>
  <c r="Q69" i="3"/>
  <c r="J69" i="3"/>
  <c r="I69" i="3"/>
  <c r="R68" i="3"/>
  <c r="Q68" i="3"/>
  <c r="J68" i="3"/>
  <c r="I68" i="3"/>
  <c r="R67" i="3"/>
  <c r="Q67" i="3"/>
  <c r="J67" i="3"/>
  <c r="I67" i="3"/>
  <c r="R66" i="3"/>
  <c r="Q66" i="3"/>
  <c r="J66" i="3"/>
  <c r="I66" i="3"/>
  <c r="R65" i="3"/>
  <c r="Q65" i="3"/>
  <c r="J65" i="3"/>
  <c r="I65" i="3"/>
  <c r="R64" i="3"/>
  <c r="Q64" i="3"/>
  <c r="J64" i="3"/>
  <c r="I64" i="3"/>
  <c r="R63" i="3"/>
  <c r="Q63" i="3"/>
  <c r="J63" i="3"/>
  <c r="I63" i="3"/>
  <c r="R62" i="3"/>
  <c r="Q62" i="3"/>
  <c r="I62" i="3"/>
  <c r="R61" i="3"/>
  <c r="Q61" i="3"/>
  <c r="J61" i="3"/>
  <c r="I61" i="3"/>
  <c r="Q60" i="3"/>
  <c r="J60" i="3"/>
  <c r="I60" i="3"/>
  <c r="Q59" i="3"/>
  <c r="J59" i="3"/>
  <c r="I59" i="3"/>
  <c r="Q58" i="3"/>
  <c r="J58" i="3"/>
  <c r="I58" i="3"/>
  <c r="R57" i="3"/>
  <c r="Q57" i="3"/>
  <c r="J57" i="3"/>
  <c r="I57" i="3"/>
  <c r="R56" i="3"/>
  <c r="Q56" i="3"/>
  <c r="J56" i="3"/>
  <c r="I56" i="3"/>
  <c r="Q55" i="3"/>
  <c r="J55" i="3"/>
  <c r="I55" i="3"/>
  <c r="Q54" i="3"/>
  <c r="J54" i="3"/>
  <c r="I54" i="3"/>
  <c r="R53" i="3"/>
  <c r="Q53" i="3"/>
  <c r="J53" i="3"/>
  <c r="I53" i="3"/>
  <c r="R52" i="3"/>
  <c r="Q52" i="3"/>
  <c r="J52" i="3"/>
  <c r="I52" i="3"/>
  <c r="Q51" i="3"/>
  <c r="J51" i="3"/>
  <c r="I51" i="3"/>
  <c r="Q50" i="3"/>
  <c r="J50" i="3"/>
  <c r="I50" i="3"/>
  <c r="R49" i="3"/>
  <c r="Q49" i="3"/>
  <c r="J49" i="3"/>
  <c r="I49" i="3"/>
  <c r="R48" i="3"/>
  <c r="Q48" i="3"/>
  <c r="J48" i="3"/>
  <c r="I48" i="3"/>
  <c r="R47" i="3"/>
  <c r="Q47" i="3"/>
  <c r="J47" i="3"/>
  <c r="I47" i="3"/>
  <c r="Q46" i="3"/>
  <c r="J46" i="3"/>
  <c r="I46" i="3"/>
  <c r="R45" i="3"/>
  <c r="N13" i="6" s="1"/>
  <c r="Q45" i="3"/>
  <c r="J45" i="3"/>
  <c r="I45" i="3"/>
  <c r="N21" i="4"/>
  <c r="R21" i="4" s="1"/>
  <c r="M21" i="4"/>
  <c r="L21" i="4"/>
  <c r="I21" i="4"/>
  <c r="K21" i="4" s="1"/>
  <c r="H21" i="4"/>
  <c r="J21" i="4" s="1"/>
  <c r="G21" i="4"/>
  <c r="N20" i="4"/>
  <c r="R20" i="4" s="1"/>
  <c r="M20" i="4"/>
  <c r="L20" i="4"/>
  <c r="I20" i="4"/>
  <c r="K20" i="4" s="1"/>
  <c r="H20" i="4"/>
  <c r="J20" i="4" s="1"/>
  <c r="G20" i="4"/>
  <c r="N19" i="4"/>
  <c r="R19" i="4" s="1"/>
  <c r="M19" i="4"/>
  <c r="L19" i="4"/>
  <c r="I19" i="4"/>
  <c r="K19" i="4" s="1"/>
  <c r="H19" i="4"/>
  <c r="J19" i="4" s="1"/>
  <c r="G19" i="4"/>
  <c r="N18" i="4"/>
  <c r="R18" i="4" s="1"/>
  <c r="M18" i="4"/>
  <c r="L18" i="4"/>
  <c r="I18" i="4"/>
  <c r="K18" i="4" s="1"/>
  <c r="H18" i="4"/>
  <c r="J18" i="4" s="1"/>
  <c r="G18" i="4"/>
  <c r="N17" i="4"/>
  <c r="R17" i="4" s="1"/>
  <c r="M17" i="4"/>
  <c r="L17" i="4"/>
  <c r="I17" i="4"/>
  <c r="K17" i="4" s="1"/>
  <c r="H17" i="4"/>
  <c r="J17" i="4" s="1"/>
  <c r="G17" i="4"/>
  <c r="N16" i="4"/>
  <c r="R16" i="4" s="1"/>
  <c r="M16" i="4"/>
  <c r="L16" i="4"/>
  <c r="I16" i="4"/>
  <c r="K16" i="4" s="1"/>
  <c r="H16" i="4"/>
  <c r="J16" i="4" s="1"/>
  <c r="G16" i="4"/>
  <c r="N15" i="4"/>
  <c r="R15" i="4" s="1"/>
  <c r="M15" i="4"/>
  <c r="L15" i="4"/>
  <c r="I15" i="4"/>
  <c r="K15" i="4" s="1"/>
  <c r="H15" i="4"/>
  <c r="J15" i="4" s="1"/>
  <c r="G15" i="4"/>
  <c r="N14" i="4"/>
  <c r="R14" i="4" s="1"/>
  <c r="M14" i="4"/>
  <c r="L14" i="4"/>
  <c r="I14" i="4"/>
  <c r="K14" i="4" s="1"/>
  <c r="H14" i="4"/>
  <c r="J14" i="4" s="1"/>
  <c r="G14" i="4"/>
  <c r="N13" i="4"/>
  <c r="R13" i="4" s="1"/>
  <c r="M13" i="4"/>
  <c r="L13" i="4"/>
  <c r="I13" i="4"/>
  <c r="K13" i="4" s="1"/>
  <c r="H13" i="4"/>
  <c r="J13" i="4" s="1"/>
  <c r="G13" i="4"/>
  <c r="N12" i="4"/>
  <c r="R12" i="4" s="1"/>
  <c r="M12" i="4"/>
  <c r="L12" i="4"/>
  <c r="I12" i="4"/>
  <c r="K12" i="4" s="1"/>
  <c r="H12" i="4"/>
  <c r="J12" i="4" s="1"/>
  <c r="G12" i="4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2" i="3"/>
  <c r="N4" i="6" s="1"/>
  <c r="H2" i="5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2" i="3"/>
  <c r="J3" i="6"/>
  <c r="J4" i="6"/>
  <c r="J2" i="6"/>
  <c r="G4" i="6"/>
  <c r="G3" i="6"/>
  <c r="G2" i="6"/>
  <c r="G2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2" i="3"/>
  <c r="G3" i="4"/>
  <c r="G4" i="4"/>
  <c r="G5" i="4"/>
  <c r="G6" i="4"/>
  <c r="G7" i="4"/>
  <c r="G8" i="4"/>
  <c r="G9" i="4"/>
  <c r="G10" i="4"/>
  <c r="G11" i="4"/>
  <c r="M11" i="4"/>
  <c r="L11" i="4"/>
  <c r="M10" i="4"/>
  <c r="L10" i="4"/>
  <c r="M9" i="4"/>
  <c r="L9" i="4"/>
  <c r="M8" i="4"/>
  <c r="L8" i="4"/>
  <c r="M7" i="4"/>
  <c r="L7" i="4"/>
  <c r="M6" i="4"/>
  <c r="L6" i="4"/>
  <c r="M5" i="4"/>
  <c r="L5" i="4"/>
  <c r="M4" i="4"/>
  <c r="L4" i="4"/>
  <c r="M3" i="4"/>
  <c r="L3" i="4"/>
  <c r="M2" i="4"/>
  <c r="L2" i="4"/>
  <c r="I3" i="4"/>
  <c r="K3" i="4" s="1"/>
  <c r="I4" i="4"/>
  <c r="K4" i="4" s="1"/>
  <c r="I5" i="4"/>
  <c r="K5" i="4" s="1"/>
  <c r="I6" i="4"/>
  <c r="K6" i="4" s="1"/>
  <c r="I7" i="4"/>
  <c r="K7" i="4" s="1"/>
  <c r="I8" i="4"/>
  <c r="K8" i="4" s="1"/>
  <c r="I9" i="4"/>
  <c r="K9" i="4" s="1"/>
  <c r="I10" i="4"/>
  <c r="K10" i="4" s="1"/>
  <c r="I11" i="4"/>
  <c r="K11" i="4" s="1"/>
  <c r="I2" i="4"/>
  <c r="K2" i="4" s="1"/>
  <c r="H3" i="4"/>
  <c r="J3" i="4" s="1"/>
  <c r="H4" i="4"/>
  <c r="J4" i="4" s="1"/>
  <c r="H5" i="4"/>
  <c r="J5" i="4" s="1"/>
  <c r="H6" i="4"/>
  <c r="J6" i="4" s="1"/>
  <c r="H7" i="4"/>
  <c r="J7" i="4" s="1"/>
  <c r="H8" i="4"/>
  <c r="J8" i="4" s="1"/>
  <c r="H9" i="4"/>
  <c r="J9" i="4" s="1"/>
  <c r="H10" i="4"/>
  <c r="J10" i="4" s="1"/>
  <c r="H11" i="4"/>
  <c r="J11" i="4" s="1"/>
  <c r="H2" i="4"/>
  <c r="J2" i="4" s="1"/>
  <c r="N3" i="4"/>
  <c r="O3" i="4" s="1"/>
  <c r="N4" i="4"/>
  <c r="N5" i="4"/>
  <c r="O5" i="4" s="1"/>
  <c r="N6" i="4"/>
  <c r="N7" i="4"/>
  <c r="O7" i="4" s="1"/>
  <c r="N8" i="4"/>
  <c r="N9" i="4"/>
  <c r="N10" i="4"/>
  <c r="N11" i="4"/>
  <c r="O11" i="4" s="1"/>
  <c r="N2" i="4"/>
  <c r="R2" i="4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2" i="3"/>
  <c r="K41" i="6" l="1"/>
  <c r="M52" i="6"/>
  <c r="L52" i="6"/>
  <c r="M54" i="6"/>
  <c r="L54" i="6"/>
  <c r="M53" i="6"/>
  <c r="L53" i="6"/>
  <c r="M55" i="6"/>
  <c r="L55" i="6"/>
  <c r="N316" i="3"/>
  <c r="O321" i="3"/>
  <c r="M321" i="3"/>
  <c r="N321" i="3"/>
  <c r="P321" i="3" s="1"/>
  <c r="N326" i="3"/>
  <c r="M326" i="3"/>
  <c r="O326" i="3"/>
  <c r="N320" i="3"/>
  <c r="O298" i="3"/>
  <c r="N298" i="3"/>
  <c r="P298" i="3" s="1"/>
  <c r="M298" i="3"/>
  <c r="O310" i="3"/>
  <c r="N299" i="3"/>
  <c r="M318" i="3"/>
  <c r="O318" i="3"/>
  <c r="N318" i="3"/>
  <c r="P318" i="3" s="1"/>
  <c r="K295" i="3"/>
  <c r="K319" i="3"/>
  <c r="M322" i="3"/>
  <c r="L303" i="3"/>
  <c r="M303" i="3" s="1"/>
  <c r="N306" i="3"/>
  <c r="P306" i="3" s="1"/>
  <c r="L311" i="3"/>
  <c r="O311" i="3" s="1"/>
  <c r="N314" i="3"/>
  <c r="P314" i="3" s="1"/>
  <c r="K292" i="3"/>
  <c r="K324" i="3"/>
  <c r="K297" i="3"/>
  <c r="K305" i="3"/>
  <c r="K313" i="3"/>
  <c r="L321" i="3"/>
  <c r="K302" i="3"/>
  <c r="L310" i="3"/>
  <c r="N310" i="3" s="1"/>
  <c r="P310" i="3" s="1"/>
  <c r="L318" i="3"/>
  <c r="L326" i="3"/>
  <c r="L299" i="3"/>
  <c r="O299" i="3" s="1"/>
  <c r="L307" i="3"/>
  <c r="O307" i="3" s="1"/>
  <c r="K304" i="3"/>
  <c r="L296" i="3"/>
  <c r="O296" i="3" s="1"/>
  <c r="L312" i="3"/>
  <c r="N312" i="3" s="1"/>
  <c r="L320" i="3"/>
  <c r="M320" i="3" s="1"/>
  <c r="M306" i="3"/>
  <c r="K300" i="3"/>
  <c r="K308" i="3"/>
  <c r="O314" i="3"/>
  <c r="O322" i="3"/>
  <c r="P322" i="3" s="1"/>
  <c r="L316" i="3"/>
  <c r="M316" i="3" s="1"/>
  <c r="K294" i="3"/>
  <c r="K291" i="3"/>
  <c r="K315" i="3"/>
  <c r="K323" i="3"/>
  <c r="K293" i="3"/>
  <c r="K301" i="3"/>
  <c r="K309" i="3"/>
  <c r="K317" i="3"/>
  <c r="K325" i="3"/>
  <c r="M48" i="6"/>
  <c r="M45" i="6"/>
  <c r="L231" i="3"/>
  <c r="L246" i="3"/>
  <c r="K211" i="3"/>
  <c r="K275" i="3"/>
  <c r="O70" i="4"/>
  <c r="P66" i="4"/>
  <c r="P70" i="4"/>
  <c r="Q66" i="4"/>
  <c r="R66" i="4"/>
  <c r="R70" i="4"/>
  <c r="O65" i="4"/>
  <c r="O69" i="4"/>
  <c r="P65" i="4"/>
  <c r="P69" i="4"/>
  <c r="Q65" i="4"/>
  <c r="O68" i="4"/>
  <c r="O72" i="4"/>
  <c r="P68" i="4"/>
  <c r="P72" i="4"/>
  <c r="Q68" i="4"/>
  <c r="Q72" i="4"/>
  <c r="Q69" i="4"/>
  <c r="K221" i="3"/>
  <c r="P62" i="4"/>
  <c r="N49" i="6"/>
  <c r="N45" i="6"/>
  <c r="N44" i="6"/>
  <c r="N46" i="6"/>
  <c r="N50" i="6"/>
  <c r="N48" i="6"/>
  <c r="M44" i="6"/>
  <c r="L44" i="6"/>
  <c r="M47" i="6"/>
  <c r="M51" i="6"/>
  <c r="L46" i="6"/>
  <c r="M46" i="6"/>
  <c r="M43" i="6"/>
  <c r="L43" i="6"/>
  <c r="M49" i="6"/>
  <c r="K267" i="3"/>
  <c r="K230" i="3"/>
  <c r="K274" i="3"/>
  <c r="K285" i="3"/>
  <c r="K210" i="3"/>
  <c r="M210" i="3" s="1"/>
  <c r="K250" i="3"/>
  <c r="K228" i="3"/>
  <c r="K206" i="3"/>
  <c r="K290" i="3"/>
  <c r="K218" i="3"/>
  <c r="K279" i="3"/>
  <c r="K220" i="3"/>
  <c r="K263" i="3"/>
  <c r="K272" i="3"/>
  <c r="K261" i="3"/>
  <c r="K283" i="3"/>
  <c r="K235" i="3"/>
  <c r="M235" i="3" s="1"/>
  <c r="K259" i="3"/>
  <c r="K238" i="3"/>
  <c r="K288" i="3"/>
  <c r="K233" i="3"/>
  <c r="K266" i="3"/>
  <c r="K277" i="3"/>
  <c r="K287" i="3"/>
  <c r="N287" i="3" s="1"/>
  <c r="K215" i="3"/>
  <c r="K246" i="3"/>
  <c r="K231" i="3"/>
  <c r="K214" i="3"/>
  <c r="N214" i="3" s="1"/>
  <c r="L267" i="3"/>
  <c r="L289" i="3"/>
  <c r="L230" i="3"/>
  <c r="L265" i="3"/>
  <c r="L274" i="3"/>
  <c r="L225" i="3"/>
  <c r="M225" i="3" s="1"/>
  <c r="L263" i="3"/>
  <c r="L272" i="3"/>
  <c r="L250" i="3"/>
  <c r="L261" i="3"/>
  <c r="L259" i="3"/>
  <c r="L290" i="3"/>
  <c r="L238" i="3"/>
  <c r="L270" i="3"/>
  <c r="O270" i="3" s="1"/>
  <c r="L288" i="3"/>
  <c r="L278" i="3"/>
  <c r="L287" i="3"/>
  <c r="L220" i="3"/>
  <c r="L285" i="3"/>
  <c r="L254" i="3"/>
  <c r="L283" i="3"/>
  <c r="L247" i="3"/>
  <c r="M247" i="3" s="1"/>
  <c r="L215" i="3"/>
  <c r="L228" i="3"/>
  <c r="L281" i="3"/>
  <c r="L279" i="3"/>
  <c r="L264" i="3"/>
  <c r="K251" i="3"/>
  <c r="K264" i="3"/>
  <c r="O59" i="4"/>
  <c r="P59" i="4"/>
  <c r="Q59" i="4"/>
  <c r="R59" i="4"/>
  <c r="P58" i="4"/>
  <c r="R58" i="4"/>
  <c r="L277" i="3"/>
  <c r="K236" i="3"/>
  <c r="L223" i="3"/>
  <c r="M223" i="3" s="1"/>
  <c r="K248" i="3"/>
  <c r="O248" i="3" s="1"/>
  <c r="K226" i="3"/>
  <c r="L266" i="3"/>
  <c r="L226" i="3"/>
  <c r="O226" i="3" s="1"/>
  <c r="L219" i="3"/>
  <c r="L253" i="3"/>
  <c r="K219" i="3"/>
  <c r="K273" i="3"/>
  <c r="N273" i="3" s="1"/>
  <c r="K253" i="3"/>
  <c r="O63" i="4"/>
  <c r="P63" i="4"/>
  <c r="R63" i="4"/>
  <c r="Q63" i="4"/>
  <c r="L241" i="3"/>
  <c r="K229" i="3"/>
  <c r="L209" i="3"/>
  <c r="K241" i="3"/>
  <c r="K209" i="3"/>
  <c r="L286" i="3"/>
  <c r="M286" i="3" s="1"/>
  <c r="L251" i="3"/>
  <c r="K286" i="3"/>
  <c r="O286" i="3" s="1"/>
  <c r="K271" i="3"/>
  <c r="M271" i="3" s="1"/>
  <c r="K282" i="3"/>
  <c r="K268" i="3"/>
  <c r="N268" i="3" s="1"/>
  <c r="L255" i="3"/>
  <c r="L243" i="3"/>
  <c r="M243" i="3" s="1"/>
  <c r="K255" i="3"/>
  <c r="L211" i="3"/>
  <c r="M211" i="3" s="1"/>
  <c r="L275" i="3"/>
  <c r="N275" i="3" s="1"/>
  <c r="K281" i="3"/>
  <c r="K208" i="3"/>
  <c r="O208" i="3" s="1"/>
  <c r="K276" i="3"/>
  <c r="K232" i="3"/>
  <c r="L244" i="3"/>
  <c r="K234" i="3"/>
  <c r="M234" i="3" s="1"/>
  <c r="L227" i="3"/>
  <c r="L222" i="3"/>
  <c r="L269" i="3"/>
  <c r="K260" i="3"/>
  <c r="L258" i="3"/>
  <c r="K256" i="3"/>
  <c r="L249" i="3"/>
  <c r="K213" i="3"/>
  <c r="K252" i="3"/>
  <c r="L210" i="3"/>
  <c r="K265" i="3"/>
  <c r="M265" i="3" s="1"/>
  <c r="K237" i="3"/>
  <c r="O237" i="3" s="1"/>
  <c r="K278" i="3"/>
  <c r="L239" i="3"/>
  <c r="M239" i="3" s="1"/>
  <c r="K289" i="3"/>
  <c r="L256" i="3"/>
  <c r="K244" i="3"/>
  <c r="K227" i="3"/>
  <c r="K222" i="3"/>
  <c r="K212" i="3"/>
  <c r="L207" i="3"/>
  <c r="L280" i="3"/>
  <c r="L271" i="3"/>
  <c r="K269" i="3"/>
  <c r="L262" i="3"/>
  <c r="O262" i="3" s="1"/>
  <c r="K258" i="3"/>
  <c r="K249" i="3"/>
  <c r="N249" i="3" s="1"/>
  <c r="K257" i="3"/>
  <c r="O257" i="3" s="1"/>
  <c r="K240" i="3"/>
  <c r="L218" i="3"/>
  <c r="O218" i="3" s="1"/>
  <c r="K254" i="3"/>
  <c r="N254" i="3" s="1"/>
  <c r="L242" i="3"/>
  <c r="M242" i="3" s="1"/>
  <c r="L217" i="3"/>
  <c r="M217" i="3" s="1"/>
  <c r="K205" i="3"/>
  <c r="K207" i="3"/>
  <c r="K284" i="3"/>
  <c r="L282" i="3"/>
  <c r="K280" i="3"/>
  <c r="L273" i="3"/>
  <c r="K262" i="3"/>
  <c r="O265" i="3"/>
  <c r="N265" i="3"/>
  <c r="P265" i="3" s="1"/>
  <c r="O278" i="3"/>
  <c r="M278" i="3"/>
  <c r="O249" i="3"/>
  <c r="M249" i="3"/>
  <c r="O284" i="3"/>
  <c r="L284" i="3"/>
  <c r="L276" i="3"/>
  <c r="L268" i="3"/>
  <c r="L260" i="3"/>
  <c r="L252" i="3"/>
  <c r="M252" i="3" s="1"/>
  <c r="L40" i="6"/>
  <c r="R199" i="3"/>
  <c r="R177" i="3"/>
  <c r="R163" i="3"/>
  <c r="R159" i="3"/>
  <c r="N40" i="6"/>
  <c r="N32" i="6"/>
  <c r="R195" i="3"/>
  <c r="R188" i="3"/>
  <c r="R166" i="3"/>
  <c r="R191" i="3"/>
  <c r="R184" i="3"/>
  <c r="R173" i="3"/>
  <c r="R194" i="3"/>
  <c r="R183" i="3"/>
  <c r="R165" i="3"/>
  <c r="N38" i="6"/>
  <c r="R197" i="3"/>
  <c r="R168" i="3"/>
  <c r="R161" i="3"/>
  <c r="N33" i="6"/>
  <c r="R198" i="3"/>
  <c r="R162" i="3"/>
  <c r="N39" i="6"/>
  <c r="R187" i="3"/>
  <c r="R172" i="3"/>
  <c r="R201" i="3"/>
  <c r="R190" i="3"/>
  <c r="R179" i="3"/>
  <c r="R193" i="3"/>
  <c r="R175" i="3"/>
  <c r="R176" i="3"/>
  <c r="R204" i="3"/>
  <c r="R186" i="3"/>
  <c r="R182" i="3"/>
  <c r="N35" i="6"/>
  <c r="R200" i="3"/>
  <c r="R171" i="3"/>
  <c r="R164" i="3"/>
  <c r="R189" i="3"/>
  <c r="R178" i="3"/>
  <c r="R167" i="3"/>
  <c r="N34" i="6"/>
  <c r="M216" i="3"/>
  <c r="N216" i="3"/>
  <c r="O216" i="3"/>
  <c r="M41" i="6"/>
  <c r="L41" i="6"/>
  <c r="K38" i="6"/>
  <c r="L38" i="6" s="1"/>
  <c r="N42" i="6"/>
  <c r="K42" i="6"/>
  <c r="L42" i="6" s="1"/>
  <c r="N37" i="6"/>
  <c r="K32" i="6"/>
  <c r="L32" i="6" s="1"/>
  <c r="K37" i="6"/>
  <c r="L37" i="6" s="1"/>
  <c r="N41" i="6"/>
  <c r="K36" i="6"/>
  <c r="L36" i="6" s="1"/>
  <c r="L245" i="3"/>
  <c r="M245" i="3" s="1"/>
  <c r="L237" i="3"/>
  <c r="L229" i="3"/>
  <c r="L221" i="3"/>
  <c r="M221" i="3" s="1"/>
  <c r="L213" i="3"/>
  <c r="M213" i="3" s="1"/>
  <c r="L205" i="3"/>
  <c r="O235" i="3"/>
  <c r="O211" i="3"/>
  <c r="L248" i="3"/>
  <c r="L240" i="3"/>
  <c r="L232" i="3"/>
  <c r="L224" i="3"/>
  <c r="M224" i="3" s="1"/>
  <c r="L216" i="3"/>
  <c r="L208" i="3"/>
  <c r="M39" i="6"/>
  <c r="M33" i="6"/>
  <c r="P42" i="4"/>
  <c r="P46" i="4"/>
  <c r="N23" i="6"/>
  <c r="P53" i="4"/>
  <c r="N22" i="6"/>
  <c r="Q49" i="4"/>
  <c r="N212" i="3" s="1"/>
  <c r="P54" i="4"/>
  <c r="Q50" i="4"/>
  <c r="N206" i="3" s="1"/>
  <c r="P38" i="4"/>
  <c r="N25" i="6"/>
  <c r="N21" i="6"/>
  <c r="N27" i="6"/>
  <c r="N26" i="6"/>
  <c r="N24" i="6"/>
  <c r="L34" i="6"/>
  <c r="M34" i="6"/>
  <c r="L35" i="6"/>
  <c r="M35" i="6"/>
  <c r="K168" i="3"/>
  <c r="L168" i="3"/>
  <c r="K177" i="3"/>
  <c r="K195" i="3"/>
  <c r="N195" i="3" s="1"/>
  <c r="K160" i="3"/>
  <c r="K193" i="3"/>
  <c r="K184" i="3"/>
  <c r="K196" i="3"/>
  <c r="K203" i="3"/>
  <c r="K165" i="3"/>
  <c r="M165" i="3" s="1"/>
  <c r="K163" i="3"/>
  <c r="K169" i="3"/>
  <c r="K198" i="3"/>
  <c r="L172" i="3"/>
  <c r="L198" i="3"/>
  <c r="L176" i="3"/>
  <c r="O176" i="3" s="1"/>
  <c r="L174" i="3"/>
  <c r="M174" i="3" s="1"/>
  <c r="L181" i="3"/>
  <c r="N181" i="3" s="1"/>
  <c r="L184" i="3"/>
  <c r="L183" i="3"/>
  <c r="L197" i="3"/>
  <c r="N197" i="3" s="1"/>
  <c r="L200" i="3"/>
  <c r="L160" i="3"/>
  <c r="L193" i="3"/>
  <c r="L196" i="3"/>
  <c r="L177" i="3"/>
  <c r="L163" i="3"/>
  <c r="K186" i="3"/>
  <c r="O50" i="4"/>
  <c r="O54" i="4"/>
  <c r="K162" i="3"/>
  <c r="P50" i="4"/>
  <c r="Q54" i="4"/>
  <c r="N235" i="3" s="1"/>
  <c r="R50" i="4"/>
  <c r="O49" i="4"/>
  <c r="K190" i="3"/>
  <c r="L173" i="3"/>
  <c r="N173" i="3" s="1"/>
  <c r="K159" i="3"/>
  <c r="K185" i="3"/>
  <c r="L171" i="3"/>
  <c r="K164" i="3"/>
  <c r="R49" i="4"/>
  <c r="L204" i="3"/>
  <c r="O56" i="4"/>
  <c r="K192" i="3"/>
  <c r="K161" i="3"/>
  <c r="P48" i="4"/>
  <c r="P52" i="4"/>
  <c r="O247" i="3" s="1"/>
  <c r="P56" i="4"/>
  <c r="L203" i="3"/>
  <c r="N203" i="3" s="1"/>
  <c r="L179" i="3"/>
  <c r="N179" i="3" s="1"/>
  <c r="N174" i="3"/>
  <c r="R54" i="4"/>
  <c r="L195" i="3"/>
  <c r="K188" i="3"/>
  <c r="K178" i="3"/>
  <c r="P49" i="4"/>
  <c r="L185" i="3"/>
  <c r="K171" i="3"/>
  <c r="Q53" i="4"/>
  <c r="K173" i="3"/>
  <c r="K166" i="3"/>
  <c r="R53" i="4"/>
  <c r="L199" i="3"/>
  <c r="M199" i="3" s="1"/>
  <c r="L161" i="3"/>
  <c r="O48" i="4"/>
  <c r="N223" i="3" s="1"/>
  <c r="O52" i="4"/>
  <c r="N247" i="3" s="1"/>
  <c r="L201" i="3"/>
  <c r="K187" i="3"/>
  <c r="M187" i="3" s="1"/>
  <c r="L182" i="3"/>
  <c r="L180" i="3"/>
  <c r="L175" i="3"/>
  <c r="Q48" i="4"/>
  <c r="Q52" i="4"/>
  <c r="Q56" i="4"/>
  <c r="K191" i="3"/>
  <c r="M191" i="3" s="1"/>
  <c r="K167" i="3"/>
  <c r="M167" i="3" s="1"/>
  <c r="K202" i="3"/>
  <c r="O53" i="4"/>
  <c r="K183" i="3"/>
  <c r="K201" i="3"/>
  <c r="K189" i="3"/>
  <c r="M189" i="3" s="1"/>
  <c r="L187" i="3"/>
  <c r="K182" i="3"/>
  <c r="K180" i="3"/>
  <c r="K175" i="3"/>
  <c r="K170" i="3"/>
  <c r="L30" i="6"/>
  <c r="M30" i="6"/>
  <c r="L31" i="6"/>
  <c r="M31" i="6"/>
  <c r="L28" i="6"/>
  <c r="M28" i="6"/>
  <c r="M29" i="6"/>
  <c r="M163" i="3"/>
  <c r="N167" i="3"/>
  <c r="O167" i="3"/>
  <c r="O163" i="3"/>
  <c r="O166" i="3"/>
  <c r="L159" i="3"/>
  <c r="N159" i="3" s="1"/>
  <c r="L202" i="3"/>
  <c r="L194" i="3"/>
  <c r="M194" i="3" s="1"/>
  <c r="L186" i="3"/>
  <c r="L178" i="3"/>
  <c r="L170" i="3"/>
  <c r="L162" i="3"/>
  <c r="L142" i="3"/>
  <c r="O142" i="3" s="1"/>
  <c r="L149" i="3"/>
  <c r="L135" i="3"/>
  <c r="O135" i="3" s="1"/>
  <c r="L122" i="3"/>
  <c r="L140" i="3"/>
  <c r="L130" i="3"/>
  <c r="L158" i="3"/>
  <c r="M158" i="3" s="1"/>
  <c r="L152" i="3"/>
  <c r="L119" i="3"/>
  <c r="L120" i="3"/>
  <c r="L138" i="3"/>
  <c r="L156" i="3"/>
  <c r="L133" i="3"/>
  <c r="L151" i="3"/>
  <c r="L118" i="3"/>
  <c r="L125" i="3"/>
  <c r="L136" i="3"/>
  <c r="L154" i="3"/>
  <c r="L157" i="3"/>
  <c r="L143" i="3"/>
  <c r="L134" i="3"/>
  <c r="L132" i="3"/>
  <c r="L150" i="3"/>
  <c r="O150" i="3" s="1"/>
  <c r="K122" i="3"/>
  <c r="K140" i="3"/>
  <c r="K148" i="3"/>
  <c r="M148" i="3" s="1"/>
  <c r="K120" i="3"/>
  <c r="K138" i="3"/>
  <c r="K146" i="3"/>
  <c r="K124" i="3"/>
  <c r="M124" i="3" s="1"/>
  <c r="K127" i="3"/>
  <c r="K133" i="3"/>
  <c r="K149" i="3"/>
  <c r="K125" i="3"/>
  <c r="K136" i="3"/>
  <c r="K154" i="3"/>
  <c r="K132" i="3"/>
  <c r="K128" i="3"/>
  <c r="K143" i="3"/>
  <c r="K141" i="3"/>
  <c r="K119" i="3"/>
  <c r="K144" i="3"/>
  <c r="K151" i="3"/>
  <c r="K142" i="3"/>
  <c r="R46" i="4"/>
  <c r="K145" i="3"/>
  <c r="K137" i="3"/>
  <c r="K147" i="3"/>
  <c r="K129" i="3"/>
  <c r="K118" i="3"/>
  <c r="M118" i="3" s="1"/>
  <c r="K121" i="3"/>
  <c r="R43" i="4"/>
  <c r="R39" i="4"/>
  <c r="K155" i="3"/>
  <c r="K126" i="3"/>
  <c r="N126" i="3" s="1"/>
  <c r="K123" i="3"/>
  <c r="M123" i="3" s="1"/>
  <c r="Q43" i="4"/>
  <c r="N191" i="3" s="1"/>
  <c r="Q39" i="4"/>
  <c r="K139" i="3"/>
  <c r="P43" i="4"/>
  <c r="P39" i="4"/>
  <c r="K153" i="3"/>
  <c r="M27" i="6"/>
  <c r="M26" i="6"/>
  <c r="L22" i="6"/>
  <c r="M22" i="6"/>
  <c r="L23" i="6"/>
  <c r="M23" i="6"/>
  <c r="L21" i="6"/>
  <c r="M21" i="6"/>
  <c r="M25" i="6"/>
  <c r="M24" i="6"/>
  <c r="M20" i="6"/>
  <c r="L155" i="3"/>
  <c r="L147" i="3"/>
  <c r="L139" i="3"/>
  <c r="L131" i="3"/>
  <c r="O131" i="3" s="1"/>
  <c r="L123" i="3"/>
  <c r="L153" i="3"/>
  <c r="L145" i="3"/>
  <c r="L137" i="3"/>
  <c r="L129" i="3"/>
  <c r="L121" i="3"/>
  <c r="L62" i="3"/>
  <c r="M62" i="3" s="1"/>
  <c r="R34" i="4"/>
  <c r="R30" i="4"/>
  <c r="Q34" i="4"/>
  <c r="Q30" i="4"/>
  <c r="P34" i="4"/>
  <c r="P30" i="4"/>
  <c r="Q23" i="4"/>
  <c r="K15" i="6"/>
  <c r="M15" i="6" s="1"/>
  <c r="K16" i="6"/>
  <c r="M16" i="6" s="1"/>
  <c r="K2" i="6"/>
  <c r="M2" i="6" s="1"/>
  <c r="K4" i="6"/>
  <c r="M4" i="6" s="1"/>
  <c r="K3" i="6"/>
  <c r="M3" i="6" s="1"/>
  <c r="K17" i="6"/>
  <c r="M17" i="6" s="1"/>
  <c r="K18" i="6"/>
  <c r="L18" i="6" s="1"/>
  <c r="K7" i="6"/>
  <c r="M7" i="6" s="1"/>
  <c r="K8" i="6"/>
  <c r="M8" i="6" s="1"/>
  <c r="K9" i="6"/>
  <c r="M9" i="6" s="1"/>
  <c r="K19" i="6"/>
  <c r="M19" i="6" s="1"/>
  <c r="K62" i="3"/>
  <c r="K6" i="6"/>
  <c r="M6" i="6" s="1"/>
  <c r="K10" i="6"/>
  <c r="M10" i="6" s="1"/>
  <c r="K11" i="6"/>
  <c r="L11" i="6" s="1"/>
  <c r="K12" i="6"/>
  <c r="L12" i="6" s="1"/>
  <c r="K13" i="6"/>
  <c r="M13" i="6" s="1"/>
  <c r="K14" i="6"/>
  <c r="L14" i="6" s="1"/>
  <c r="R96" i="3"/>
  <c r="R112" i="3"/>
  <c r="R92" i="3"/>
  <c r="R88" i="3"/>
  <c r="N16" i="6" s="1"/>
  <c r="R108" i="3"/>
  <c r="R104" i="3"/>
  <c r="R116" i="3"/>
  <c r="R89" i="3"/>
  <c r="R93" i="3"/>
  <c r="R97" i="3"/>
  <c r="R101" i="3"/>
  <c r="R105" i="3"/>
  <c r="R109" i="3"/>
  <c r="R113" i="3"/>
  <c r="R117" i="3"/>
  <c r="R90" i="3"/>
  <c r="R94" i="3"/>
  <c r="R98" i="3"/>
  <c r="R102" i="3"/>
  <c r="R106" i="3"/>
  <c r="R110" i="3"/>
  <c r="R114" i="3"/>
  <c r="R91" i="3"/>
  <c r="R95" i="3"/>
  <c r="R99" i="3"/>
  <c r="R103" i="3"/>
  <c r="R107" i="3"/>
  <c r="R111" i="3"/>
  <c r="R46" i="3"/>
  <c r="R50" i="3"/>
  <c r="R54" i="3"/>
  <c r="R58" i="3"/>
  <c r="R51" i="3"/>
  <c r="R55" i="3"/>
  <c r="R59" i="3"/>
  <c r="Q27" i="4"/>
  <c r="O27" i="4"/>
  <c r="P27" i="4"/>
  <c r="O26" i="4"/>
  <c r="P26" i="4"/>
  <c r="P25" i="4"/>
  <c r="Q25" i="4"/>
  <c r="O24" i="4"/>
  <c r="P24" i="4"/>
  <c r="Q24" i="4"/>
  <c r="O23" i="4"/>
  <c r="P23" i="4"/>
  <c r="K106" i="3"/>
  <c r="K100" i="3"/>
  <c r="K97" i="3"/>
  <c r="K102" i="3"/>
  <c r="K67" i="3"/>
  <c r="K114" i="3"/>
  <c r="K108" i="3"/>
  <c r="K90" i="3"/>
  <c r="K105" i="3"/>
  <c r="K75" i="3"/>
  <c r="K59" i="3"/>
  <c r="K110" i="3"/>
  <c r="K92" i="3"/>
  <c r="K116" i="3"/>
  <c r="K113" i="3"/>
  <c r="K98" i="3"/>
  <c r="K89" i="3"/>
  <c r="K83" i="3"/>
  <c r="K51" i="3"/>
  <c r="L97" i="3"/>
  <c r="L71" i="3"/>
  <c r="L78" i="3"/>
  <c r="L46" i="3"/>
  <c r="L67" i="3"/>
  <c r="L63" i="3"/>
  <c r="L114" i="3"/>
  <c r="L108" i="3"/>
  <c r="L90" i="3"/>
  <c r="L105" i="3"/>
  <c r="L99" i="3"/>
  <c r="L70" i="3"/>
  <c r="L59" i="3"/>
  <c r="L89" i="3"/>
  <c r="N89" i="3" s="1"/>
  <c r="L98" i="3"/>
  <c r="L51" i="3"/>
  <c r="L106" i="3"/>
  <c r="L87" i="3"/>
  <c r="L55" i="3"/>
  <c r="L83" i="3"/>
  <c r="L116" i="3"/>
  <c r="L92" i="3"/>
  <c r="L100" i="3"/>
  <c r="L113" i="3"/>
  <c r="L107" i="3"/>
  <c r="L79" i="3"/>
  <c r="L47" i="3"/>
  <c r="L115" i="3"/>
  <c r="L86" i="3"/>
  <c r="L54" i="3"/>
  <c r="L91" i="3"/>
  <c r="L75" i="3"/>
  <c r="K54" i="3"/>
  <c r="L61" i="3"/>
  <c r="L68" i="3"/>
  <c r="K86" i="3"/>
  <c r="K94" i="3"/>
  <c r="K79" i="3"/>
  <c r="L109" i="3"/>
  <c r="L58" i="3"/>
  <c r="L65" i="3"/>
  <c r="L72" i="3"/>
  <c r="L104" i="3"/>
  <c r="K107" i="3"/>
  <c r="L95" i="3"/>
  <c r="L69" i="3"/>
  <c r="K55" i="3"/>
  <c r="K87" i="3"/>
  <c r="L110" i="3"/>
  <c r="L73" i="3"/>
  <c r="L101" i="3"/>
  <c r="L76" i="3"/>
  <c r="K48" i="3"/>
  <c r="L66" i="3"/>
  <c r="L80" i="3"/>
  <c r="K47" i="3"/>
  <c r="L45" i="3"/>
  <c r="K70" i="3"/>
  <c r="L77" i="3"/>
  <c r="L84" i="3"/>
  <c r="L96" i="3"/>
  <c r="K99" i="3"/>
  <c r="L52" i="3"/>
  <c r="K63" i="3"/>
  <c r="K56" i="3"/>
  <c r="L74" i="3"/>
  <c r="K49" i="3"/>
  <c r="L81" i="3"/>
  <c r="L102" i="3"/>
  <c r="L111" i="3"/>
  <c r="O22" i="4"/>
  <c r="L103" i="3"/>
  <c r="K46" i="3"/>
  <c r="L60" i="3"/>
  <c r="K78" i="3"/>
  <c r="L85" i="3"/>
  <c r="L93" i="3"/>
  <c r="L117" i="3"/>
  <c r="P22" i="4"/>
  <c r="L53" i="3"/>
  <c r="K71" i="3"/>
  <c r="Q22" i="4"/>
  <c r="L50" i="3"/>
  <c r="L57" i="3"/>
  <c r="L64" i="3"/>
  <c r="L82" i="3"/>
  <c r="L88" i="3"/>
  <c r="K91" i="3"/>
  <c r="L112" i="3"/>
  <c r="K115" i="3"/>
  <c r="L94" i="3"/>
  <c r="K88" i="3"/>
  <c r="K96" i="3"/>
  <c r="K104" i="3"/>
  <c r="K112" i="3"/>
  <c r="K93" i="3"/>
  <c r="K101" i="3"/>
  <c r="K109" i="3"/>
  <c r="K117" i="3"/>
  <c r="K95" i="3"/>
  <c r="K103" i="3"/>
  <c r="K111" i="3"/>
  <c r="N6" i="6"/>
  <c r="N7" i="6"/>
  <c r="N8" i="6"/>
  <c r="N9" i="6"/>
  <c r="N10" i="6"/>
  <c r="N11" i="6"/>
  <c r="N12" i="6"/>
  <c r="N5" i="6"/>
  <c r="M5" i="6"/>
  <c r="L5" i="6"/>
  <c r="K64" i="3"/>
  <c r="K72" i="3"/>
  <c r="K80" i="3"/>
  <c r="K53" i="3"/>
  <c r="K61" i="3"/>
  <c r="K69" i="3"/>
  <c r="K77" i="3"/>
  <c r="K85" i="3"/>
  <c r="L56" i="3"/>
  <c r="K45" i="3"/>
  <c r="K50" i="3"/>
  <c r="K58" i="3"/>
  <c r="K66" i="3"/>
  <c r="K74" i="3"/>
  <c r="K82" i="3"/>
  <c r="L48" i="3"/>
  <c r="K52" i="3"/>
  <c r="K60" i="3"/>
  <c r="K68" i="3"/>
  <c r="K76" i="3"/>
  <c r="K84" i="3"/>
  <c r="K57" i="3"/>
  <c r="K65" i="3"/>
  <c r="K73" i="3"/>
  <c r="K81" i="3"/>
  <c r="L49" i="3"/>
  <c r="O21" i="4"/>
  <c r="P21" i="4"/>
  <c r="Q21" i="4"/>
  <c r="P20" i="4"/>
  <c r="Q20" i="4"/>
  <c r="O20" i="4"/>
  <c r="Q19" i="4"/>
  <c r="O19" i="4"/>
  <c r="P19" i="4"/>
  <c r="O18" i="4"/>
  <c r="P18" i="4"/>
  <c r="Q18" i="4"/>
  <c r="Q17" i="4"/>
  <c r="O17" i="4"/>
  <c r="P17" i="4"/>
  <c r="Q16" i="4"/>
  <c r="O16" i="4"/>
  <c r="P16" i="4"/>
  <c r="O15" i="4"/>
  <c r="P15" i="4"/>
  <c r="Q15" i="4"/>
  <c r="O14" i="4"/>
  <c r="Q14" i="4"/>
  <c r="P14" i="4"/>
  <c r="O13" i="4"/>
  <c r="P13" i="4"/>
  <c r="Q13" i="4"/>
  <c r="P12" i="4"/>
  <c r="O12" i="4"/>
  <c r="Q12" i="4"/>
  <c r="N3" i="6"/>
  <c r="N2" i="6"/>
  <c r="Q10" i="4"/>
  <c r="P8" i="4"/>
  <c r="Q9" i="4"/>
  <c r="P4" i="4"/>
  <c r="R6" i="4"/>
  <c r="L11" i="3"/>
  <c r="Q7" i="4"/>
  <c r="R11" i="4"/>
  <c r="Q11" i="4"/>
  <c r="O8" i="4"/>
  <c r="P2" i="4"/>
  <c r="R7" i="4"/>
  <c r="P11" i="4"/>
  <c r="Q6" i="4"/>
  <c r="P6" i="4"/>
  <c r="O6" i="4"/>
  <c r="P7" i="4"/>
  <c r="R5" i="4"/>
  <c r="O4" i="4"/>
  <c r="K16" i="3"/>
  <c r="K40" i="3"/>
  <c r="K33" i="3"/>
  <c r="K10" i="3"/>
  <c r="K43" i="3"/>
  <c r="K8" i="3"/>
  <c r="K17" i="3"/>
  <c r="K26" i="3"/>
  <c r="K3" i="3"/>
  <c r="K27" i="3"/>
  <c r="K24" i="3"/>
  <c r="K9" i="3"/>
  <c r="K41" i="3"/>
  <c r="K18" i="3"/>
  <c r="K42" i="3"/>
  <c r="K11" i="3"/>
  <c r="K32" i="3"/>
  <c r="K35" i="3"/>
  <c r="K25" i="3"/>
  <c r="K34" i="3"/>
  <c r="K19" i="3"/>
  <c r="K4" i="3"/>
  <c r="L16" i="3"/>
  <c r="L17" i="3"/>
  <c r="L34" i="3"/>
  <c r="L32" i="3"/>
  <c r="L9" i="3"/>
  <c r="L42" i="3"/>
  <c r="L27" i="3"/>
  <c r="L24" i="3"/>
  <c r="L25" i="3"/>
  <c r="L10" i="3"/>
  <c r="L3" i="3"/>
  <c r="L35" i="3"/>
  <c r="L40" i="3"/>
  <c r="L33" i="3"/>
  <c r="L26" i="3"/>
  <c r="L8" i="3"/>
  <c r="L41" i="3"/>
  <c r="L18" i="3"/>
  <c r="L19" i="3"/>
  <c r="L43" i="3"/>
  <c r="L38" i="3"/>
  <c r="L15" i="3"/>
  <c r="O10" i="4"/>
  <c r="K23" i="3"/>
  <c r="R9" i="4"/>
  <c r="L6" i="3"/>
  <c r="K38" i="3"/>
  <c r="K30" i="3"/>
  <c r="K22" i="3"/>
  <c r="K14" i="3"/>
  <c r="K6" i="3"/>
  <c r="P9" i="4"/>
  <c r="P5" i="4"/>
  <c r="L23" i="3"/>
  <c r="K39" i="3"/>
  <c r="K7" i="3"/>
  <c r="L22" i="3"/>
  <c r="Q5" i="4"/>
  <c r="K2" i="3"/>
  <c r="L37" i="3"/>
  <c r="L29" i="3"/>
  <c r="L21" i="3"/>
  <c r="L13" i="3"/>
  <c r="L5" i="3"/>
  <c r="O9" i="4"/>
  <c r="L39" i="3"/>
  <c r="L7" i="3"/>
  <c r="K15" i="3"/>
  <c r="L30" i="3"/>
  <c r="L2" i="3"/>
  <c r="K37" i="3"/>
  <c r="K29" i="3"/>
  <c r="K21" i="3"/>
  <c r="K13" i="3"/>
  <c r="K5" i="3"/>
  <c r="O2" i="4"/>
  <c r="R8" i="4"/>
  <c r="R4" i="4"/>
  <c r="P10" i="4"/>
  <c r="L31" i="3"/>
  <c r="L14" i="3"/>
  <c r="L44" i="3"/>
  <c r="L36" i="3"/>
  <c r="L28" i="3"/>
  <c r="L20" i="3"/>
  <c r="L12" i="3"/>
  <c r="L4" i="3"/>
  <c r="Q2" i="4"/>
  <c r="Q8" i="4"/>
  <c r="Q4" i="4"/>
  <c r="R10" i="4"/>
  <c r="K31" i="3"/>
  <c r="K44" i="3"/>
  <c r="K36" i="3"/>
  <c r="K28" i="3"/>
  <c r="K20" i="3"/>
  <c r="K12" i="3"/>
  <c r="R3" i="4"/>
  <c r="Q3" i="4"/>
  <c r="P3" i="4"/>
  <c r="O325" i="3" l="1"/>
  <c r="N325" i="3"/>
  <c r="P325" i="3" s="1"/>
  <c r="M325" i="3"/>
  <c r="O317" i="3"/>
  <c r="N317" i="3"/>
  <c r="P317" i="3" s="1"/>
  <c r="M317" i="3"/>
  <c r="O309" i="3"/>
  <c r="N309" i="3"/>
  <c r="P309" i="3" s="1"/>
  <c r="M309" i="3"/>
  <c r="O292" i="3"/>
  <c r="M292" i="3"/>
  <c r="N292" i="3"/>
  <c r="P292" i="3" s="1"/>
  <c r="P320" i="3"/>
  <c r="M296" i="3"/>
  <c r="P326" i="3"/>
  <c r="N304" i="3"/>
  <c r="M304" i="3"/>
  <c r="O304" i="3"/>
  <c r="N296" i="3"/>
  <c r="P296" i="3" s="1"/>
  <c r="N303" i="3"/>
  <c r="O301" i="3"/>
  <c r="N301" i="3"/>
  <c r="P301" i="3" s="1"/>
  <c r="M301" i="3"/>
  <c r="P299" i="3"/>
  <c r="O303" i="3"/>
  <c r="O293" i="3"/>
  <c r="N293" i="3"/>
  <c r="P293" i="3" s="1"/>
  <c r="M293" i="3"/>
  <c r="O319" i="3"/>
  <c r="N319" i="3"/>
  <c r="P319" i="3" s="1"/>
  <c r="M319" i="3"/>
  <c r="M299" i="3"/>
  <c r="M323" i="3"/>
  <c r="O323" i="3"/>
  <c r="N323" i="3"/>
  <c r="N295" i="3"/>
  <c r="O295" i="3"/>
  <c r="M295" i="3"/>
  <c r="O315" i="3"/>
  <c r="N315" i="3"/>
  <c r="P315" i="3" s="1"/>
  <c r="M315" i="3"/>
  <c r="N311" i="3"/>
  <c r="P311" i="3" s="1"/>
  <c r="O291" i="3"/>
  <c r="N291" i="3"/>
  <c r="P291" i="3" s="1"/>
  <c r="M291" i="3"/>
  <c r="M311" i="3"/>
  <c r="M310" i="3"/>
  <c r="N294" i="3"/>
  <c r="M294" i="3"/>
  <c r="O294" i="3"/>
  <c r="M302" i="3"/>
  <c r="N302" i="3"/>
  <c r="O302" i="3"/>
  <c r="N307" i="3"/>
  <c r="P307" i="3" s="1"/>
  <c r="O316" i="3"/>
  <c r="P316" i="3" s="1"/>
  <c r="O313" i="3"/>
  <c r="N313" i="3"/>
  <c r="P313" i="3" s="1"/>
  <c r="M313" i="3"/>
  <c r="M307" i="3"/>
  <c r="M308" i="3"/>
  <c r="N308" i="3"/>
  <c r="O308" i="3"/>
  <c r="O297" i="3"/>
  <c r="M297" i="3"/>
  <c r="N297" i="3"/>
  <c r="P297" i="3" s="1"/>
  <c r="O320" i="3"/>
  <c r="M312" i="3"/>
  <c r="M305" i="3"/>
  <c r="O305" i="3"/>
  <c r="N305" i="3"/>
  <c r="P305" i="3" s="1"/>
  <c r="O312" i="3"/>
  <c r="P312" i="3" s="1"/>
  <c r="N300" i="3"/>
  <c r="M300" i="3"/>
  <c r="O300" i="3"/>
  <c r="N324" i="3"/>
  <c r="O324" i="3"/>
  <c r="M324" i="3"/>
  <c r="O165" i="3"/>
  <c r="M240" i="3"/>
  <c r="N210" i="3"/>
  <c r="M262" i="3"/>
  <c r="M227" i="3"/>
  <c r="O225" i="3"/>
  <c r="M175" i="3"/>
  <c r="O174" i="3"/>
  <c r="P174" i="3" s="1"/>
  <c r="N234" i="3"/>
  <c r="N262" i="3"/>
  <c r="O234" i="3"/>
  <c r="O210" i="3"/>
  <c r="P210" i="3" s="1"/>
  <c r="N165" i="3"/>
  <c r="P165" i="3" s="1"/>
  <c r="O213" i="3"/>
  <c r="P213" i="3" s="1"/>
  <c r="N236" i="3"/>
  <c r="P236" i="3" s="1"/>
  <c r="O171" i="3"/>
  <c r="M276" i="3"/>
  <c r="M263" i="3"/>
  <c r="O147" i="3"/>
  <c r="O199" i="3"/>
  <c r="N284" i="3"/>
  <c r="N255" i="3"/>
  <c r="N278" i="3"/>
  <c r="P278" i="3" s="1"/>
  <c r="O287" i="3"/>
  <c r="M279" i="3"/>
  <c r="M197" i="3"/>
  <c r="M195" i="3"/>
  <c r="O239" i="3"/>
  <c r="N199" i="3"/>
  <c r="P199" i="3" s="1"/>
  <c r="N239" i="3"/>
  <c r="P239" i="3" s="1"/>
  <c r="O223" i="3"/>
  <c r="P223" i="3" s="1"/>
  <c r="O281" i="3"/>
  <c r="N213" i="3"/>
  <c r="O158" i="3"/>
  <c r="M202" i="3"/>
  <c r="O203" i="3"/>
  <c r="M232" i="3"/>
  <c r="M219" i="3"/>
  <c r="N218" i="3"/>
  <c r="P218" i="3" s="1"/>
  <c r="N289" i="3"/>
  <c r="P249" i="3"/>
  <c r="P287" i="3"/>
  <c r="O148" i="3"/>
  <c r="P148" i="3" s="1"/>
  <c r="N132" i="3"/>
  <c r="O140" i="3"/>
  <c r="O197" i="3"/>
  <c r="P197" i="3" s="1"/>
  <c r="O183" i="3"/>
  <c r="M248" i="3"/>
  <c r="M218" i="3"/>
  <c r="N263" i="3"/>
  <c r="M284" i="3"/>
  <c r="O264" i="3"/>
  <c r="M264" i="3"/>
  <c r="N264" i="3"/>
  <c r="P264" i="3" s="1"/>
  <c r="M215" i="3"/>
  <c r="N215" i="3"/>
  <c r="O215" i="3"/>
  <c r="P215" i="3" s="1"/>
  <c r="O290" i="3"/>
  <c r="M290" i="3"/>
  <c r="N290" i="3"/>
  <c r="P290" i="3" s="1"/>
  <c r="M181" i="3"/>
  <c r="O200" i="3"/>
  <c r="O227" i="3"/>
  <c r="P227" i="3" s="1"/>
  <c r="M254" i="3"/>
  <c r="M273" i="3"/>
  <c r="N286" i="3"/>
  <c r="P286" i="3" s="1"/>
  <c r="O258" i="3"/>
  <c r="M258" i="3"/>
  <c r="N258" i="3"/>
  <c r="P258" i="3" s="1"/>
  <c r="N209" i="3"/>
  <c r="O209" i="3"/>
  <c r="M209" i="3"/>
  <c r="O266" i="3"/>
  <c r="M266" i="3"/>
  <c r="N266" i="3"/>
  <c r="P266" i="3" s="1"/>
  <c r="O250" i="3"/>
  <c r="N250" i="3"/>
  <c r="P250" i="3" s="1"/>
  <c r="M250" i="3"/>
  <c r="M129" i="3"/>
  <c r="N242" i="3"/>
  <c r="N245" i="3"/>
  <c r="N226" i="3"/>
  <c r="P226" i="3" s="1"/>
  <c r="N279" i="3"/>
  <c r="N270" i="3"/>
  <c r="P270" i="3" s="1"/>
  <c r="M289" i="3"/>
  <c r="N241" i="3"/>
  <c r="O241" i="3"/>
  <c r="M241" i="3"/>
  <c r="M233" i="3"/>
  <c r="O233" i="3"/>
  <c r="O155" i="3"/>
  <c r="M147" i="3"/>
  <c r="O243" i="3"/>
  <c r="P234" i="3"/>
  <c r="P284" i="3"/>
  <c r="M270" i="3"/>
  <c r="O289" i="3"/>
  <c r="O269" i="3"/>
  <c r="M269" i="3"/>
  <c r="N269" i="3"/>
  <c r="P269" i="3" s="1"/>
  <c r="M226" i="3"/>
  <c r="M288" i="3"/>
  <c r="N288" i="3"/>
  <c r="O288" i="3"/>
  <c r="M162" i="3"/>
  <c r="O179" i="3"/>
  <c r="P179" i="3" s="1"/>
  <c r="N233" i="3"/>
  <c r="P233" i="3" s="1"/>
  <c r="N217" i="3"/>
  <c r="P217" i="3" s="1"/>
  <c r="M126" i="3"/>
  <c r="O187" i="3"/>
  <c r="M179" i="3"/>
  <c r="O198" i="3"/>
  <c r="M205" i="3"/>
  <c r="M238" i="3"/>
  <c r="N238" i="3"/>
  <c r="O238" i="3"/>
  <c r="O274" i="3"/>
  <c r="M274" i="3"/>
  <c r="N274" i="3"/>
  <c r="M285" i="3"/>
  <c r="N285" i="3"/>
  <c r="O285" i="3"/>
  <c r="N150" i="3"/>
  <c r="P150" i="3" s="1"/>
  <c r="O195" i="3"/>
  <c r="P195" i="3" s="1"/>
  <c r="M208" i="3"/>
  <c r="O255" i="3"/>
  <c r="P255" i="3" s="1"/>
  <c r="N257" i="3"/>
  <c r="P257" i="3" s="1"/>
  <c r="M281" i="3"/>
  <c r="N280" i="3"/>
  <c r="M280" i="3"/>
  <c r="O280" i="3"/>
  <c r="M259" i="3"/>
  <c r="N259" i="3"/>
  <c r="O259" i="3"/>
  <c r="M230" i="3"/>
  <c r="N230" i="3"/>
  <c r="O230" i="3"/>
  <c r="N227" i="3"/>
  <c r="N253" i="3"/>
  <c r="O253" i="3"/>
  <c r="M253" i="3"/>
  <c r="O252" i="3"/>
  <c r="M244" i="3"/>
  <c r="O244" i="3"/>
  <c r="N244" i="3"/>
  <c r="P244" i="3" s="1"/>
  <c r="O214" i="3"/>
  <c r="P214" i="3" s="1"/>
  <c r="M214" i="3"/>
  <c r="M220" i="3"/>
  <c r="N220" i="3"/>
  <c r="O220" i="3"/>
  <c r="N148" i="3"/>
  <c r="O173" i="3"/>
  <c r="P173" i="3" s="1"/>
  <c r="O245" i="3"/>
  <c r="P262" i="3"/>
  <c r="N252" i="3"/>
  <c r="P252" i="3" s="1"/>
  <c r="O282" i="3"/>
  <c r="M282" i="3"/>
  <c r="N282" i="3"/>
  <c r="P282" i="3" s="1"/>
  <c r="N231" i="3"/>
  <c r="O231" i="3"/>
  <c r="M231" i="3"/>
  <c r="O189" i="3"/>
  <c r="O242" i="3"/>
  <c r="N243" i="3"/>
  <c r="N260" i="3"/>
  <c r="M246" i="3"/>
  <c r="N246" i="3"/>
  <c r="O246" i="3"/>
  <c r="O217" i="3"/>
  <c r="M268" i="3"/>
  <c r="O254" i="3"/>
  <c r="P254" i="3" s="1"/>
  <c r="O273" i="3"/>
  <c r="P273" i="3" s="1"/>
  <c r="O251" i="3"/>
  <c r="M251" i="3"/>
  <c r="N251" i="3"/>
  <c r="M287" i="3"/>
  <c r="M206" i="3"/>
  <c r="O206" i="3"/>
  <c r="P206" i="3" s="1"/>
  <c r="M121" i="3"/>
  <c r="O219" i="3"/>
  <c r="N271" i="3"/>
  <c r="M277" i="3"/>
  <c r="N277" i="3"/>
  <c r="O277" i="3"/>
  <c r="N228" i="3"/>
  <c r="M228" i="3"/>
  <c r="O228" i="3"/>
  <c r="M150" i="3"/>
  <c r="O181" i="3"/>
  <c r="P181" i="3" s="1"/>
  <c r="O190" i="3"/>
  <c r="N163" i="3"/>
  <c r="P163" i="3" s="1"/>
  <c r="N211" i="3"/>
  <c r="P211" i="3" s="1"/>
  <c r="O263" i="3"/>
  <c r="M257" i="3"/>
  <c r="N281" i="3"/>
  <c r="N225" i="3"/>
  <c r="P225" i="3" s="1"/>
  <c r="O236" i="3"/>
  <c r="M236" i="3"/>
  <c r="M267" i="3"/>
  <c r="O267" i="3"/>
  <c r="N267" i="3"/>
  <c r="N158" i="3"/>
  <c r="P158" i="3" s="1"/>
  <c r="M142" i="3"/>
  <c r="O191" i="3"/>
  <c r="P191" i="3" s="1"/>
  <c r="M229" i="3"/>
  <c r="O271" i="3"/>
  <c r="M212" i="3"/>
  <c r="O212" i="3"/>
  <c r="P212" i="3" s="1"/>
  <c r="M255" i="3"/>
  <c r="M283" i="3"/>
  <c r="O283" i="3"/>
  <c r="N283" i="3"/>
  <c r="O275" i="3"/>
  <c r="P275" i="3" s="1"/>
  <c r="M203" i="3"/>
  <c r="N219" i="3"/>
  <c r="M237" i="3"/>
  <c r="O279" i="3"/>
  <c r="N207" i="3"/>
  <c r="O207" i="3"/>
  <c r="M207" i="3"/>
  <c r="N222" i="3"/>
  <c r="M222" i="3"/>
  <c r="O222" i="3"/>
  <c r="M256" i="3"/>
  <c r="N256" i="3"/>
  <c r="O256" i="3"/>
  <c r="M275" i="3"/>
  <c r="M261" i="3"/>
  <c r="N261" i="3"/>
  <c r="O261" i="3"/>
  <c r="N272" i="3"/>
  <c r="M272" i="3"/>
  <c r="O272" i="3"/>
  <c r="O260" i="3"/>
  <c r="P260" i="3" s="1"/>
  <c r="O268" i="3"/>
  <c r="P268" i="3" s="1"/>
  <c r="M260" i="3"/>
  <c r="N276" i="3"/>
  <c r="O276" i="3"/>
  <c r="M32" i="6"/>
  <c r="M36" i="6"/>
  <c r="M37" i="6"/>
  <c r="O134" i="3"/>
  <c r="P247" i="3"/>
  <c r="N31" i="6"/>
  <c r="N29" i="6"/>
  <c r="N30" i="6"/>
  <c r="N28" i="6"/>
  <c r="O221" i="3"/>
  <c r="O240" i="3"/>
  <c r="N221" i="3"/>
  <c r="N237" i="3"/>
  <c r="P237" i="3" s="1"/>
  <c r="N240" i="3"/>
  <c r="O232" i="3"/>
  <c r="O224" i="3"/>
  <c r="M38" i="6"/>
  <c r="O205" i="3"/>
  <c r="N232" i="3"/>
  <c r="N224" i="3"/>
  <c r="M42" i="6"/>
  <c r="P235" i="3"/>
  <c r="N205" i="3"/>
  <c r="O229" i="3"/>
  <c r="P216" i="3"/>
  <c r="N208" i="3"/>
  <c r="P208" i="3" s="1"/>
  <c r="N248" i="3"/>
  <c r="P248" i="3" s="1"/>
  <c r="N229" i="3"/>
  <c r="O156" i="3"/>
  <c r="N182" i="3"/>
  <c r="M182" i="3"/>
  <c r="M155" i="3"/>
  <c r="N142" i="3"/>
  <c r="P142" i="3" s="1"/>
  <c r="O182" i="3"/>
  <c r="O175" i="3"/>
  <c r="O196" i="3"/>
  <c r="N196" i="3"/>
  <c r="M196" i="3"/>
  <c r="O178" i="3"/>
  <c r="N175" i="3"/>
  <c r="N190" i="3"/>
  <c r="M190" i="3"/>
  <c r="O184" i="3"/>
  <c r="N184" i="3"/>
  <c r="M184" i="3"/>
  <c r="N139" i="3"/>
  <c r="O129" i="3"/>
  <c r="N147" i="3"/>
  <c r="P147" i="3" s="1"/>
  <c r="N156" i="3"/>
  <c r="N129" i="3"/>
  <c r="M171" i="3"/>
  <c r="N201" i="3"/>
  <c r="O201" i="3"/>
  <c r="M201" i="3"/>
  <c r="M200" i="3"/>
  <c r="N200" i="3"/>
  <c r="N193" i="3"/>
  <c r="M193" i="3"/>
  <c r="O193" i="3"/>
  <c r="O132" i="3"/>
  <c r="M156" i="3"/>
  <c r="O170" i="3"/>
  <c r="O186" i="3"/>
  <c r="O160" i="3"/>
  <c r="M160" i="3"/>
  <c r="N160" i="3"/>
  <c r="N134" i="3"/>
  <c r="M140" i="3"/>
  <c r="N189" i="3"/>
  <c r="N171" i="3"/>
  <c r="M183" i="3"/>
  <c r="M134" i="3"/>
  <c r="N183" i="3"/>
  <c r="N166" i="3"/>
  <c r="P166" i="3" s="1"/>
  <c r="M166" i="3"/>
  <c r="M177" i="3"/>
  <c r="N177" i="3"/>
  <c r="O177" i="3"/>
  <c r="N155" i="3"/>
  <c r="N187" i="3"/>
  <c r="M173" i="3"/>
  <c r="M161" i="3"/>
  <c r="N161" i="3"/>
  <c r="O161" i="3"/>
  <c r="M176" i="3"/>
  <c r="N176" i="3"/>
  <c r="P176" i="3" s="1"/>
  <c r="O204" i="3"/>
  <c r="M204" i="3"/>
  <c r="N204" i="3"/>
  <c r="N172" i="3"/>
  <c r="M172" i="3"/>
  <c r="O172" i="3"/>
  <c r="O121" i="3"/>
  <c r="M164" i="3"/>
  <c r="O164" i="3"/>
  <c r="N164" i="3"/>
  <c r="N198" i="3"/>
  <c r="M198" i="3"/>
  <c r="O188" i="3"/>
  <c r="M188" i="3"/>
  <c r="N188" i="3"/>
  <c r="M169" i="3"/>
  <c r="N169" i="3"/>
  <c r="O169" i="3"/>
  <c r="N185" i="3"/>
  <c r="O185" i="3"/>
  <c r="M185" i="3"/>
  <c r="M131" i="3"/>
  <c r="N137" i="3"/>
  <c r="N118" i="3"/>
  <c r="O180" i="3"/>
  <c r="M180" i="3"/>
  <c r="N180" i="3"/>
  <c r="O126" i="3"/>
  <c r="P126" i="3" s="1"/>
  <c r="O202" i="3"/>
  <c r="O192" i="3"/>
  <c r="N192" i="3"/>
  <c r="M192" i="3"/>
  <c r="O168" i="3"/>
  <c r="M168" i="3"/>
  <c r="N168" i="3"/>
  <c r="O162" i="3"/>
  <c r="N170" i="3"/>
  <c r="M170" i="3"/>
  <c r="M159" i="3"/>
  <c r="O159" i="3"/>
  <c r="P159" i="3" s="1"/>
  <c r="M186" i="3"/>
  <c r="O194" i="3"/>
  <c r="N186" i="3"/>
  <c r="P203" i="3"/>
  <c r="N194" i="3"/>
  <c r="N162" i="3"/>
  <c r="P167" i="3"/>
  <c r="N178" i="3"/>
  <c r="M178" i="3"/>
  <c r="N202" i="3"/>
  <c r="N153" i="3"/>
  <c r="O127" i="3"/>
  <c r="M127" i="3"/>
  <c r="N127" i="3"/>
  <c r="O124" i="3"/>
  <c r="M146" i="3"/>
  <c r="N146" i="3"/>
  <c r="O146" i="3"/>
  <c r="M138" i="3"/>
  <c r="N138" i="3"/>
  <c r="O138" i="3"/>
  <c r="N133" i="3"/>
  <c r="O133" i="3"/>
  <c r="M133" i="3"/>
  <c r="O119" i="3"/>
  <c r="M119" i="3"/>
  <c r="N119" i="3"/>
  <c r="N123" i="3"/>
  <c r="M141" i="3"/>
  <c r="O141" i="3"/>
  <c r="N141" i="3"/>
  <c r="N124" i="3"/>
  <c r="O123" i="3"/>
  <c r="M128" i="3"/>
  <c r="N128" i="3"/>
  <c r="O128" i="3"/>
  <c r="O130" i="3"/>
  <c r="M130" i="3"/>
  <c r="N130" i="3"/>
  <c r="O139" i="3"/>
  <c r="M132" i="3"/>
  <c r="M122" i="3"/>
  <c r="N122" i="3"/>
  <c r="O122" i="3"/>
  <c r="M139" i="3"/>
  <c r="N154" i="3"/>
  <c r="O154" i="3"/>
  <c r="M154" i="3"/>
  <c r="O143" i="3"/>
  <c r="M143" i="3"/>
  <c r="N143" i="3"/>
  <c r="M137" i="3"/>
  <c r="N121" i="3"/>
  <c r="N136" i="3"/>
  <c r="O136" i="3"/>
  <c r="M136" i="3"/>
  <c r="M157" i="3"/>
  <c r="N157" i="3"/>
  <c r="O157" i="3"/>
  <c r="M135" i="3"/>
  <c r="N135" i="3"/>
  <c r="P135" i="3" s="1"/>
  <c r="N144" i="3"/>
  <c r="M144" i="3"/>
  <c r="O144" i="3"/>
  <c r="N140" i="3"/>
  <c r="O118" i="3"/>
  <c r="N131" i="3"/>
  <c r="P131" i="3" s="1"/>
  <c r="N125" i="3"/>
  <c r="M125" i="3"/>
  <c r="O125" i="3"/>
  <c r="O151" i="3"/>
  <c r="M151" i="3"/>
  <c r="N151" i="3"/>
  <c r="M120" i="3"/>
  <c r="N120" i="3"/>
  <c r="O120" i="3"/>
  <c r="N152" i="3"/>
  <c r="O152" i="3"/>
  <c r="M152" i="3"/>
  <c r="N145" i="3"/>
  <c r="M149" i="3"/>
  <c r="N149" i="3"/>
  <c r="O149" i="3"/>
  <c r="O145" i="3"/>
  <c r="M145" i="3"/>
  <c r="O153" i="3"/>
  <c r="O137" i="3"/>
  <c r="M153" i="3"/>
  <c r="O97" i="3"/>
  <c r="L15" i="6"/>
  <c r="L4" i="6"/>
  <c r="L2" i="6"/>
  <c r="L3" i="6"/>
  <c r="L16" i="6"/>
  <c r="L17" i="6"/>
  <c r="M18" i="6"/>
  <c r="N17" i="6"/>
  <c r="N14" i="6"/>
  <c r="N15" i="6"/>
  <c r="O55" i="3"/>
  <c r="N54" i="3"/>
  <c r="N70" i="3"/>
  <c r="L7" i="6"/>
  <c r="O115" i="3"/>
  <c r="M110" i="3"/>
  <c r="L8" i="6"/>
  <c r="L10" i="6"/>
  <c r="M11" i="6"/>
  <c r="M106" i="3"/>
  <c r="N97" i="3"/>
  <c r="M89" i="3"/>
  <c r="L19" i="6"/>
  <c r="M12" i="6"/>
  <c r="M70" i="3"/>
  <c r="N75" i="3"/>
  <c r="L6" i="6"/>
  <c r="M14" i="6"/>
  <c r="L9" i="6"/>
  <c r="N48" i="3"/>
  <c r="N51" i="3"/>
  <c r="L13" i="6"/>
  <c r="N19" i="6"/>
  <c r="N18" i="6"/>
  <c r="O102" i="3"/>
  <c r="O54" i="3"/>
  <c r="M54" i="3"/>
  <c r="M87" i="3"/>
  <c r="O51" i="3"/>
  <c r="M83" i="3"/>
  <c r="O71" i="3"/>
  <c r="M55" i="3"/>
  <c r="M114" i="3"/>
  <c r="N71" i="3"/>
  <c r="M78" i="3"/>
  <c r="O70" i="3"/>
  <c r="O47" i="3"/>
  <c r="N55" i="3"/>
  <c r="N106" i="3"/>
  <c r="M113" i="3"/>
  <c r="N87" i="3"/>
  <c r="N102" i="3"/>
  <c r="O94" i="3"/>
  <c r="O63" i="3"/>
  <c r="N86" i="3"/>
  <c r="N67" i="3"/>
  <c r="N90" i="3"/>
  <c r="M67" i="3"/>
  <c r="N49" i="3"/>
  <c r="O87" i="3"/>
  <c r="N83" i="3"/>
  <c r="O46" i="3"/>
  <c r="O86" i="3"/>
  <c r="M86" i="3"/>
  <c r="N110" i="3"/>
  <c r="N62" i="3"/>
  <c r="N114" i="3"/>
  <c r="O75" i="3"/>
  <c r="N63" i="3"/>
  <c r="O62" i="3"/>
  <c r="O110" i="3"/>
  <c r="M97" i="3"/>
  <c r="M75" i="3"/>
  <c r="M79" i="3"/>
  <c r="M99" i="3"/>
  <c r="O91" i="3"/>
  <c r="O105" i="3"/>
  <c r="O56" i="3"/>
  <c r="M71" i="3"/>
  <c r="M90" i="3"/>
  <c r="N46" i="3"/>
  <c r="N99" i="3"/>
  <c r="M46" i="3"/>
  <c r="O99" i="3"/>
  <c r="N79" i="3"/>
  <c r="M102" i="3"/>
  <c r="O67" i="3"/>
  <c r="M63" i="3"/>
  <c r="N113" i="3"/>
  <c r="N105" i="3"/>
  <c r="O79" i="3"/>
  <c r="N47" i="3"/>
  <c r="N94" i="3"/>
  <c r="M107" i="3"/>
  <c r="M115" i="3"/>
  <c r="O59" i="3"/>
  <c r="O98" i="3"/>
  <c r="O107" i="3"/>
  <c r="O113" i="3"/>
  <c r="O116" i="3"/>
  <c r="N116" i="3"/>
  <c r="M116" i="3"/>
  <c r="N107" i="3"/>
  <c r="O92" i="3"/>
  <c r="N92" i="3"/>
  <c r="M92" i="3"/>
  <c r="N78" i="3"/>
  <c r="N59" i="3"/>
  <c r="M59" i="3"/>
  <c r="O78" i="3"/>
  <c r="M56" i="3"/>
  <c r="N56" i="3"/>
  <c r="N115" i="3"/>
  <c r="M105" i="3"/>
  <c r="N98" i="3"/>
  <c r="O90" i="3"/>
  <c r="M91" i="3"/>
  <c r="O108" i="3"/>
  <c r="N108" i="3"/>
  <c r="M108" i="3"/>
  <c r="M49" i="3"/>
  <c r="M47" i="3"/>
  <c r="N91" i="3"/>
  <c r="O114" i="3"/>
  <c r="M94" i="3"/>
  <c r="M51" i="3"/>
  <c r="M98" i="3"/>
  <c r="O83" i="3"/>
  <c r="O100" i="3"/>
  <c r="N100" i="3"/>
  <c r="M100" i="3"/>
  <c r="O89" i="3"/>
  <c r="P89" i="3" s="1"/>
  <c r="O106" i="3"/>
  <c r="O104" i="3"/>
  <c r="N104" i="3"/>
  <c r="M104" i="3"/>
  <c r="O88" i="3"/>
  <c r="N88" i="3"/>
  <c r="M88" i="3"/>
  <c r="N111" i="3"/>
  <c r="M111" i="3"/>
  <c r="O111" i="3"/>
  <c r="N103" i="3"/>
  <c r="M103" i="3"/>
  <c r="O103" i="3"/>
  <c r="N95" i="3"/>
  <c r="M95" i="3"/>
  <c r="O95" i="3"/>
  <c r="O117" i="3"/>
  <c r="N117" i="3"/>
  <c r="M117" i="3"/>
  <c r="O109" i="3"/>
  <c r="N109" i="3"/>
  <c r="M109" i="3"/>
  <c r="O101" i="3"/>
  <c r="N101" i="3"/>
  <c r="M101" i="3"/>
  <c r="O93" i="3"/>
  <c r="N93" i="3"/>
  <c r="M93" i="3"/>
  <c r="O112" i="3"/>
  <c r="N112" i="3"/>
  <c r="M112" i="3"/>
  <c r="O96" i="3"/>
  <c r="N96" i="3"/>
  <c r="M96" i="3"/>
  <c r="N65" i="3"/>
  <c r="M65" i="3"/>
  <c r="O65" i="3"/>
  <c r="O77" i="3"/>
  <c r="N77" i="3"/>
  <c r="M77" i="3"/>
  <c r="O69" i="3"/>
  <c r="N69" i="3"/>
  <c r="M69" i="3"/>
  <c r="O64" i="3"/>
  <c r="N64" i="3"/>
  <c r="M64" i="3"/>
  <c r="O76" i="3"/>
  <c r="N76" i="3"/>
  <c r="M76" i="3"/>
  <c r="O68" i="3"/>
  <c r="N68" i="3"/>
  <c r="M68" i="3"/>
  <c r="O53" i="3"/>
  <c r="N53" i="3"/>
  <c r="M53" i="3"/>
  <c r="M48" i="3"/>
  <c r="O52" i="3"/>
  <c r="N52" i="3"/>
  <c r="M52" i="3"/>
  <c r="O48" i="3"/>
  <c r="O60" i="3"/>
  <c r="N60" i="3"/>
  <c r="M60" i="3"/>
  <c r="O82" i="3"/>
  <c r="N82" i="3"/>
  <c r="M82" i="3"/>
  <c r="O49" i="3"/>
  <c r="N73" i="3"/>
  <c r="M73" i="3"/>
  <c r="O73" i="3"/>
  <c r="O74" i="3"/>
  <c r="N74" i="3"/>
  <c r="M74" i="3"/>
  <c r="O61" i="3"/>
  <c r="N61" i="3"/>
  <c r="M61" i="3"/>
  <c r="N66" i="3"/>
  <c r="O66" i="3"/>
  <c r="M66" i="3"/>
  <c r="N57" i="3"/>
  <c r="M57" i="3"/>
  <c r="O57" i="3"/>
  <c r="N58" i="3"/>
  <c r="O58" i="3"/>
  <c r="M58" i="3"/>
  <c r="O80" i="3"/>
  <c r="N80" i="3"/>
  <c r="M80" i="3"/>
  <c r="O85" i="3"/>
  <c r="N85" i="3"/>
  <c r="M85" i="3"/>
  <c r="N50" i="3"/>
  <c r="O50" i="3"/>
  <c r="M50" i="3"/>
  <c r="O84" i="3"/>
  <c r="N84" i="3"/>
  <c r="M84" i="3"/>
  <c r="O45" i="3"/>
  <c r="N45" i="3"/>
  <c r="M45" i="3"/>
  <c r="O72" i="3"/>
  <c r="N72" i="3"/>
  <c r="M72" i="3"/>
  <c r="N81" i="3"/>
  <c r="M81" i="3"/>
  <c r="O81" i="3"/>
  <c r="N2" i="3"/>
  <c r="N22" i="3"/>
  <c r="N31" i="3"/>
  <c r="O31" i="3"/>
  <c r="M31" i="3"/>
  <c r="M5" i="3"/>
  <c r="N5" i="3"/>
  <c r="O5" i="3"/>
  <c r="O15" i="3"/>
  <c r="N15" i="3"/>
  <c r="M15" i="3"/>
  <c r="M17" i="3"/>
  <c r="O17" i="3"/>
  <c r="N17" i="3"/>
  <c r="N44" i="3"/>
  <c r="M44" i="3"/>
  <c r="O44" i="3"/>
  <c r="M11" i="3"/>
  <c r="O11" i="3"/>
  <c r="N11" i="3"/>
  <c r="N23" i="3"/>
  <c r="M23" i="3"/>
  <c r="O23" i="3"/>
  <c r="M18" i="3"/>
  <c r="O18" i="3"/>
  <c r="N18" i="3"/>
  <c r="M13" i="3"/>
  <c r="N13" i="3"/>
  <c r="O13" i="3"/>
  <c r="O21" i="3"/>
  <c r="M21" i="3"/>
  <c r="N21" i="3"/>
  <c r="O9" i="3"/>
  <c r="M9" i="3"/>
  <c r="N9" i="3"/>
  <c r="O29" i="3"/>
  <c r="M29" i="3"/>
  <c r="N29" i="3"/>
  <c r="M37" i="3"/>
  <c r="N37" i="3"/>
  <c r="O37" i="3"/>
  <c r="O12" i="3"/>
  <c r="M12" i="3"/>
  <c r="N14" i="3"/>
  <c r="M14" i="3"/>
  <c r="O14" i="3"/>
  <c r="M34" i="3"/>
  <c r="N34" i="3"/>
  <c r="O34" i="3"/>
  <c r="M22" i="3"/>
  <c r="N25" i="3"/>
  <c r="O25" i="3"/>
  <c r="M25" i="3"/>
  <c r="M33" i="3"/>
  <c r="N33" i="3"/>
  <c r="O33" i="3"/>
  <c r="N41" i="3"/>
  <c r="O41" i="3"/>
  <c r="M41" i="3"/>
  <c r="O7" i="3"/>
  <c r="M7" i="3"/>
  <c r="N7" i="3"/>
  <c r="O27" i="3"/>
  <c r="M27" i="3"/>
  <c r="N27" i="3"/>
  <c r="O39" i="3"/>
  <c r="N39" i="3"/>
  <c r="M39" i="3"/>
  <c r="O26" i="3"/>
  <c r="M26" i="3"/>
  <c r="N26" i="3"/>
  <c r="N12" i="3"/>
  <c r="M8" i="3"/>
  <c r="N8" i="3"/>
  <c r="O8" i="3"/>
  <c r="O6" i="3"/>
  <c r="N6" i="3"/>
  <c r="M6" i="3"/>
  <c r="O19" i="3"/>
  <c r="M19" i="3"/>
  <c r="N19" i="3"/>
  <c r="M10" i="3"/>
  <c r="O10" i="3"/>
  <c r="N10" i="3"/>
  <c r="N20" i="3"/>
  <c r="O20" i="3"/>
  <c r="M20" i="3"/>
  <c r="M28" i="3"/>
  <c r="N28" i="3"/>
  <c r="O28" i="3"/>
  <c r="N30" i="3"/>
  <c r="O30" i="3"/>
  <c r="M30" i="3"/>
  <c r="O35" i="3"/>
  <c r="M35" i="3"/>
  <c r="N35" i="3"/>
  <c r="O40" i="3"/>
  <c r="M40" i="3"/>
  <c r="N40" i="3"/>
  <c r="M42" i="3"/>
  <c r="O42" i="3"/>
  <c r="N42" i="3"/>
  <c r="M2" i="3"/>
  <c r="O2" i="3"/>
  <c r="O24" i="3"/>
  <c r="N24" i="3"/>
  <c r="M24" i="3"/>
  <c r="N3" i="3"/>
  <c r="M3" i="3"/>
  <c r="O3" i="3"/>
  <c r="O22" i="3"/>
  <c r="N4" i="3"/>
  <c r="M4" i="3"/>
  <c r="O4" i="3"/>
  <c r="N43" i="3"/>
  <c r="M43" i="3"/>
  <c r="O43" i="3"/>
  <c r="O36" i="3"/>
  <c r="M36" i="3"/>
  <c r="N36" i="3"/>
  <c r="N38" i="3"/>
  <c r="O38" i="3"/>
  <c r="M38" i="3"/>
  <c r="M32" i="3"/>
  <c r="N32" i="3"/>
  <c r="O32" i="3"/>
  <c r="M16" i="3"/>
  <c r="N16" i="3"/>
  <c r="O16" i="3"/>
  <c r="P302" i="3" l="1"/>
  <c r="P295" i="3"/>
  <c r="P303" i="3"/>
  <c r="P323" i="3"/>
  <c r="P308" i="3"/>
  <c r="P324" i="3"/>
  <c r="P300" i="3"/>
  <c r="P294" i="3"/>
  <c r="P304" i="3"/>
  <c r="P259" i="3"/>
  <c r="P281" i="3"/>
  <c r="P279" i="3"/>
  <c r="P200" i="3"/>
  <c r="P289" i="3"/>
  <c r="P245" i="3"/>
  <c r="P251" i="3"/>
  <c r="P209" i="3"/>
  <c r="P171" i="3"/>
  <c r="P271" i="3"/>
  <c r="P155" i="3"/>
  <c r="P140" i="3"/>
  <c r="P242" i="3"/>
  <c r="P219" i="3"/>
  <c r="P55" i="3"/>
  <c r="P132" i="3"/>
  <c r="P243" i="3"/>
  <c r="P183" i="3"/>
  <c r="P241" i="3"/>
  <c r="P263" i="3"/>
  <c r="P267" i="3"/>
  <c r="P228" i="3"/>
  <c r="P253" i="3"/>
  <c r="P189" i="3"/>
  <c r="P256" i="3"/>
  <c r="P238" i="3"/>
  <c r="P280" i="3"/>
  <c r="P272" i="3"/>
  <c r="P277" i="3"/>
  <c r="P246" i="3"/>
  <c r="P285" i="3"/>
  <c r="P190" i="3"/>
  <c r="P207" i="3"/>
  <c r="P198" i="3"/>
  <c r="P230" i="3"/>
  <c r="P231" i="3"/>
  <c r="P222" i="3"/>
  <c r="P187" i="3"/>
  <c r="P261" i="3"/>
  <c r="P274" i="3"/>
  <c r="P288" i="3"/>
  <c r="P283" i="3"/>
  <c r="P220" i="3"/>
  <c r="P276" i="3"/>
  <c r="P134" i="3"/>
  <c r="P240" i="3"/>
  <c r="P221" i="3"/>
  <c r="P188" i="3"/>
  <c r="P124" i="3"/>
  <c r="P186" i="3"/>
  <c r="P196" i="3"/>
  <c r="P229" i="3"/>
  <c r="P119" i="3"/>
  <c r="P118" i="3"/>
  <c r="P194" i="3"/>
  <c r="P192" i="3"/>
  <c r="P224" i="3"/>
  <c r="P204" i="3"/>
  <c r="P232" i="3"/>
  <c r="P205" i="3"/>
  <c r="P180" i="3"/>
  <c r="P156" i="3"/>
  <c r="P70" i="3"/>
  <c r="P139" i="3"/>
  <c r="P129" i="3"/>
  <c r="P184" i="3"/>
  <c r="P175" i="3"/>
  <c r="P137" i="3"/>
  <c r="P127" i="3"/>
  <c r="P160" i="3"/>
  <c r="P164" i="3"/>
  <c r="P182" i="3"/>
  <c r="P153" i="3"/>
  <c r="P170" i="3"/>
  <c r="P130" i="3"/>
  <c r="P172" i="3"/>
  <c r="P121" i="3"/>
  <c r="P162" i="3"/>
  <c r="P201" i="3"/>
  <c r="P154" i="3"/>
  <c r="P161" i="3"/>
  <c r="P157" i="3"/>
  <c r="P185" i="3"/>
  <c r="P169" i="3"/>
  <c r="P149" i="3"/>
  <c r="P193" i="3"/>
  <c r="P202" i="3"/>
  <c r="P177" i="3"/>
  <c r="P97" i="3"/>
  <c r="P178" i="3"/>
  <c r="P168" i="3"/>
  <c r="P133" i="3"/>
  <c r="P143" i="3"/>
  <c r="P128" i="3"/>
  <c r="P138" i="3"/>
  <c r="P125" i="3"/>
  <c r="P146" i="3"/>
  <c r="P141" i="3"/>
  <c r="P54" i="3"/>
  <c r="P144" i="3"/>
  <c r="P152" i="3"/>
  <c r="P123" i="3"/>
  <c r="P120" i="3"/>
  <c r="P122" i="3"/>
  <c r="P136" i="3"/>
  <c r="P151" i="3"/>
  <c r="P145" i="3"/>
  <c r="P51" i="3"/>
  <c r="P48" i="3"/>
  <c r="P115" i="3"/>
  <c r="P75" i="3"/>
  <c r="P102" i="3"/>
  <c r="P67" i="3"/>
  <c r="P91" i="3"/>
  <c r="P71" i="3"/>
  <c r="P93" i="3"/>
  <c r="P83" i="3"/>
  <c r="P56" i="3"/>
  <c r="P46" i="3"/>
  <c r="P109" i="3"/>
  <c r="P92" i="3"/>
  <c r="P63" i="3"/>
  <c r="P88" i="3"/>
  <c r="P105" i="3"/>
  <c r="P106" i="3"/>
  <c r="P62" i="3"/>
  <c r="P90" i="3"/>
  <c r="P98" i="3"/>
  <c r="P100" i="3"/>
  <c r="P87" i="3"/>
  <c r="P110" i="3"/>
  <c r="P86" i="3"/>
  <c r="P94" i="3"/>
  <c r="P49" i="3"/>
  <c r="P47" i="3"/>
  <c r="P78" i="3"/>
  <c r="P101" i="3"/>
  <c r="P114" i="3"/>
  <c r="P79" i="3"/>
  <c r="P59" i="3"/>
  <c r="P117" i="3"/>
  <c r="P108" i="3"/>
  <c r="P107" i="3"/>
  <c r="P2" i="3"/>
  <c r="P84" i="3"/>
  <c r="P112" i="3"/>
  <c r="P113" i="3"/>
  <c r="P99" i="3"/>
  <c r="P104" i="3"/>
  <c r="P116" i="3"/>
  <c r="P95" i="3"/>
  <c r="P103" i="3"/>
  <c r="P111" i="3"/>
  <c r="P96" i="3"/>
  <c r="P53" i="3"/>
  <c r="P77" i="3"/>
  <c r="P82" i="3"/>
  <c r="P60" i="3"/>
  <c r="P76" i="3"/>
  <c r="P74" i="3"/>
  <c r="P52" i="3"/>
  <c r="P72" i="3"/>
  <c r="P68" i="3"/>
  <c r="P50" i="3"/>
  <c r="P66" i="3"/>
  <c r="P22" i="3"/>
  <c r="P61" i="3"/>
  <c r="P85" i="3"/>
  <c r="P64" i="3"/>
  <c r="P69" i="3"/>
  <c r="P45" i="3"/>
  <c r="P81" i="3"/>
  <c r="P80" i="3"/>
  <c r="P65" i="3"/>
  <c r="P57" i="3"/>
  <c r="P73" i="3"/>
  <c r="P58" i="3"/>
  <c r="P7" i="3"/>
  <c r="P36" i="3"/>
  <c r="P19" i="3"/>
  <c r="P27" i="3"/>
  <c r="P35" i="3"/>
  <c r="P21" i="3"/>
  <c r="P26" i="3"/>
  <c r="P17" i="3"/>
  <c r="P24" i="3"/>
  <c r="P15" i="3"/>
  <c r="P6" i="3"/>
  <c r="P18" i="3"/>
  <c r="P4" i="3"/>
  <c r="P20" i="3"/>
  <c r="P43" i="3"/>
  <c r="P10" i="3"/>
  <c r="P16" i="3"/>
  <c r="P34" i="3"/>
  <c r="P44" i="3"/>
  <c r="P32" i="3"/>
  <c r="P3" i="3"/>
  <c r="P14" i="3"/>
  <c r="P13" i="3"/>
  <c r="P30" i="3"/>
  <c r="P38" i="3"/>
  <c r="P8" i="3"/>
  <c r="P28" i="3"/>
  <c r="P41" i="3"/>
  <c r="P12" i="3"/>
  <c r="P37" i="3"/>
  <c r="P33" i="3"/>
  <c r="P5" i="3"/>
  <c r="P42" i="3"/>
  <c r="P29" i="3"/>
  <c r="P11" i="3"/>
  <c r="P23" i="3"/>
  <c r="P40" i="3"/>
  <c r="P39" i="3"/>
  <c r="P25" i="3"/>
  <c r="P9" i="3"/>
  <c r="P31" i="3"/>
</calcChain>
</file>

<file path=xl/sharedStrings.xml><?xml version="1.0" encoding="utf-8"?>
<sst xmlns="http://schemas.openxmlformats.org/spreadsheetml/2006/main" count="2283" uniqueCount="622">
  <si>
    <t>CBF</t>
  </si>
  <si>
    <t>Fabricio</t>
  </si>
  <si>
    <t>Andre Penalva</t>
  </si>
  <si>
    <t>Negueba</t>
  </si>
  <si>
    <t>Felipinho</t>
  </si>
  <si>
    <t>Felipe Macena</t>
  </si>
  <si>
    <t>Lussandro</t>
  </si>
  <si>
    <t>Café</t>
  </si>
  <si>
    <t>Redson</t>
  </si>
  <si>
    <t>Max Maraba</t>
  </si>
  <si>
    <t>Pedro Zuccolo</t>
  </si>
  <si>
    <t>Xinayder</t>
  </si>
  <si>
    <t>Ruan</t>
  </si>
  <si>
    <t>Eduardo</t>
  </si>
  <si>
    <t>Fabio</t>
  </si>
  <si>
    <t>Cavi</t>
  </si>
  <si>
    <t>Nº</t>
  </si>
  <si>
    <t>Apelido</t>
  </si>
  <si>
    <t>Nome Completo</t>
  </si>
  <si>
    <t>T/R</t>
  </si>
  <si>
    <t>P/A</t>
  </si>
  <si>
    <t>Jr Conceiç ...</t>
  </si>
  <si>
    <t>Paulo Cesar Ferreira ...</t>
  </si>
  <si>
    <t>T(g)</t>
  </si>
  <si>
    <t>P</t>
  </si>
  <si>
    <t>Fabricio Conceicao S ...</t>
  </si>
  <si>
    <t>T</t>
  </si>
  <si>
    <t>Andre Lucas Matos Ga ...</t>
  </si>
  <si>
    <t>FELIPE</t>
  </si>
  <si>
    <t>Jose Felipe Almeida  ...</t>
  </si>
  <si>
    <t>Jeferson P ...</t>
  </si>
  <si>
    <t>Jeferson Daniel Pril ...</t>
  </si>
  <si>
    <t>Robson Piedade de Je ...</t>
  </si>
  <si>
    <t>Felipe dos Santos Fr ...</t>
  </si>
  <si>
    <t>Felipe de Souza Mace ...</t>
  </si>
  <si>
    <t>José Lussandro Souz ...</t>
  </si>
  <si>
    <t>Henrique S ...</t>
  </si>
  <si>
    <t>Jose Henrique Noguei ...</t>
  </si>
  <si>
    <t>Luis Felipe Firmino  ...</t>
  </si>
  <si>
    <t>Redson Travassos da  ...</t>
  </si>
  <si>
    <t>R(g)</t>
  </si>
  <si>
    <t>Maxilley do Nascimen ...</t>
  </si>
  <si>
    <t>R</t>
  </si>
  <si>
    <t>Raylson</t>
  </si>
  <si>
    <t>Raylson Ferreira Rib ...</t>
  </si>
  <si>
    <t>CARLOS</t>
  </si>
  <si>
    <t>Carlos Henrique Sant ...</t>
  </si>
  <si>
    <t>ADRIAN</t>
  </si>
  <si>
    <t>Adrian Sousa Oliveira</t>
  </si>
  <si>
    <t>Pedro Cardillofilho  ...</t>
  </si>
  <si>
    <t>Rhuan Xinayder Cruz  ...</t>
  </si>
  <si>
    <t>WYLDSON</t>
  </si>
  <si>
    <t>Wyldson Mateus Araú ...</t>
  </si>
  <si>
    <t>Ruan Eloy Salazar</t>
  </si>
  <si>
    <t>WESLEY CO</t>
  </si>
  <si>
    <t>Wesley Henrique Carv ...</t>
  </si>
  <si>
    <t>A</t>
  </si>
  <si>
    <t>Junior</t>
  </si>
  <si>
    <t>Sandys Junior Coelho ...</t>
  </si>
  <si>
    <t>ALAN</t>
  </si>
  <si>
    <t>Alan Silva da Costa</t>
  </si>
  <si>
    <t>JÔ</t>
  </si>
  <si>
    <t>Joshua de Souza Ribe ...</t>
  </si>
  <si>
    <t>Eduardo Henrique Sil ...</t>
  </si>
  <si>
    <t>Fabio Aguiar da Silva</t>
  </si>
  <si>
    <t>Carlos Vinicius de A ...</t>
  </si>
  <si>
    <t>Thiago Rosa</t>
  </si>
  <si>
    <t>Thiago Rosa da Conce ...</t>
  </si>
  <si>
    <t>JOÃO LENGE</t>
  </si>
  <si>
    <t>João Henrique Lenger</t>
  </si>
  <si>
    <t>Isaias</t>
  </si>
  <si>
    <t>Isaias dos Santos Vi ...</t>
  </si>
  <si>
    <t>Alan James</t>
  </si>
  <si>
    <t>Alan James Lins Barb ...</t>
  </si>
  <si>
    <t>STENCE</t>
  </si>
  <si>
    <t>Alan Matheus Stence</t>
  </si>
  <si>
    <t>Wendell</t>
  </si>
  <si>
    <t>Wendell Silva Santos ...</t>
  </si>
  <si>
    <t>Rhuan</t>
  </si>
  <si>
    <t>Rhuan dos Santos Nas ...</t>
  </si>
  <si>
    <t>GALVÃO</t>
  </si>
  <si>
    <t>Mateus Vieira Santos ...</t>
  </si>
  <si>
    <t>Ray</t>
  </si>
  <si>
    <t>Ray Cardoso Gomes</t>
  </si>
  <si>
    <t>Jairzinho</t>
  </si>
  <si>
    <t>Jair da Cruz Pilar</t>
  </si>
  <si>
    <t>Dimas</t>
  </si>
  <si>
    <t>Dimas Rafael Sousa d ...</t>
  </si>
  <si>
    <t>L7</t>
  </si>
  <si>
    <t>Lucas Guilherme Sant ...</t>
  </si>
  <si>
    <t>Bruno Matos</t>
  </si>
  <si>
    <t>Bruno Oliveira de Ma ...</t>
  </si>
  <si>
    <t>Thiago</t>
  </si>
  <si>
    <t>Thiago de Morais de  ...</t>
  </si>
  <si>
    <t>JARDSON</t>
  </si>
  <si>
    <t>Jardson de Jesus Mag ...</t>
  </si>
  <si>
    <t>ADRIANO</t>
  </si>
  <si>
    <t>Adriano dos Santos R ...</t>
  </si>
  <si>
    <t>Time</t>
  </si>
  <si>
    <t>Total</t>
  </si>
  <si>
    <t>Tempo</t>
  </si>
  <si>
    <t>1T/2T</t>
  </si>
  <si>
    <t>Equipe</t>
  </si>
  <si>
    <t>Entrou</t>
  </si>
  <si>
    <t>Saiu</t>
  </si>
  <si>
    <t>00:00</t>
  </si>
  <si>
    <t>INT</t>
  </si>
  <si>
    <t>Imperatriz - MA</t>
  </si>
  <si>
    <t>19 - Wyldson Mateus Araújo de Lima</t>
  </si>
  <si>
    <t>10 - Jose Henrique Nogueira da Si...</t>
  </si>
  <si>
    <t>13:00</t>
  </si>
  <si>
    <t>2T</t>
  </si>
  <si>
    <t>21 - Wesley Henrique Carvalho Costa</t>
  </si>
  <si>
    <t>11 - Luis Felipe Firmino Antonio</t>
  </si>
  <si>
    <t>27:00</t>
  </si>
  <si>
    <t>22 - Sandys Junior Coelho da Silva</t>
  </si>
  <si>
    <t>9 - José Lussandro Souza Pereir...</t>
  </si>
  <si>
    <t>17 - Pedro Cardillofilho Zuccolo ...</t>
  </si>
  <si>
    <t>5 - Jeferson Daniel Prill Levkov...</t>
  </si>
  <si>
    <t>40:00</t>
  </si>
  <si>
    <t>20 - Ruan Eloy Salazar</t>
  </si>
  <si>
    <t>7 - Felipe dos Santos Freitas</t>
  </si>
  <si>
    <t>Sampaio Corrêa - MA</t>
  </si>
  <si>
    <t>19 - Thiago de Morais de Souza</t>
  </si>
  <si>
    <t>7 - João Henrique Lenger</t>
  </si>
  <si>
    <t>18 - Bruno Oliveira de Matos</t>
  </si>
  <si>
    <t>10 - Alan Matheus Stence</t>
  </si>
  <si>
    <t>15 - Jair da Cruz Pilar</t>
  </si>
  <si>
    <t>6 - Thiago Rosa da Conceicao</t>
  </si>
  <si>
    <t>21 - Adriano dos Santos Rodrigues</t>
  </si>
  <si>
    <t>11 - Wendell Silva Santos dos San...</t>
  </si>
  <si>
    <t>41:00</t>
  </si>
  <si>
    <t>17 - Lucas Guilherme Santana Silva</t>
  </si>
  <si>
    <t>9 - Alan James Lins Barbosa</t>
  </si>
  <si>
    <t>Jogo</t>
  </si>
  <si>
    <t>1 T</t>
  </si>
  <si>
    <t>2 T</t>
  </si>
  <si>
    <t>Jogador concat</t>
  </si>
  <si>
    <t>Jogador Entrou</t>
  </si>
  <si>
    <t>Jogador Saiu</t>
  </si>
  <si>
    <t>Tempo troca</t>
  </si>
  <si>
    <t>1T</t>
  </si>
  <si>
    <t>1T ENTRADA</t>
  </si>
  <si>
    <t>2T ENTRADA</t>
  </si>
  <si>
    <t>Time Casa</t>
  </si>
  <si>
    <t>Time Fora</t>
  </si>
  <si>
    <t>CBF Entrou</t>
  </si>
  <si>
    <t>CBF Saiu</t>
  </si>
  <si>
    <t>Tempo Número</t>
  </si>
  <si>
    <t>1T SAIU</t>
  </si>
  <si>
    <t>2T SAIU</t>
  </si>
  <si>
    <t>Substituicao entrada</t>
  </si>
  <si>
    <t>Substuituicao saida</t>
  </si>
  <si>
    <t>Arbitro</t>
  </si>
  <si>
    <t>Paulo Jose Souza Mourao</t>
  </si>
  <si>
    <t>35:00</t>
  </si>
  <si>
    <t>31:00</t>
  </si>
  <si>
    <t>Adriano dos Santos Rodrigues</t>
  </si>
  <si>
    <t>Nome do Jogador</t>
  </si>
  <si>
    <t>43:00</t>
  </si>
  <si>
    <t>Wyldson Mateus Araújo de Lima</t>
  </si>
  <si>
    <t>Amarelo</t>
  </si>
  <si>
    <t>Jogador</t>
  </si>
  <si>
    <t>Tempo Jogado</t>
  </si>
  <si>
    <t>Chave cartoes</t>
  </si>
  <si>
    <t>Data</t>
  </si>
  <si>
    <t>Confronto</t>
  </si>
  <si>
    <t>11.01.2025</t>
  </si>
  <si>
    <t>Partidas</t>
  </si>
  <si>
    <t>Vermelho</t>
  </si>
  <si>
    <t>Mayron Frederico dos Reis Novais</t>
  </si>
  <si>
    <t>12.01.2025</t>
  </si>
  <si>
    <t>Allan</t>
  </si>
  <si>
    <t>Allan Thiago Luiz</t>
  </si>
  <si>
    <t>Vitor</t>
  </si>
  <si>
    <t>Vitor Francisco dos  ...</t>
  </si>
  <si>
    <t>Yan</t>
  </si>
  <si>
    <t>Yan Cristian Silva d ...</t>
  </si>
  <si>
    <t>Mauricio</t>
  </si>
  <si>
    <t>Mauricio Pinto</t>
  </si>
  <si>
    <t>Felipe Dias</t>
  </si>
  <si>
    <t>Felipe dos Santos Di ...</t>
  </si>
  <si>
    <t>GUSTAVO</t>
  </si>
  <si>
    <t>Gustavo Rodrigues do ...</t>
  </si>
  <si>
    <t>Gustavo</t>
  </si>
  <si>
    <t>Luis Gustavo Santos</t>
  </si>
  <si>
    <t>Lucas</t>
  </si>
  <si>
    <t>Lucas Gomes Vieira</t>
  </si>
  <si>
    <t>Bolinha</t>
  </si>
  <si>
    <t>Willyan Diogo Silva</t>
  </si>
  <si>
    <t>DANILO PIRE</t>
  </si>
  <si>
    <t>Danilo Pires Costa</t>
  </si>
  <si>
    <t>Danilo</t>
  </si>
  <si>
    <t>Danilo Perassolli da ...</t>
  </si>
  <si>
    <t>Douglas</t>
  </si>
  <si>
    <t>Douglas Henrique dos ...</t>
  </si>
  <si>
    <t>Jeferson</t>
  </si>
  <si>
    <t>Jeferson Bruno Lima  ...</t>
  </si>
  <si>
    <t>Mauricio G ...</t>
  </si>
  <si>
    <t>Mauricio Gabriel Cha ...</t>
  </si>
  <si>
    <t>Matheus Silva</t>
  </si>
  <si>
    <t>Matheus dos Santos S ...</t>
  </si>
  <si>
    <t>Wesley</t>
  </si>
  <si>
    <t>Wesley Aparecido de  ...</t>
  </si>
  <si>
    <t>LEANDERSO</t>
  </si>
  <si>
    <t>Leanderson Alves Fer ...</t>
  </si>
  <si>
    <t>Warllem</t>
  </si>
  <si>
    <t>Warllem Mateus Gato  ...</t>
  </si>
  <si>
    <t>Paulo Renato</t>
  </si>
  <si>
    <t>Paulo Renato Pereira ...</t>
  </si>
  <si>
    <t>MATHEUS</t>
  </si>
  <si>
    <t>Matheus Wladymir Fre ...</t>
  </si>
  <si>
    <t>Vanilton</t>
  </si>
  <si>
    <t>Vanilton de Jesus Fr ...</t>
  </si>
  <si>
    <t>Jean</t>
  </si>
  <si>
    <t>Jean de Melo Pereira</t>
  </si>
  <si>
    <t>Franklin</t>
  </si>
  <si>
    <t>Franklin Gomes de So ...</t>
  </si>
  <si>
    <t>Luiz Fernando</t>
  </si>
  <si>
    <t>Luis Fernando Nascim ...</t>
  </si>
  <si>
    <t>Maicon</t>
  </si>
  <si>
    <t>Maicon Martins Rodri ...</t>
  </si>
  <si>
    <t>Rodrigo Co ...</t>
  </si>
  <si>
    <t>Rodrigo dos Santos C ...</t>
  </si>
  <si>
    <t>Andre</t>
  </si>
  <si>
    <t>Andre Luiz da Concei ...</t>
  </si>
  <si>
    <t>Railson</t>
  </si>
  <si>
    <t>Railson Carvalho dos ...</t>
  </si>
  <si>
    <t>loro</t>
  </si>
  <si>
    <t>Clessione Santos Sil ...</t>
  </si>
  <si>
    <t>Jorge Rocha</t>
  </si>
  <si>
    <t>Jorge Wanderson da S ...</t>
  </si>
  <si>
    <t>Ryan</t>
  </si>
  <si>
    <t>Ryan Aparecido Lima  ...</t>
  </si>
  <si>
    <t>Jerry</t>
  </si>
  <si>
    <t>Jerry dos Santos Ven ...</t>
  </si>
  <si>
    <t>Victor</t>
  </si>
  <si>
    <t>Victor Guilherme Mot ...</t>
  </si>
  <si>
    <t>GUILHERME</t>
  </si>
  <si>
    <t>Guilherme Anjos Melo</t>
  </si>
  <si>
    <t>IGOR</t>
  </si>
  <si>
    <t>Jose Igor Nunes Lima</t>
  </si>
  <si>
    <t>Julio Nasc ...</t>
  </si>
  <si>
    <t>Julio Andre Avelino  ...</t>
  </si>
  <si>
    <t>EDSON</t>
  </si>
  <si>
    <t>Edson Fernando Diniz ...</t>
  </si>
  <si>
    <t>Gabriel</t>
  </si>
  <si>
    <t>Carlos Gabriel Gonca ...</t>
  </si>
  <si>
    <t>MARCOS</t>
  </si>
  <si>
    <t>Marcos Alexandre Oli ...</t>
  </si>
  <si>
    <t>LUCAS</t>
  </si>
  <si>
    <t>Lucas Faustino Campos</t>
  </si>
  <si>
    <t>Emerson Fr ...</t>
  </si>
  <si>
    <t>Emerson Freitas dos  ...</t>
  </si>
  <si>
    <t>Mikeias</t>
  </si>
  <si>
    <t>Mikeias Araujo Pache ...</t>
  </si>
  <si>
    <t>Diego Cant ...</t>
  </si>
  <si>
    <t>Diego Sousa Cantanhe ...</t>
  </si>
  <si>
    <r>
      <rPr>
        <sz val="8"/>
        <rFont val="Arial MT"/>
        <family val="2"/>
      </rPr>
      <t>05:00</t>
    </r>
  </si>
  <si>
    <t>Danilo Perassolli da Cruz Albuquerque</t>
  </si>
  <si>
    <t>Maranhão - MA</t>
  </si>
  <si>
    <t>14 - Julio Andre Avelino do Nasci...</t>
  </si>
  <si>
    <t>11 - Ryan Aparecido Lima Cassiano</t>
  </si>
  <si>
    <t>19 - Emerson Freitas dos Anjos</t>
  </si>
  <si>
    <t>10 - Jorge Wanderson da Silva Rocha</t>
  </si>
  <si>
    <t>18 - Lucas Faustino Campos</t>
  </si>
  <si>
    <t>8 - Railson Carvalho dos Santos</t>
  </si>
  <si>
    <t>20 - Mikeias Araujo Pacheco de Lima</t>
  </si>
  <si>
    <t>22 - Jerry dos Santos Venceslau</t>
  </si>
  <si>
    <t>23:00</t>
  </si>
  <si>
    <t>13 - Jose Igor Nunes Lima</t>
  </si>
  <si>
    <t>2 - Franklin Gomes de Sousa</t>
  </si>
  <si>
    <t>15:00</t>
  </si>
  <si>
    <t>Moto Club - MA</t>
  </si>
  <si>
    <t>19 - Warllem Mateus Gato de Azevedo</t>
  </si>
  <si>
    <t>10 - Danilo Pires Costa</t>
  </si>
  <si>
    <t>15 - Mauricio Gabriel Chaves dos ...</t>
  </si>
  <si>
    <t>9 - Willyan Diogo Silva</t>
  </si>
  <si>
    <t>20:00</t>
  </si>
  <si>
    <t>16 - Matheus dos Santos Silva</t>
  </si>
  <si>
    <t>6 - Gustavo Rodrigues dos Santos</t>
  </si>
  <si>
    <t>24:00</t>
  </si>
  <si>
    <t>17 - Wesley Aparecido de Souza</t>
  </si>
  <si>
    <t>3 - Yan Cristian Silva do Carmo</t>
  </si>
  <si>
    <t>20 - Paulo Renato Pereira Dias</t>
  </si>
  <si>
    <t>8 - Lucas Gomes Vieira</t>
  </si>
  <si>
    <t>Clessione Santos Silva</t>
  </si>
  <si>
    <r>
      <rPr>
        <sz val="8"/>
        <rFont val="Arial MT"/>
        <family val="2"/>
      </rPr>
      <t>28:00</t>
    </r>
  </si>
  <si>
    <r>
      <rPr>
        <sz val="8"/>
        <rFont val="Arial MT"/>
        <family val="2"/>
      </rPr>
      <t>43:00</t>
    </r>
  </si>
  <si>
    <r>
      <rPr>
        <sz val="8"/>
        <rFont val="Arial MT"/>
        <family val="2"/>
      </rPr>
      <t>26:00</t>
    </r>
  </si>
  <si>
    <r>
      <rPr>
        <sz val="8"/>
        <rFont val="Arial MT"/>
        <family val="2"/>
      </rPr>
      <t>22:00</t>
    </r>
  </si>
  <si>
    <r>
      <rPr>
        <sz val="8"/>
        <rFont val="Arial MT"/>
        <family val="2"/>
      </rPr>
      <t>29:00</t>
    </r>
  </si>
  <si>
    <t>Paulo Renato Pereira Dias</t>
  </si>
  <si>
    <t>Felipe dos Santos Dias</t>
  </si>
  <si>
    <t>Ryan Aparecido Lima Cassiano</t>
  </si>
  <si>
    <t>Franklin Gomes de Sousa</t>
  </si>
  <si>
    <t>Luis Fernando Nascimento Macedo</t>
  </si>
  <si>
    <t>PJ</t>
  </si>
  <si>
    <t>Rodrigo dos Santos Correia - Maranhão</t>
  </si>
  <si>
    <t>Edson Fernando Diniz Santos Junior - Maranhão</t>
  </si>
  <si>
    <t>Marcos Vinicius Muniz Teixeira</t>
  </si>
  <si>
    <t>Mateus</t>
  </si>
  <si>
    <t>Mateus Sousa Machado</t>
  </si>
  <si>
    <t>Italo</t>
  </si>
  <si>
    <t>Italo Roberto Sousa  ...</t>
  </si>
  <si>
    <t>Henrique</t>
  </si>
  <si>
    <t>Henrique Colombo Soa ...</t>
  </si>
  <si>
    <t>Rikelmmer</t>
  </si>
  <si>
    <t>Rikelmmer Willemen d ...</t>
  </si>
  <si>
    <t>Rayandeson</t>
  </si>
  <si>
    <t>Rayandeson Ribeiro F ...</t>
  </si>
  <si>
    <t>Gabriel da Silva Mat ...</t>
  </si>
  <si>
    <t>FRANCISCO</t>
  </si>
  <si>
    <t>Francisco Silva E Si ...</t>
  </si>
  <si>
    <t>Tulio</t>
  </si>
  <si>
    <t>Tulio Gabriel Teixei ...</t>
  </si>
  <si>
    <t>Cleber</t>
  </si>
  <si>
    <t>Cleber Nilson Pereir ...</t>
  </si>
  <si>
    <t>Neto</t>
  </si>
  <si>
    <t>Benony Ribeiro Neto</t>
  </si>
  <si>
    <t>Joao Pedro</t>
  </si>
  <si>
    <t>João Pedro de Sousa ...</t>
  </si>
  <si>
    <t>LUAN</t>
  </si>
  <si>
    <t>Luan Sousa Silva</t>
  </si>
  <si>
    <t>Aldomir</t>
  </si>
  <si>
    <t>Aldomir Carlos Sodre ...</t>
  </si>
  <si>
    <t>Igor Mineiro</t>
  </si>
  <si>
    <t>Igor Rangel Lima Min ...</t>
  </si>
  <si>
    <t>George</t>
  </si>
  <si>
    <t>George Miguel da Cos ...</t>
  </si>
  <si>
    <t>Jean Felipe Penha Si ...</t>
  </si>
  <si>
    <t>KAYKY</t>
  </si>
  <si>
    <t>Kayky Pereira dos Sa ...</t>
  </si>
  <si>
    <t>BASTICO</t>
  </si>
  <si>
    <t>Niemisson Mendonça  ...</t>
  </si>
  <si>
    <t>Saulo</t>
  </si>
  <si>
    <t>Saulo Araujo Fontes</t>
  </si>
  <si>
    <t>ARTHUR CAR</t>
  </si>
  <si>
    <t>Arthur Cardial Soares</t>
  </si>
  <si>
    <t>Brener Bessa</t>
  </si>
  <si>
    <t>Brener Bessa Bezerra ...</t>
  </si>
  <si>
    <t>LUIZ HENRIQ</t>
  </si>
  <si>
    <t>Luiz Henrique Macena ...</t>
  </si>
  <si>
    <t>RIQUELME</t>
  </si>
  <si>
    <t>Riquelme Gabriel Per ...</t>
  </si>
  <si>
    <t>Leleu</t>
  </si>
  <si>
    <t>Denilson Alves de Ol ...</t>
  </si>
  <si>
    <t>Thiago Pereira Magal ...</t>
  </si>
  <si>
    <t>Julio</t>
  </si>
  <si>
    <t>Julio Cesar do Nasci ...</t>
  </si>
  <si>
    <t>Lucas Ramos</t>
  </si>
  <si>
    <t>Lucas Correa Ramos</t>
  </si>
  <si>
    <t>Anderson Thiago Nune ...</t>
  </si>
  <si>
    <t>ARIEL</t>
  </si>
  <si>
    <t>Ariel Robert da Silv ...</t>
  </si>
  <si>
    <t>PAULO</t>
  </si>
  <si>
    <t>Paulo Guilherme Oliv ...</t>
  </si>
  <si>
    <t>38:00</t>
  </si>
  <si>
    <t>Gabriel da Silva Matias</t>
  </si>
  <si>
    <t>28:00</t>
  </si>
  <si>
    <t>Italo Roberto Sousa Soares</t>
  </si>
  <si>
    <t>14:00</t>
  </si>
  <si>
    <t>21:00</t>
  </si>
  <si>
    <t>Luiz Henrique Macena de Moura</t>
  </si>
  <si>
    <t>34:00</t>
  </si>
  <si>
    <t>Paulo Guilherme Oliveira Mouzinho</t>
  </si>
  <si>
    <t>Denilson Alves de Oliveira</t>
  </si>
  <si>
    <t>25:00</t>
  </si>
  <si>
    <t>Pinheiro - MA</t>
  </si>
  <si>
    <t>18 - Niemisson Mendonça Pinheiro</t>
  </si>
  <si>
    <t>11 - João Pedro de Sousa Fonseca...</t>
  </si>
  <si>
    <t>32:00</t>
  </si>
  <si>
    <t>13 - Aldomir Carlos Sodre Souza J...</t>
  </si>
  <si>
    <t>7 - Francisco Silva E Silva</t>
  </si>
  <si>
    <t>17 - Kayky Pereira dos Santos Gomes</t>
  </si>
  <si>
    <t>9 - Cleber Nilson Pereira Rodrig...</t>
  </si>
  <si>
    <t>15 - George Miguel da Costa Garcia</t>
  </si>
  <si>
    <t>6 - Gabriel da Silva Matias</t>
  </si>
  <si>
    <t>42:00</t>
  </si>
  <si>
    <t>14 - Igor Rangel Lima Mineiro</t>
  </si>
  <si>
    <t>2 - Italo Roberto Sousa Soares</t>
  </si>
  <si>
    <t>Viana - MA</t>
  </si>
  <si>
    <t>13 - Paulo Guilherme Oliveira Mou...</t>
  </si>
  <si>
    <t>8 - Julio Cesar do Nascimento Ol...</t>
  </si>
  <si>
    <t>Maykon Matos Nunes</t>
  </si>
  <si>
    <t>15.01.2025</t>
  </si>
  <si>
    <t>IAPE - MA</t>
  </si>
  <si>
    <t>Jose Henrique de Azevedo Junior</t>
  </si>
  <si>
    <t>Tuntum - MA</t>
  </si>
  <si>
    <t>Roberto Santos As</t>
  </si>
  <si>
    <t>DANILO</t>
  </si>
  <si>
    <t>Danilo Ramos Pereira</t>
  </si>
  <si>
    <t>ANDERSON</t>
  </si>
  <si>
    <t>Antonio Anderson Bri ...</t>
  </si>
  <si>
    <t>Vinicius</t>
  </si>
  <si>
    <t>Vinicius Torres dos  ...</t>
  </si>
  <si>
    <t>30:00</t>
  </si>
  <si>
    <t>Henrique Colombo Soares</t>
  </si>
  <si>
    <t>+01:00</t>
  </si>
  <si>
    <t>Niemisson Mendonça Pinheiro</t>
  </si>
  <si>
    <t>Mikeias Araujo Pacheco de Lima</t>
  </si>
  <si>
    <t>Emerson Freitas dos Anjos</t>
  </si>
  <si>
    <t>+03:00</t>
  </si>
  <si>
    <t>Jerry dos Santos Venceslau</t>
  </si>
  <si>
    <t>17:00</t>
  </si>
  <si>
    <t>10 - Benony Ribeiro Neto</t>
  </si>
  <si>
    <t>7 - Guilherme Anjos Melo</t>
  </si>
  <si>
    <t>18 - Jorge Wanderson da Silva Rocha</t>
  </si>
  <si>
    <t>8 - Lucas Faustino Campos</t>
  </si>
  <si>
    <t>4 - Maicon Martins Rodrigues</t>
  </si>
  <si>
    <t>19 - Diego Sousa Cantanhede</t>
  </si>
  <si>
    <t>10 - Emerson Freitas dos Anjos</t>
  </si>
  <si>
    <t>Iape - MA</t>
  </si>
  <si>
    <t>8 - George Maykon Loureiro Moraes</t>
  </si>
  <si>
    <t>11 - Gleyson da Conceição Silva</t>
  </si>
  <si>
    <t>14 - Victor Manoel Santos de Lima</t>
  </si>
  <si>
    <t>7 - Jhonnatan Guimaraes Saraiva ...</t>
  </si>
  <si>
    <t>10:00</t>
  </si>
  <si>
    <t>22 - Paulo Victor de Souza Ferreira</t>
  </si>
  <si>
    <t>25 - Cosmo Henrique Fonseca da Co...</t>
  </si>
  <si>
    <t>16:00</t>
  </si>
  <si>
    <t>17 - Joelberth Pereira Cruz</t>
  </si>
  <si>
    <t>9 - Erivelton Martins Silva dos ...</t>
  </si>
  <si>
    <t>20 - Paulo Victor Silva Monroe</t>
  </si>
  <si>
    <t>10 - Eloir Silva Moreira</t>
  </si>
  <si>
    <t>23 - Douglas Martins da Silva</t>
  </si>
  <si>
    <t>17 - Wendell Silva Santos dos San...</t>
  </si>
  <si>
    <t>11 - Anderson Wanderllan de Morae...</t>
  </si>
  <si>
    <t>7 - Thiago de Morais de Souza</t>
  </si>
  <si>
    <t>33:00</t>
  </si>
  <si>
    <t>8 - Isaias dos Santos Vieira</t>
  </si>
  <si>
    <t>19 - Lucas Guilherme Santana Silva</t>
  </si>
  <si>
    <t>Wenderson</t>
  </si>
  <si>
    <t>Wenderson Alves Mafra</t>
  </si>
  <si>
    <t>Patrick</t>
  </si>
  <si>
    <t>Patrick Gentil Sodre ...</t>
  </si>
  <si>
    <t>Denilson</t>
  </si>
  <si>
    <t>Denilson Santos Sousa</t>
  </si>
  <si>
    <t>Iuri</t>
  </si>
  <si>
    <t>Marcos Iuri Silva E  ...</t>
  </si>
  <si>
    <t>Carioca</t>
  </si>
  <si>
    <t>Romullo de Jesus Pen ...</t>
  </si>
  <si>
    <t>Jhonnatan</t>
  </si>
  <si>
    <t>Jhonnatan Guimaraes  ...</t>
  </si>
  <si>
    <t>Erivelton</t>
  </si>
  <si>
    <t>Erivelton Martins Si ...</t>
  </si>
  <si>
    <t>Eloir</t>
  </si>
  <si>
    <t>Eloir Silva Moreira</t>
  </si>
  <si>
    <t>Gleyson</t>
  </si>
  <si>
    <t>Gleyson da Conceiç? ...</t>
  </si>
  <si>
    <t>Guilherme</t>
  </si>
  <si>
    <t>Guilherme Souza Rocha</t>
  </si>
  <si>
    <t>Cosmo Henrique Fonse ...</t>
  </si>
  <si>
    <t>KENNEDY</t>
  </si>
  <si>
    <t>Claudyson Kennedy de ...</t>
  </si>
  <si>
    <t>Pablo</t>
  </si>
  <si>
    <t>Pablo Carlos da Silv ...</t>
  </si>
  <si>
    <t>Maykon</t>
  </si>
  <si>
    <t>George Maykon Lourei ...</t>
  </si>
  <si>
    <t>Emerson</t>
  </si>
  <si>
    <t>Emerson Renan Azeved ...</t>
  </si>
  <si>
    <t>VITAO</t>
  </si>
  <si>
    <t>Victor Manoel Santos ...</t>
  </si>
  <si>
    <t>Nathan</t>
  </si>
  <si>
    <t>Wilian Nathan Gaspar ...</t>
  </si>
  <si>
    <t>Jojo</t>
  </si>
  <si>
    <t>Joelberth Pereira Cr ...</t>
  </si>
  <si>
    <t>EDU</t>
  </si>
  <si>
    <t>Eduardo da Silva Fer ...</t>
  </si>
  <si>
    <t>ESQUERDIN</t>
  </si>
  <si>
    <t>Lawanderson Kawan Ri ...</t>
  </si>
  <si>
    <t>Paulo Victor</t>
  </si>
  <si>
    <t>Paulo Victor Silva M ...</t>
  </si>
  <si>
    <t>Kaio Camara</t>
  </si>
  <si>
    <t>Kaio Henrique Borges ...</t>
  </si>
  <si>
    <t>Paulo Victor de Souz ...</t>
  </si>
  <si>
    <t>Pimentinha</t>
  </si>
  <si>
    <t>Anderson Wanderllan  ...</t>
  </si>
  <si>
    <t>Elivelton</t>
  </si>
  <si>
    <t>Elivelton Semeao da  ...</t>
  </si>
  <si>
    <t>BACURAU</t>
  </si>
  <si>
    <t>Antonio de Jesus da  ...</t>
  </si>
  <si>
    <t>Dodô</t>
  </si>
  <si>
    <t>Douglas Martins da S ...</t>
  </si>
  <si>
    <t>26:00</t>
  </si>
  <si>
    <t>Paulo Victor de Souza Ferreira</t>
  </si>
  <si>
    <t>22:00</t>
  </si>
  <si>
    <t>12 - Carlos Daniel Mendes</t>
  </si>
  <si>
    <t>1 - Francisco das Chagas Sousa d...</t>
  </si>
  <si>
    <t>19 - Elias Carlos Silva E Silva</t>
  </si>
  <si>
    <t>9 - Nycollas Jammys Pereira Buce...</t>
  </si>
  <si>
    <t>20 - Renan Vieira da Silva</t>
  </si>
  <si>
    <t>8 - Victor Viana de Moraes</t>
  </si>
  <si>
    <t>13 - Gabriel de Freita dos Reis</t>
  </si>
  <si>
    <t>2 - Francisco Lima Silva</t>
  </si>
  <si>
    <t>21 - Wanderson Carlos de Sousa</t>
  </si>
  <si>
    <t>10 - Cassio Bruno Ibiapino Carvalho</t>
  </si>
  <si>
    <t>19 - Luis Felipe Firmino Antonio</t>
  </si>
  <si>
    <t>11 - Wyldson Mateus Araújo de Lima</t>
  </si>
  <si>
    <t>18 - Rafael Santiago Goncalves</t>
  </si>
  <si>
    <t>16 - Gleidson Henrique Soares Gomes</t>
  </si>
  <si>
    <t>8 - Felipe de Souza Macena</t>
  </si>
  <si>
    <t>15 - Carlos Henrique Santos da Si...</t>
  </si>
  <si>
    <t>Nycollas Jammys Pereira Buceles</t>
  </si>
  <si>
    <t>45:00</t>
  </si>
  <si>
    <t>Cassio Bruno Ibiapino Carvalho</t>
  </si>
  <si>
    <t>08:00</t>
  </si>
  <si>
    <t>Matheus Lima Martins</t>
  </si>
  <si>
    <t>Robson Mauricio Moura Ferreira</t>
  </si>
  <si>
    <t>Francisco Jeovane de Sousa Camelo</t>
  </si>
  <si>
    <t>Andre Lucas Matos Gama</t>
  </si>
  <si>
    <t>04:00</t>
  </si>
  <si>
    <t>Jose Henrique Nogueira da Silva</t>
  </si>
  <si>
    <t>Felipe de Souza Macena</t>
  </si>
  <si>
    <t>37:00</t>
  </si>
  <si>
    <t>Sandys Junior Coelho da Silva</t>
  </si>
  <si>
    <t>+02:00</t>
  </si>
  <si>
    <t>Paulo Cesar Ferreira de Brito Junior</t>
  </si>
  <si>
    <t>Carlos Henrique Santos da Silva</t>
  </si>
  <si>
    <t>Francisco  ...</t>
  </si>
  <si>
    <t>Francisco das Chagas ...</t>
  </si>
  <si>
    <t>Francisco</t>
  </si>
  <si>
    <t>Francisco Lima Silva</t>
  </si>
  <si>
    <t>João Victor</t>
  </si>
  <si>
    <t>João Victor do Nasc ...</t>
  </si>
  <si>
    <t>Robinho</t>
  </si>
  <si>
    <t>Robson Mauricio Mour ...</t>
  </si>
  <si>
    <t>LEANDRO</t>
  </si>
  <si>
    <t>Leandro Aguiar Araujo</t>
  </si>
  <si>
    <t>Matheus Lima</t>
  </si>
  <si>
    <t>Neto Maran ...</t>
  </si>
  <si>
    <t>Luis Ferreira Lima N ...</t>
  </si>
  <si>
    <t>VICTOR</t>
  </si>
  <si>
    <t>Victor Viana de Mora ...</t>
  </si>
  <si>
    <t>Nycollas</t>
  </si>
  <si>
    <t>Nycollas Jammys Pere ...</t>
  </si>
  <si>
    <t>Cassio</t>
  </si>
  <si>
    <t>Cassio Bruno Ibiapin ...</t>
  </si>
  <si>
    <t>Adrian</t>
  </si>
  <si>
    <t>Adrian de Sousa Silva</t>
  </si>
  <si>
    <t>DANIEL MEN</t>
  </si>
  <si>
    <t>Carlos Daniel Mendes</t>
  </si>
  <si>
    <t>PARÁ</t>
  </si>
  <si>
    <t>Gabriel de Freita do ...</t>
  </si>
  <si>
    <t>Mateus Magallanes de ...</t>
  </si>
  <si>
    <t>Leal</t>
  </si>
  <si>
    <t>Felipe Leal Tavares  ...</t>
  </si>
  <si>
    <t>GIULIEDSON</t>
  </si>
  <si>
    <t>Giuliedson Carvalho  ...</t>
  </si>
  <si>
    <t>Remerson</t>
  </si>
  <si>
    <t>Remerson Ribeiro Sou ...</t>
  </si>
  <si>
    <t>RUBENS RO</t>
  </si>
  <si>
    <t>Rubens Augusto Olive ...</t>
  </si>
  <si>
    <t>ELIAS</t>
  </si>
  <si>
    <t>Elias Carlos Silva E ...</t>
  </si>
  <si>
    <t>RENAN</t>
  </si>
  <si>
    <t>Renan Vieira da Silva</t>
  </si>
  <si>
    <t>Kio</t>
  </si>
  <si>
    <t>Wanderson Carlos de  ...</t>
  </si>
  <si>
    <t>ANTONIO</t>
  </si>
  <si>
    <t>Antonio Eduardo Sant ...</t>
  </si>
  <si>
    <t>Ceara</t>
  </si>
  <si>
    <t>Francisco Jeovane de ...</t>
  </si>
  <si>
    <t>José Lussandro Souza ...</t>
  </si>
  <si>
    <t>Wyldson Mateus Araúj ...</t>
  </si>
  <si>
    <t>Gleidson</t>
  </si>
  <si>
    <t>Gleidson Henrique So ...</t>
  </si>
  <si>
    <t>Rafael Gra ...</t>
  </si>
  <si>
    <t>Rafael Santiago Gonc ...</t>
  </si>
  <si>
    <t>WESLLEY</t>
  </si>
  <si>
    <t>Cicero Weslley Silva ...</t>
  </si>
  <si>
    <t>21 - Adrian Sousa Oliveira</t>
  </si>
  <si>
    <t>14 - Gleidson Henrique Soares Gomes</t>
  </si>
  <si>
    <t>13 - Raylson Ferreira Ribeiro</t>
  </si>
  <si>
    <t>3 - Andre Lucas Matos Gama</t>
  </si>
  <si>
    <t>18.01.2025</t>
  </si>
  <si>
    <t>Jose Marcos Rocha</t>
  </si>
  <si>
    <t>GUSTAVO LI</t>
  </si>
  <si>
    <t>Gustavo Nobre Lima</t>
  </si>
  <si>
    <t>Alexsander</t>
  </si>
  <si>
    <t>Alexsander Borges Sa ...</t>
  </si>
  <si>
    <t>João Pedro de Sousa  ...</t>
  </si>
  <si>
    <t>Niemisson Mendonça P ...</t>
  </si>
  <si>
    <t>José Lussandro Souza Pereira Filho</t>
  </si>
  <si>
    <t>29:00</t>
  </si>
  <si>
    <t>36:00</t>
  </si>
  <si>
    <t>Jeferson Daniel Prill Levkovisz</t>
  </si>
  <si>
    <t>06:00</t>
  </si>
  <si>
    <t>João Pedro de Sousa Fonseca Santana</t>
  </si>
  <si>
    <t>19.01.2025</t>
  </si>
  <si>
    <t>Ranilton Oliveira de Sousa</t>
  </si>
  <si>
    <t>15 - Denilson Alves de Oliveira</t>
  </si>
  <si>
    <t>10 - Ariel Robert da Silva Assuncao</t>
  </si>
  <si>
    <t>7 - Bruno dos Santos Raposo</t>
  </si>
  <si>
    <t>20 - Rodolfo Ribeiro Valadares Ne...</t>
  </si>
  <si>
    <t>9 - Lucas Guilherme Santana Silva</t>
  </si>
  <si>
    <t>16 - Adriano dos Santos Rodrigues</t>
  </si>
  <si>
    <t>5 - Jardson de Jesus Magalhaes</t>
  </si>
  <si>
    <t>15 - Antonio de Jesus da Silva Pe...</t>
  </si>
  <si>
    <t>8 - Jair da Cruz Pilar</t>
  </si>
  <si>
    <t>17 - João Henrique Lenger</t>
  </si>
  <si>
    <t>7 - Douglas Martins da Silva</t>
  </si>
  <si>
    <t>14 - Lucas Correa Ramos</t>
  </si>
  <si>
    <t>8 - Luanderson Correa Meireles</t>
  </si>
  <si>
    <t>JAMILSON</t>
  </si>
  <si>
    <t>Jamilson Trindade Si ...</t>
  </si>
  <si>
    <t>CAIO</t>
  </si>
  <si>
    <t>Caio Joserik Gaspar  ...</t>
  </si>
  <si>
    <t>Mateus Jesus Martins ...</t>
  </si>
  <si>
    <t>arisco</t>
  </si>
  <si>
    <t>Bruno dos Santos Rap ...</t>
  </si>
  <si>
    <t>LUANDERSO</t>
  </si>
  <si>
    <t>Luanderson Correa Me ...</t>
  </si>
  <si>
    <t>Lucas Vinicius Santo ...</t>
  </si>
  <si>
    <t>MATEUS OLI .</t>
  </si>
  <si>
    <t>Mateus Vinicius Sant ...</t>
  </si>
  <si>
    <t>Ruan Pablo de Sousa  ...</t>
  </si>
  <si>
    <t>Rodolfo</t>
  </si>
  <si>
    <t>Rodolfo Ribeiro Vala ...</t>
  </si>
  <si>
    <t>Bruno dos Santos Raposo</t>
  </si>
  <si>
    <t>Brener Bessa Bezerra dos Santos</t>
  </si>
  <si>
    <t>19:00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</si>
</sst>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</font>
    <font>
      <sz val="8"/>
      <name val="Arial"/>
      <family val="2"/>
    </font>
    <font>
      <b/>
      <sz val="7"/>
      <name val="Arial"/>
    </font>
    <font>
      <b/>
      <sz val="7"/>
      <name val="Arial"/>
      <family val="2"/>
    </font>
    <font>
      <sz val="8"/>
      <name val="Arial MT"/>
    </font>
    <font>
      <sz val="8"/>
      <name val="Arial MT"/>
      <family val="2"/>
    </font>
    <font>
      <sz val="8"/>
      <color rgb="FF000000"/>
      <name val="Arial MT"/>
      <family val="2"/>
    </font>
  </fonts>
  <fills count="7">
    <fill>
      <patternFill patternType="none"/>
    </fill>
    <fill>
      <patternFill patternType="gray125"/>
    </fill>
    <fill>
      <patternFill patternType="solid">
        <fgColor rgb="FFB3E6B3"/>
        <bgColor rgb="FFFFFFFF"/>
      </patternFill>
    </fill>
    <fill>
      <patternFill patternType="solid">
        <fgColor rgb="FFA90F4A"/>
        <bgColor rgb="FFFFFFFF"/>
      </patternFill>
    </fill>
    <fill>
      <patternFill patternType="solid">
        <fgColor rgb="FFA90F4A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</borders>
  <cellStyleXfs count="1">
    <xf numFmtId="0" fontId="0" fillId="0" borderId="0"/>
  </cellStyleXfs>
  <cellXfs count="52">
    <xf numFmtId="0" fontId="0" fillId="0" borderId="0" xfId="0"/>
    <xf numFmtId="1" fontId="1" fillId="0" borderId="1" xfId="0" applyNumberFormat="1" applyFont="1" applyBorder="1" applyAlignment="1">
      <alignment horizontal="center" vertical="top" shrinkToFi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1" fontId="0" fillId="0" borderId="0" xfId="0" applyNumberFormat="1"/>
    <xf numFmtId="0" fontId="4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shrinkToFit="1"/>
    </xf>
    <xf numFmtId="1" fontId="1" fillId="0" borderId="4" xfId="0" applyNumberFormat="1" applyFont="1" applyBorder="1" applyAlignment="1">
      <alignment horizontal="center" vertical="top" shrinkToFit="1"/>
    </xf>
    <xf numFmtId="1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0" fillId="4" borderId="0" xfId="0" applyFill="1"/>
    <xf numFmtId="0" fontId="5" fillId="3" borderId="2" xfId="0" applyFont="1" applyFill="1" applyBorder="1" applyAlignment="1">
      <alignment horizontal="center" vertical="center" wrapText="1"/>
    </xf>
    <xf numFmtId="1" fontId="1" fillId="4" borderId="2" xfId="0" applyNumberFormat="1" applyFont="1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1" fontId="0" fillId="4" borderId="0" xfId="0" applyNumberFormat="1" applyFill="1"/>
    <xf numFmtId="0" fontId="4" fillId="5" borderId="2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0" xfId="0" applyFill="1"/>
    <xf numFmtId="0" fontId="5" fillId="5" borderId="2" xfId="0" applyFont="1" applyFill="1" applyBorder="1" applyAlignment="1">
      <alignment horizontal="center" vertical="center" wrapText="1"/>
    </xf>
    <xf numFmtId="1" fontId="5" fillId="5" borderId="2" xfId="0" applyNumberFormat="1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top" wrapText="1"/>
    </xf>
    <xf numFmtId="1" fontId="0" fillId="6" borderId="2" xfId="0" applyNumberFormat="1" applyFill="1" applyBorder="1" applyAlignment="1">
      <alignment horizontal="center" vertical="center"/>
    </xf>
    <xf numFmtId="0" fontId="0" fillId="6" borderId="2" xfId="0" applyFill="1" applyBorder="1"/>
    <xf numFmtId="1" fontId="0" fillId="6" borderId="2" xfId="0" applyNumberFormat="1" applyFill="1" applyBorder="1"/>
    <xf numFmtId="2" fontId="5" fillId="5" borderId="1" xfId="0" applyNumberFormat="1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horizontal="center" vertical="top" wrapText="1"/>
    </xf>
    <xf numFmtId="1" fontId="4" fillId="5" borderId="1" xfId="0" applyNumberFormat="1" applyFont="1" applyFill="1" applyBorder="1" applyAlignment="1">
      <alignment horizontal="center" vertical="top" wrapText="1"/>
    </xf>
    <xf numFmtId="1" fontId="5" fillId="5" borderId="1" xfId="0" applyNumberFormat="1" applyFont="1" applyFill="1" applyBorder="1" applyAlignment="1">
      <alignment horizontal="center" vertical="top" wrapText="1"/>
    </xf>
    <xf numFmtId="1" fontId="3" fillId="6" borderId="1" xfId="0" applyNumberFormat="1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1" fontId="2" fillId="6" borderId="1" xfId="0" applyNumberFormat="1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 vertical="top" wrapText="1"/>
    </xf>
    <xf numFmtId="2" fontId="0" fillId="6" borderId="0" xfId="0" applyNumberFormat="1" applyFill="1"/>
    <xf numFmtId="1" fontId="0" fillId="6" borderId="0" xfId="0" applyNumberFormat="1" applyFill="1"/>
    <xf numFmtId="0" fontId="4" fillId="3" borderId="1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left" vertical="top" wrapText="1"/>
    </xf>
    <xf numFmtId="49" fontId="0" fillId="4" borderId="2" xfId="0" applyNumberFormat="1" applyFill="1" applyBorder="1" applyAlignment="1">
      <alignment horizontal="center" vertical="center"/>
    </xf>
    <xf numFmtId="49" fontId="0" fillId="4" borderId="0" xfId="0" applyNumberFormat="1" applyFill="1"/>
    <xf numFmtId="0" fontId="6" fillId="0" borderId="1" xfId="0" applyFont="1" applyBorder="1" applyAlignment="1">
      <alignment horizontal="left" vertical="top" wrapText="1"/>
    </xf>
    <xf numFmtId="1" fontId="8" fillId="0" borderId="1" xfId="0" applyNumberFormat="1" applyFont="1" applyBorder="1" applyAlignment="1">
      <alignment horizontal="center" vertical="top" shrinkToFit="1"/>
    </xf>
    <xf numFmtId="0" fontId="6" fillId="0" borderId="1" xfId="0" applyFont="1" applyBorder="1" applyAlignment="1">
      <alignment horizontal="center" vertical="top" wrapText="1"/>
    </xf>
    <xf numFmtId="46" fontId="2" fillId="0" borderId="1" xfId="0" applyNumberFormat="1" applyFont="1" applyBorder="1" applyAlignment="1">
      <alignment horizontal="center" vertical="top" wrapText="1"/>
    </xf>
    <xf numFmtId="20" fontId="2" fillId="0" borderId="2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 wrapText="1" indent="1"/>
    </xf>
    <xf numFmtId="1" fontId="8" fillId="0" borderId="1" xfId="0" applyNumberFormat="1" applyFont="1" applyBorder="1" applyAlignment="1">
      <alignment horizontal="left" vertical="top" indent="1" shrinkToFi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90F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CA54F-3F2D-4DC4-9242-0EAF8210CE31}">
  <sheetPr filterMode="1"/>
  <dimension ref="A1:R326"/>
  <sheetViews>
    <sheetView showGridLines="0" tabSelected="1" topLeftCell="A314" workbookViewId="0">
      <selection activeCell="A292" sqref="A292:A326"/>
    </sheetView>
  </sheetViews>
  <sheetFormatPr defaultRowHeight="14.4"/>
  <cols>
    <col min="1" max="1" width="8.88671875" style="15"/>
    <col min="2" max="2" width="8.88671875" style="5"/>
    <col min="3" max="3" width="8.77734375" bestFit="1" customWidth="1"/>
    <col min="8" max="8" width="15.109375" style="15" customWidth="1"/>
    <col min="9" max="10" width="8.88671875" style="28"/>
    <col min="11" max="12" width="21.6640625" style="27" bestFit="1" customWidth="1"/>
    <col min="13" max="13" width="11.77734375" style="28" bestFit="1" customWidth="1"/>
    <col min="14" max="14" width="8.88671875" style="29"/>
    <col min="15" max="17" width="8.88671875" style="28"/>
    <col min="18" max="18" width="44.33203125" style="28" bestFit="1" customWidth="1"/>
  </cols>
  <sheetData>
    <row r="1" spans="1:18" ht="19.2">
      <c r="A1" s="16" t="s">
        <v>134</v>
      </c>
      <c r="B1" s="10" t="s">
        <v>16</v>
      </c>
      <c r="C1" s="11" t="s">
        <v>17</v>
      </c>
      <c r="D1" s="11" t="s">
        <v>18</v>
      </c>
      <c r="E1" s="12" t="s">
        <v>19</v>
      </c>
      <c r="F1" s="12" t="s">
        <v>20</v>
      </c>
      <c r="G1" s="13" t="s">
        <v>0</v>
      </c>
      <c r="H1" s="16" t="s">
        <v>98</v>
      </c>
      <c r="I1" s="24" t="s">
        <v>162</v>
      </c>
      <c r="J1" s="24" t="s">
        <v>137</v>
      </c>
      <c r="K1" s="25" t="s">
        <v>151</v>
      </c>
      <c r="L1" s="25" t="s">
        <v>152</v>
      </c>
      <c r="M1" s="24" t="s">
        <v>99</v>
      </c>
      <c r="N1" s="25" t="s">
        <v>135</v>
      </c>
      <c r="O1" s="24" t="s">
        <v>136</v>
      </c>
      <c r="P1" s="24" t="s">
        <v>163</v>
      </c>
      <c r="Q1" s="24" t="s">
        <v>164</v>
      </c>
      <c r="R1" s="24" t="s">
        <v>166</v>
      </c>
    </row>
    <row r="2" spans="1:18" ht="20.399999999999999" hidden="1">
      <c r="A2" s="17">
        <v>1</v>
      </c>
      <c r="B2" s="1">
        <v>1</v>
      </c>
      <c r="C2" s="2" t="s">
        <v>21</v>
      </c>
      <c r="D2" s="2" t="s">
        <v>22</v>
      </c>
      <c r="E2" s="3" t="s">
        <v>23</v>
      </c>
      <c r="F2" s="3" t="s">
        <v>24</v>
      </c>
      <c r="G2" s="9">
        <v>459328</v>
      </c>
      <c r="H2" s="17" t="s">
        <v>107</v>
      </c>
      <c r="I2" s="26" t="str">
        <f>C2</f>
        <v>Jr Conceiç ...</v>
      </c>
      <c r="J2" s="26" t="str">
        <f>A2&amp;H2&amp;B2</f>
        <v>1Imperatriz - MA1</v>
      </c>
      <c r="K2" s="27" t="str">
        <f>IFERROR(VLOOKUP(J2,Substituicoes!J:J,1,0),"SS")</f>
        <v>SS</v>
      </c>
      <c r="L2" s="27" t="str">
        <f>IFERROR(VLOOKUP(J2,Substituicoes!K:K,1,0),"SS")</f>
        <v>SS</v>
      </c>
      <c r="M2" s="28" t="b">
        <f>K2=L2</f>
        <v>1</v>
      </c>
      <c r="N2" s="29">
        <f>IF(AND(K2=L2,LEFT(E2,1)="T"),VLOOKUP(A2,'JOGOS BASE'!A:E,4,0),IF(K2=J2,VLOOKUP(J2,Substituicoes!J:R,6,0),IF(L2=J2,VLOOKUP(Escalacao!J2,Substituicoes!K:R,7,0),0)))</f>
        <v>49</v>
      </c>
      <c r="O2" s="28">
        <f>IF(AND(K2=L2,LEFT(E2,1)="T"),VLOOKUP(A2,'JOGOS BASE'!A:E,5,0),IF(K2=J2,VLOOKUP(J2,Substituicoes!J:R,7,0),IF(L2=J2,VLOOKUP(Escalacao!J2,Substituicoes!K:R,8,0),0)))</f>
        <v>50</v>
      </c>
      <c r="P2" s="29">
        <f>N2+O2</f>
        <v>99</v>
      </c>
      <c r="Q2" s="28" t="str">
        <f>A2&amp;B2&amp;H2</f>
        <v>11Imperatriz - MA</v>
      </c>
      <c r="R2" s="28" t="str">
        <f>VLOOKUP(A2,'JOGOS BASE'!A:H,8)</f>
        <v>11.01.2025 - Imperatriz - MA x Sampaio Corrêa - MA</v>
      </c>
    </row>
    <row r="3" spans="1:18" ht="30.6" hidden="1">
      <c r="A3" s="17">
        <v>1</v>
      </c>
      <c r="B3" s="1">
        <v>2</v>
      </c>
      <c r="C3" s="2" t="s">
        <v>1</v>
      </c>
      <c r="D3" s="2" t="s">
        <v>25</v>
      </c>
      <c r="E3" s="3" t="s">
        <v>26</v>
      </c>
      <c r="F3" s="3" t="s">
        <v>24</v>
      </c>
      <c r="G3" s="9">
        <v>451402</v>
      </c>
      <c r="H3" s="17" t="s">
        <v>107</v>
      </c>
      <c r="I3" s="26" t="str">
        <f t="shared" ref="I3:I44" si="0">C3</f>
        <v>Fabricio</v>
      </c>
      <c r="J3" s="26" t="str">
        <f t="shared" ref="J3:J44" si="1">A3&amp;H3&amp;B3</f>
        <v>1Imperatriz - MA2</v>
      </c>
      <c r="K3" s="27" t="str">
        <f>IFERROR(VLOOKUP(J3,Substituicoes!J:J,1,0),"SS")</f>
        <v>SS</v>
      </c>
      <c r="L3" s="27" t="str">
        <f>IFERROR(VLOOKUP(J3,Substituicoes!K:K,1,0),"SS")</f>
        <v>SS</v>
      </c>
      <c r="M3" s="28" t="b">
        <f t="shared" ref="M3:M44" si="2">K3=L3</f>
        <v>1</v>
      </c>
      <c r="N3" s="29">
        <f>IF(AND(K3=L3,LEFT(E3,1)="T"),VLOOKUP(A3,'JOGOS BASE'!A:E,4,0),IF(K3=J3,VLOOKUP(J3,Substituicoes!J:R,6,0),IF(L3=J3,VLOOKUP(Escalacao!J3,Substituicoes!K:R,7,0),0)))</f>
        <v>49</v>
      </c>
      <c r="O3" s="28">
        <f>IF(AND(K3=L3,LEFT(E3,1)="T"),VLOOKUP(A3,'JOGOS BASE'!A:E,5,0),IF(K3=J3,VLOOKUP(J3,Substituicoes!J:R,7,0),IF(L3=J3,VLOOKUP(Escalacao!J3,Substituicoes!K:R,8,0),0)))</f>
        <v>50</v>
      </c>
      <c r="P3" s="28">
        <f t="shared" ref="P3:P44" si="3">N3+O3</f>
        <v>99</v>
      </c>
      <c r="Q3" s="28" t="str">
        <f t="shared" ref="Q3:Q44" si="4">A3&amp;B3&amp;H3</f>
        <v>12Imperatriz - MA</v>
      </c>
      <c r="R3" s="28" t="str">
        <f>VLOOKUP(A3,'JOGOS BASE'!A:H,8)</f>
        <v>11.01.2025 - Imperatriz - MA x Sampaio Corrêa - MA</v>
      </c>
    </row>
    <row r="4" spans="1:18" ht="20.399999999999999" hidden="1">
      <c r="A4" s="17">
        <v>1</v>
      </c>
      <c r="B4" s="1">
        <v>3</v>
      </c>
      <c r="C4" s="2" t="s">
        <v>2</v>
      </c>
      <c r="D4" s="2" t="s">
        <v>27</v>
      </c>
      <c r="E4" s="3" t="s">
        <v>26</v>
      </c>
      <c r="F4" s="3" t="s">
        <v>24</v>
      </c>
      <c r="G4" s="9">
        <v>393115</v>
      </c>
      <c r="H4" s="17" t="s">
        <v>107</v>
      </c>
      <c r="I4" s="26" t="str">
        <f t="shared" si="0"/>
        <v>Andre Penalva</v>
      </c>
      <c r="J4" s="26" t="str">
        <f t="shared" si="1"/>
        <v>1Imperatriz - MA3</v>
      </c>
      <c r="K4" s="27" t="str">
        <f>IFERROR(VLOOKUP(J4,Substituicoes!J:J,1,0),"SS")</f>
        <v>SS</v>
      </c>
      <c r="L4" s="27" t="str">
        <f>IFERROR(VLOOKUP(J4,Substituicoes!K:K,1,0),"SS")</f>
        <v>SS</v>
      </c>
      <c r="M4" s="28" t="b">
        <f t="shared" si="2"/>
        <v>1</v>
      </c>
      <c r="N4" s="29">
        <f>IF(AND(K4=L4,LEFT(E4,1)="T"),VLOOKUP(A4,'JOGOS BASE'!A:E,4,0),IF(K4=J4,VLOOKUP(J4,Substituicoes!J:R,6,0),IF(L4=J4,VLOOKUP(Escalacao!J4,Substituicoes!K:R,7,0),0)))</f>
        <v>49</v>
      </c>
      <c r="O4" s="28">
        <f>IF(AND(K4=L4,LEFT(E4,1)="T"),VLOOKUP(A4,'JOGOS BASE'!A:E,5,0),IF(K4=J4,VLOOKUP(J4,Substituicoes!J:R,7,0),IF(L4=J4,VLOOKUP(Escalacao!J4,Substituicoes!K:R,8,0),0)))</f>
        <v>50</v>
      </c>
      <c r="P4" s="28">
        <f t="shared" si="3"/>
        <v>99</v>
      </c>
      <c r="Q4" s="28" t="str">
        <f t="shared" si="4"/>
        <v>13Imperatriz - MA</v>
      </c>
      <c r="R4" s="28" t="str">
        <f>VLOOKUP(A4,'JOGOS BASE'!A:H,8)</f>
        <v>11.01.2025 - Imperatriz - MA x Sampaio Corrêa - MA</v>
      </c>
    </row>
    <row r="5" spans="1:18" ht="20.399999999999999" hidden="1">
      <c r="A5" s="17">
        <v>1</v>
      </c>
      <c r="B5" s="1">
        <v>4</v>
      </c>
      <c r="C5" s="2" t="s">
        <v>28</v>
      </c>
      <c r="D5" s="2" t="s">
        <v>29</v>
      </c>
      <c r="E5" s="3" t="s">
        <v>26</v>
      </c>
      <c r="F5" s="3" t="s">
        <v>24</v>
      </c>
      <c r="G5" s="9">
        <v>373479</v>
      </c>
      <c r="H5" s="17" t="s">
        <v>107</v>
      </c>
      <c r="I5" s="26" t="str">
        <f t="shared" si="0"/>
        <v>FELIPE</v>
      </c>
      <c r="J5" s="26" t="str">
        <f t="shared" si="1"/>
        <v>1Imperatriz - MA4</v>
      </c>
      <c r="K5" s="27" t="str">
        <f>IFERROR(VLOOKUP(J5,Substituicoes!J:J,1,0),"SS")</f>
        <v>SS</v>
      </c>
      <c r="L5" s="27" t="str">
        <f>IFERROR(VLOOKUP(J5,Substituicoes!K:K,1,0),"SS")</f>
        <v>SS</v>
      </c>
      <c r="M5" s="28" t="b">
        <f t="shared" si="2"/>
        <v>1</v>
      </c>
      <c r="N5" s="29">
        <f>IF(AND(K5=L5,LEFT(E5,1)="T"),VLOOKUP(A5,'JOGOS BASE'!A:E,4,0),IF(K5=J5,VLOOKUP(J5,Substituicoes!J:R,6,0),IF(L5=J5,VLOOKUP(Escalacao!J5,Substituicoes!K:R,7,0),0)))</f>
        <v>49</v>
      </c>
      <c r="O5" s="28">
        <f>IF(AND(K5=L5,LEFT(E5,1)="T"),VLOOKUP(A5,'JOGOS BASE'!A:E,5,0),IF(K5=J5,VLOOKUP(J5,Substituicoes!J:R,7,0),IF(L5=J5,VLOOKUP(Escalacao!J5,Substituicoes!K:R,8,0),0)))</f>
        <v>50</v>
      </c>
      <c r="P5" s="28">
        <f t="shared" si="3"/>
        <v>99</v>
      </c>
      <c r="Q5" s="28" t="str">
        <f t="shared" si="4"/>
        <v>14Imperatriz - MA</v>
      </c>
      <c r="R5" s="28" t="str">
        <f>VLOOKUP(A5,'JOGOS BASE'!A:H,8)</f>
        <v>11.01.2025 - Imperatriz - MA x Sampaio Corrêa - MA</v>
      </c>
    </row>
    <row r="6" spans="1:18" ht="30.6" hidden="1">
      <c r="A6" s="17">
        <v>1</v>
      </c>
      <c r="B6" s="1">
        <v>5</v>
      </c>
      <c r="C6" s="2" t="s">
        <v>30</v>
      </c>
      <c r="D6" s="2" t="s">
        <v>31</v>
      </c>
      <c r="E6" s="3" t="s">
        <v>26</v>
      </c>
      <c r="F6" s="3" t="s">
        <v>24</v>
      </c>
      <c r="G6" s="9">
        <v>345029</v>
      </c>
      <c r="H6" s="17" t="s">
        <v>107</v>
      </c>
      <c r="I6" s="26" t="str">
        <f t="shared" si="0"/>
        <v>Jeferson P ...</v>
      </c>
      <c r="J6" s="26" t="str">
        <f t="shared" si="1"/>
        <v>1Imperatriz - MA5</v>
      </c>
      <c r="K6" s="27" t="str">
        <f>IFERROR(VLOOKUP(J6,Substituicoes!J:J,1,0),"SS")</f>
        <v>SS</v>
      </c>
      <c r="L6" s="27" t="str">
        <f>IFERROR(VLOOKUP(J6,Substituicoes!K:K,1,0),"SS")</f>
        <v>1Imperatriz - MA5</v>
      </c>
      <c r="M6" s="28" t="b">
        <f t="shared" si="2"/>
        <v>0</v>
      </c>
      <c r="N6" s="29">
        <f>IF(AND(K6=L6,LEFT(E6,1)="T"),VLOOKUP(A6,'JOGOS BASE'!A:E,4,0),IF(K6=J6,VLOOKUP(J6,Substituicoes!J:R,6,0),IF(L6=J6,VLOOKUP(Escalacao!J6,Substituicoes!K:R,7,0),0)))</f>
        <v>49</v>
      </c>
      <c r="O6" s="28">
        <f>IF(AND(K6=L6,LEFT(E6,1)="T"),VLOOKUP(A6,'JOGOS BASE'!A:E,5,0),IF(K6=J6,VLOOKUP(J6,Substituicoes!J:R,7,0),IF(L6=J6,VLOOKUP(Escalacao!J6,Substituicoes!K:R,8,0),0)))</f>
        <v>27</v>
      </c>
      <c r="P6" s="28">
        <f t="shared" si="3"/>
        <v>76</v>
      </c>
      <c r="Q6" s="28" t="str">
        <f t="shared" si="4"/>
        <v>15Imperatriz - MA</v>
      </c>
      <c r="R6" s="28" t="str">
        <f>VLOOKUP(A6,'JOGOS BASE'!A:H,8)</f>
        <v>11.01.2025 - Imperatriz - MA x Sampaio Corrêa - MA</v>
      </c>
    </row>
    <row r="7" spans="1:18" ht="30.6" hidden="1">
      <c r="A7" s="17">
        <v>1</v>
      </c>
      <c r="B7" s="1">
        <v>6</v>
      </c>
      <c r="C7" s="2" t="s">
        <v>3</v>
      </c>
      <c r="D7" s="2" t="s">
        <v>32</v>
      </c>
      <c r="E7" s="3" t="s">
        <v>26</v>
      </c>
      <c r="F7" s="3" t="s">
        <v>24</v>
      </c>
      <c r="G7" s="9">
        <v>634279</v>
      </c>
      <c r="H7" s="17" t="s">
        <v>107</v>
      </c>
      <c r="I7" s="26" t="str">
        <f t="shared" si="0"/>
        <v>Negueba</v>
      </c>
      <c r="J7" s="26" t="str">
        <f t="shared" si="1"/>
        <v>1Imperatriz - MA6</v>
      </c>
      <c r="K7" s="27" t="str">
        <f>IFERROR(VLOOKUP(J7,Substituicoes!J:J,1,0),"SS")</f>
        <v>SS</v>
      </c>
      <c r="L7" s="27" t="str">
        <f>IFERROR(VLOOKUP(J7,Substituicoes!K:K,1,0),"SS")</f>
        <v>SS</v>
      </c>
      <c r="M7" s="28" t="b">
        <f t="shared" si="2"/>
        <v>1</v>
      </c>
      <c r="N7" s="29">
        <f>IF(AND(K7=L7,LEFT(E7,1)="T"),VLOOKUP(A7,'JOGOS BASE'!A:E,4,0),IF(K7=J7,VLOOKUP(J7,Substituicoes!J:R,6,0),IF(L7=J7,VLOOKUP(Escalacao!J7,Substituicoes!K:R,7,0),0)))</f>
        <v>49</v>
      </c>
      <c r="O7" s="28">
        <f>IF(AND(K7=L7,LEFT(E7,1)="T"),VLOOKUP(A7,'JOGOS BASE'!A:E,5,0),IF(K7=J7,VLOOKUP(J7,Substituicoes!J:R,7,0),IF(L7=J7,VLOOKUP(Escalacao!J7,Substituicoes!K:R,8,0),0)))</f>
        <v>50</v>
      </c>
      <c r="P7" s="28">
        <f t="shared" si="3"/>
        <v>99</v>
      </c>
      <c r="Q7" s="28" t="str">
        <f t="shared" si="4"/>
        <v>16Imperatriz - MA</v>
      </c>
      <c r="R7" s="28" t="str">
        <f>VLOOKUP(A7,'JOGOS BASE'!A:H,8)</f>
        <v>11.01.2025 - Imperatriz - MA x Sampaio Corrêa - MA</v>
      </c>
    </row>
    <row r="8" spans="1:18" ht="20.399999999999999" hidden="1">
      <c r="A8" s="17">
        <v>1</v>
      </c>
      <c r="B8" s="1">
        <v>7</v>
      </c>
      <c r="C8" s="2" t="s">
        <v>4</v>
      </c>
      <c r="D8" s="2" t="s">
        <v>33</v>
      </c>
      <c r="E8" s="3" t="s">
        <v>26</v>
      </c>
      <c r="F8" s="3" t="s">
        <v>24</v>
      </c>
      <c r="G8" s="9">
        <v>546130</v>
      </c>
      <c r="H8" s="17" t="s">
        <v>107</v>
      </c>
      <c r="I8" s="26" t="str">
        <f t="shared" si="0"/>
        <v>Felipinho</v>
      </c>
      <c r="J8" s="26" t="str">
        <f t="shared" si="1"/>
        <v>1Imperatriz - MA7</v>
      </c>
      <c r="K8" s="27" t="str">
        <f>IFERROR(VLOOKUP(J8,Substituicoes!J:J,1,0),"SS")</f>
        <v>SS</v>
      </c>
      <c r="L8" s="27" t="str">
        <f>IFERROR(VLOOKUP(J8,Substituicoes!K:K,1,0),"SS")</f>
        <v>1Imperatriz - MA7</v>
      </c>
      <c r="M8" s="28" t="b">
        <f t="shared" si="2"/>
        <v>0</v>
      </c>
      <c r="N8" s="29">
        <f>IF(AND(K8=L8,LEFT(E8,1)="T"),VLOOKUP(A8,'JOGOS BASE'!A:E,4,0),IF(K8=J8,VLOOKUP(J8,Substituicoes!J:R,6,0),IF(L8=J8,VLOOKUP(Escalacao!J8,Substituicoes!K:R,7,0),0)))</f>
        <v>49</v>
      </c>
      <c r="O8" s="28">
        <f>IF(AND(K8=L8,LEFT(E8,1)="T"),VLOOKUP(A8,'JOGOS BASE'!A:E,5,0),IF(K8=J8,VLOOKUP(J8,Substituicoes!J:R,7,0),IF(L8=J8,VLOOKUP(Escalacao!J8,Substituicoes!K:R,8,0),0)))</f>
        <v>40</v>
      </c>
      <c r="P8" s="28">
        <f t="shared" si="3"/>
        <v>89</v>
      </c>
      <c r="Q8" s="28" t="str">
        <f t="shared" si="4"/>
        <v>17Imperatriz - MA</v>
      </c>
      <c r="R8" s="28" t="str">
        <f>VLOOKUP(A8,'JOGOS BASE'!A:H,8)</f>
        <v>11.01.2025 - Imperatriz - MA x Sampaio Corrêa - MA</v>
      </c>
    </row>
    <row r="9" spans="1:18" ht="30.6" hidden="1">
      <c r="A9" s="17">
        <v>1</v>
      </c>
      <c r="B9" s="1">
        <v>8</v>
      </c>
      <c r="C9" s="2" t="s">
        <v>5</v>
      </c>
      <c r="D9" s="2" t="s">
        <v>34</v>
      </c>
      <c r="E9" s="3" t="s">
        <v>26</v>
      </c>
      <c r="F9" s="3" t="s">
        <v>24</v>
      </c>
      <c r="G9" s="9">
        <v>348355</v>
      </c>
      <c r="H9" s="17" t="s">
        <v>107</v>
      </c>
      <c r="I9" s="26" t="str">
        <f t="shared" si="0"/>
        <v>Felipe Macena</v>
      </c>
      <c r="J9" s="26" t="str">
        <f t="shared" si="1"/>
        <v>1Imperatriz - MA8</v>
      </c>
      <c r="K9" s="27" t="str">
        <f>IFERROR(VLOOKUP(J9,Substituicoes!J:J,1,0),"SS")</f>
        <v>SS</v>
      </c>
      <c r="L9" s="27" t="str">
        <f>IFERROR(VLOOKUP(J9,Substituicoes!K:K,1,0),"SS")</f>
        <v>SS</v>
      </c>
      <c r="M9" s="28" t="b">
        <f t="shared" si="2"/>
        <v>1</v>
      </c>
      <c r="N9" s="29">
        <f>IF(AND(K9=L9,LEFT(E9,1)="T"),VLOOKUP(A9,'JOGOS BASE'!A:E,4,0),IF(K9=J9,VLOOKUP(J9,Substituicoes!J:R,6,0),IF(L9=J9,VLOOKUP(Escalacao!J9,Substituicoes!K:R,7,0),0)))</f>
        <v>49</v>
      </c>
      <c r="O9" s="28">
        <f>IF(AND(K9=L9,LEFT(E9,1)="T"),VLOOKUP(A9,'JOGOS BASE'!A:E,5,0),IF(K9=J9,VLOOKUP(J9,Substituicoes!J:R,7,0),IF(L9=J9,VLOOKUP(Escalacao!J9,Substituicoes!K:R,8,0),0)))</f>
        <v>50</v>
      </c>
      <c r="P9" s="28">
        <f t="shared" si="3"/>
        <v>99</v>
      </c>
      <c r="Q9" s="28" t="str">
        <f t="shared" si="4"/>
        <v>18Imperatriz - MA</v>
      </c>
      <c r="R9" s="28" t="str">
        <f>VLOOKUP(A9,'JOGOS BASE'!A:H,8)</f>
        <v>11.01.2025 - Imperatriz - MA x Sampaio Corrêa - MA</v>
      </c>
    </row>
    <row r="10" spans="1:18" ht="30.6" hidden="1">
      <c r="A10" s="17">
        <v>1</v>
      </c>
      <c r="B10" s="1">
        <v>9</v>
      </c>
      <c r="C10" s="2" t="s">
        <v>6</v>
      </c>
      <c r="D10" s="2" t="s">
        <v>35</v>
      </c>
      <c r="E10" s="3" t="s">
        <v>26</v>
      </c>
      <c r="F10" s="3" t="s">
        <v>24</v>
      </c>
      <c r="G10" s="9">
        <v>637641</v>
      </c>
      <c r="H10" s="17" t="s">
        <v>107</v>
      </c>
      <c r="I10" s="26" t="str">
        <f t="shared" si="0"/>
        <v>Lussandro</v>
      </c>
      <c r="J10" s="26" t="str">
        <f t="shared" si="1"/>
        <v>1Imperatriz - MA9</v>
      </c>
      <c r="K10" s="27" t="str">
        <f>IFERROR(VLOOKUP(J10,Substituicoes!J:J,1,0),"SS")</f>
        <v>SS</v>
      </c>
      <c r="L10" s="27" t="str">
        <f>IFERROR(VLOOKUP(J10,Substituicoes!K:K,1,0),"SS")</f>
        <v>1Imperatriz - MA9</v>
      </c>
      <c r="M10" s="28" t="b">
        <f t="shared" si="2"/>
        <v>0</v>
      </c>
      <c r="N10" s="29">
        <f>IF(AND(K10=L10,LEFT(E10,1)="T"),VLOOKUP(A10,'JOGOS BASE'!A:E,4,0),IF(K10=J10,VLOOKUP(J10,Substituicoes!J:R,6,0),IF(L10=J10,VLOOKUP(Escalacao!J10,Substituicoes!K:R,7,0),0)))</f>
        <v>49</v>
      </c>
      <c r="O10" s="28">
        <f>IF(AND(K10=L10,LEFT(E10,1)="T"),VLOOKUP(A10,'JOGOS BASE'!A:E,5,0),IF(K10=J10,VLOOKUP(J10,Substituicoes!J:R,7,0),IF(L10=J10,VLOOKUP(Escalacao!J10,Substituicoes!K:R,8,0),0)))</f>
        <v>27</v>
      </c>
      <c r="P10" s="28">
        <f t="shared" si="3"/>
        <v>76</v>
      </c>
      <c r="Q10" s="28" t="str">
        <f t="shared" si="4"/>
        <v>19Imperatriz - MA</v>
      </c>
      <c r="R10" s="28" t="str">
        <f>VLOOKUP(A10,'JOGOS BASE'!A:H,8)</f>
        <v>11.01.2025 - Imperatriz - MA x Sampaio Corrêa - MA</v>
      </c>
    </row>
    <row r="11" spans="1:18" ht="30.6" hidden="1">
      <c r="A11" s="17">
        <v>1</v>
      </c>
      <c r="B11" s="1">
        <v>10</v>
      </c>
      <c r="C11" s="2" t="s">
        <v>36</v>
      </c>
      <c r="D11" s="2" t="s">
        <v>37</v>
      </c>
      <c r="E11" s="3" t="s">
        <v>26</v>
      </c>
      <c r="F11" s="3" t="s">
        <v>24</v>
      </c>
      <c r="G11" s="9">
        <v>293426</v>
      </c>
      <c r="H11" s="17" t="s">
        <v>107</v>
      </c>
      <c r="I11" s="26" t="str">
        <f t="shared" si="0"/>
        <v>Henrique S ...</v>
      </c>
      <c r="J11" s="26" t="str">
        <f t="shared" si="1"/>
        <v>1Imperatriz - MA10</v>
      </c>
      <c r="K11" s="27" t="str">
        <f>IFERROR(VLOOKUP(J11,Substituicoes!J:J,1,0),"SS")</f>
        <v>SS</v>
      </c>
      <c r="L11" s="27" t="str">
        <f>IFERROR(VLOOKUP(J11,Substituicoes!K:K,1,0),"SS")</f>
        <v>1Imperatriz - MA10</v>
      </c>
      <c r="M11" s="28" t="b">
        <f t="shared" si="2"/>
        <v>0</v>
      </c>
      <c r="N11" s="29">
        <f>IF(AND(K11=L11,LEFT(E11,1)="T"),VLOOKUP(A11,'JOGOS BASE'!A:E,4,0),IF(K11=J11,VLOOKUP(J11,Substituicoes!J:R,6,0),IF(L11=J11,VLOOKUP(Escalacao!J11,Substituicoes!K:R,7,0),0)))</f>
        <v>49</v>
      </c>
      <c r="O11" s="28">
        <f>IF(AND(K11=L11,LEFT(E11,1)="T"),VLOOKUP(A11,'JOGOS BASE'!A:E,5,0),IF(K11=J11,VLOOKUP(J11,Substituicoes!J:R,7,0),IF(L11=J11,VLOOKUP(Escalacao!J11,Substituicoes!K:R,8,0),0)))</f>
        <v>0</v>
      </c>
      <c r="P11" s="28">
        <f t="shared" si="3"/>
        <v>49</v>
      </c>
      <c r="Q11" s="28" t="str">
        <f t="shared" si="4"/>
        <v>110Imperatriz - MA</v>
      </c>
      <c r="R11" s="28" t="str">
        <f>VLOOKUP(A11,'JOGOS BASE'!A:H,8)</f>
        <v>11.01.2025 - Imperatriz - MA x Sampaio Corrêa - MA</v>
      </c>
    </row>
    <row r="12" spans="1:18" ht="20.399999999999999" hidden="1">
      <c r="A12" s="17">
        <v>1</v>
      </c>
      <c r="B12" s="1">
        <v>11</v>
      </c>
      <c r="C12" s="2" t="s">
        <v>7</v>
      </c>
      <c r="D12" s="2" t="s">
        <v>38</v>
      </c>
      <c r="E12" s="3" t="s">
        <v>26</v>
      </c>
      <c r="F12" s="3" t="s">
        <v>24</v>
      </c>
      <c r="G12" s="9">
        <v>386286</v>
      </c>
      <c r="H12" s="17" t="s">
        <v>107</v>
      </c>
      <c r="I12" s="26" t="str">
        <f t="shared" si="0"/>
        <v>Café</v>
      </c>
      <c r="J12" s="26" t="str">
        <f t="shared" si="1"/>
        <v>1Imperatriz - MA11</v>
      </c>
      <c r="K12" s="27" t="str">
        <f>IFERROR(VLOOKUP(J12,Substituicoes!J:J,1,0),"SS")</f>
        <v>SS</v>
      </c>
      <c r="L12" s="27" t="str">
        <f>IFERROR(VLOOKUP(J12,Substituicoes!K:K,1,0),"SS")</f>
        <v>1Imperatriz - MA11</v>
      </c>
      <c r="M12" s="28" t="b">
        <f t="shared" si="2"/>
        <v>0</v>
      </c>
      <c r="N12" s="29">
        <f>IF(AND(K12=L12,LEFT(E12,1)="T"),VLOOKUP(A12,'JOGOS BASE'!A:E,4,0),IF(K12=J12,VLOOKUP(J12,Substituicoes!J:R,6,0),IF(L12=J12,VLOOKUP(Escalacao!J12,Substituicoes!K:R,7,0),0)))</f>
        <v>49</v>
      </c>
      <c r="O12" s="28">
        <f>IF(AND(K12=L12,LEFT(E12,1)="T"),VLOOKUP(A12,'JOGOS BASE'!A:E,5,0),IF(K12=J12,VLOOKUP(J12,Substituicoes!J:R,7,0),IF(L12=J12,VLOOKUP(Escalacao!J12,Substituicoes!K:R,8,0),0)))</f>
        <v>13</v>
      </c>
      <c r="P12" s="28">
        <f t="shared" si="3"/>
        <v>62</v>
      </c>
      <c r="Q12" s="28" t="str">
        <f t="shared" si="4"/>
        <v>111Imperatriz - MA</v>
      </c>
      <c r="R12" s="28" t="str">
        <f>VLOOKUP(A12,'JOGOS BASE'!A:H,8)</f>
        <v>11.01.2025 - Imperatriz - MA x Sampaio Corrêa - MA</v>
      </c>
    </row>
    <row r="13" spans="1:18" ht="30.6" hidden="1">
      <c r="A13" s="17">
        <v>1</v>
      </c>
      <c r="B13" s="1">
        <v>12</v>
      </c>
      <c r="C13" s="2" t="s">
        <v>8</v>
      </c>
      <c r="D13" s="2" t="s">
        <v>39</v>
      </c>
      <c r="E13" s="3" t="s">
        <v>40</v>
      </c>
      <c r="F13" s="3" t="s">
        <v>24</v>
      </c>
      <c r="G13" s="9">
        <v>426518</v>
      </c>
      <c r="H13" s="17" t="s">
        <v>107</v>
      </c>
      <c r="I13" s="26" t="str">
        <f t="shared" si="0"/>
        <v>Redson</v>
      </c>
      <c r="J13" s="26" t="str">
        <f t="shared" si="1"/>
        <v>1Imperatriz - MA12</v>
      </c>
      <c r="K13" s="27" t="str">
        <f>IFERROR(VLOOKUP(J13,Substituicoes!J:J,1,0),"SS")</f>
        <v>SS</v>
      </c>
      <c r="L13" s="27" t="str">
        <f>IFERROR(VLOOKUP(J13,Substituicoes!K:K,1,0),"SS")</f>
        <v>SS</v>
      </c>
      <c r="M13" s="28" t="b">
        <f t="shared" si="2"/>
        <v>1</v>
      </c>
      <c r="N13" s="29">
        <f>IF(AND(K13=L13,LEFT(E13,1)="T"),VLOOKUP(A13,'JOGOS BASE'!A:E,4,0),IF(K13=J13,VLOOKUP(J13,Substituicoes!J:R,6,0),IF(L13=J13,VLOOKUP(Escalacao!J13,Substituicoes!K:R,7,0),0)))</f>
        <v>0</v>
      </c>
      <c r="O13" s="28">
        <f>IF(AND(K13=L13,LEFT(E13,1)="T"),VLOOKUP(A13,'JOGOS BASE'!A:E,5,0),IF(K13=J13,VLOOKUP(J13,Substituicoes!J:R,7,0),IF(L13=J13,VLOOKUP(Escalacao!J13,Substituicoes!K:R,8,0),0)))</f>
        <v>0</v>
      </c>
      <c r="P13" s="28">
        <f t="shared" si="3"/>
        <v>0</v>
      </c>
      <c r="Q13" s="28" t="str">
        <f t="shared" si="4"/>
        <v>112Imperatriz - MA</v>
      </c>
      <c r="R13" s="28" t="str">
        <f>VLOOKUP(A13,'JOGOS BASE'!A:H,8)</f>
        <v>11.01.2025 - Imperatriz - MA x Sampaio Corrêa - MA</v>
      </c>
    </row>
    <row r="14" spans="1:18" ht="30.6" hidden="1">
      <c r="A14" s="17">
        <v>1</v>
      </c>
      <c r="B14" s="1">
        <v>13</v>
      </c>
      <c r="C14" s="2" t="s">
        <v>9</v>
      </c>
      <c r="D14" s="2" t="s">
        <v>41</v>
      </c>
      <c r="E14" s="3" t="s">
        <v>42</v>
      </c>
      <c r="F14" s="3" t="s">
        <v>24</v>
      </c>
      <c r="G14" s="9">
        <v>460285</v>
      </c>
      <c r="H14" s="17" t="s">
        <v>107</v>
      </c>
      <c r="I14" s="26" t="str">
        <f t="shared" si="0"/>
        <v>Max Maraba</v>
      </c>
      <c r="J14" s="26" t="str">
        <f t="shared" si="1"/>
        <v>1Imperatriz - MA13</v>
      </c>
      <c r="K14" s="27" t="str">
        <f>IFERROR(VLOOKUP(J14,Substituicoes!J:J,1,0),"SS")</f>
        <v>SS</v>
      </c>
      <c r="L14" s="27" t="str">
        <f>IFERROR(VLOOKUP(J14,Substituicoes!K:K,1,0),"SS")</f>
        <v>SS</v>
      </c>
      <c r="M14" s="28" t="b">
        <f t="shared" si="2"/>
        <v>1</v>
      </c>
      <c r="N14" s="29">
        <f>IF(AND(K14=L14,LEFT(E14,1)="T"),VLOOKUP(A14,'JOGOS BASE'!A:E,4,0),IF(K14=J14,VLOOKUP(J14,Substituicoes!J:R,6,0),IF(L14=J14,VLOOKUP(Escalacao!J14,Substituicoes!K:R,7,0),0)))</f>
        <v>0</v>
      </c>
      <c r="O14" s="28">
        <f>IF(AND(K14=L14,LEFT(E14,1)="T"),VLOOKUP(A14,'JOGOS BASE'!A:E,5,0),IF(K14=J14,VLOOKUP(J14,Substituicoes!J:R,7,0),IF(L14=J14,VLOOKUP(Escalacao!J14,Substituicoes!K:R,8,0),0)))</f>
        <v>0</v>
      </c>
      <c r="P14" s="28">
        <f t="shared" si="3"/>
        <v>0</v>
      </c>
      <c r="Q14" s="28" t="str">
        <f t="shared" si="4"/>
        <v>113Imperatriz - MA</v>
      </c>
      <c r="R14" s="28" t="str">
        <f>VLOOKUP(A14,'JOGOS BASE'!A:H,8)</f>
        <v>11.01.2025 - Imperatriz - MA x Sampaio Corrêa - MA</v>
      </c>
    </row>
    <row r="15" spans="1:18" ht="30.6" hidden="1">
      <c r="A15" s="17">
        <v>1</v>
      </c>
      <c r="B15" s="1">
        <v>14</v>
      </c>
      <c r="C15" s="2" t="s">
        <v>43</v>
      </c>
      <c r="D15" s="2" t="s">
        <v>44</v>
      </c>
      <c r="E15" s="3" t="s">
        <v>42</v>
      </c>
      <c r="F15" s="3" t="s">
        <v>24</v>
      </c>
      <c r="G15" s="9">
        <v>782606</v>
      </c>
      <c r="H15" s="17" t="s">
        <v>107</v>
      </c>
      <c r="I15" s="26" t="str">
        <f t="shared" si="0"/>
        <v>Raylson</v>
      </c>
      <c r="J15" s="26" t="str">
        <f t="shared" si="1"/>
        <v>1Imperatriz - MA14</v>
      </c>
      <c r="K15" s="27" t="str">
        <f>IFERROR(VLOOKUP(J15,Substituicoes!J:J,1,0),"SS")</f>
        <v>SS</v>
      </c>
      <c r="L15" s="27" t="str">
        <f>IFERROR(VLOOKUP(J15,Substituicoes!K:K,1,0),"SS")</f>
        <v>SS</v>
      </c>
      <c r="M15" s="28" t="b">
        <f t="shared" si="2"/>
        <v>1</v>
      </c>
      <c r="N15" s="29">
        <f>IF(AND(K15=L15,LEFT(E15,1)="T"),VLOOKUP(A15,'JOGOS BASE'!A:E,4,0),IF(K15=J15,VLOOKUP(J15,Substituicoes!J:R,6,0),IF(L15=J15,VLOOKUP(Escalacao!J15,Substituicoes!K:R,7,0),0)))</f>
        <v>0</v>
      </c>
      <c r="O15" s="28">
        <f>IF(AND(K15=L15,LEFT(E15,1)="T"),VLOOKUP(A15,'JOGOS BASE'!A:E,5,0),IF(K15=J15,VLOOKUP(J15,Substituicoes!J:R,7,0),IF(L15=J15,VLOOKUP(Escalacao!J15,Substituicoes!K:R,8,0),0)))</f>
        <v>0</v>
      </c>
      <c r="P15" s="28">
        <f t="shared" si="3"/>
        <v>0</v>
      </c>
      <c r="Q15" s="28" t="str">
        <f t="shared" si="4"/>
        <v>114Imperatriz - MA</v>
      </c>
      <c r="R15" s="28" t="str">
        <f>VLOOKUP(A15,'JOGOS BASE'!A:H,8)</f>
        <v>11.01.2025 - Imperatriz - MA x Sampaio Corrêa - MA</v>
      </c>
    </row>
    <row r="16" spans="1:18" ht="30.6" hidden="1">
      <c r="A16" s="17">
        <v>1</v>
      </c>
      <c r="B16" s="1">
        <v>15</v>
      </c>
      <c r="C16" s="2" t="s">
        <v>45</v>
      </c>
      <c r="D16" s="2" t="s">
        <v>46</v>
      </c>
      <c r="E16" s="3" t="s">
        <v>42</v>
      </c>
      <c r="F16" s="3" t="s">
        <v>24</v>
      </c>
      <c r="G16" s="9">
        <v>500483</v>
      </c>
      <c r="H16" s="17" t="s">
        <v>107</v>
      </c>
      <c r="I16" s="26" t="str">
        <f t="shared" si="0"/>
        <v>CARLOS</v>
      </c>
      <c r="J16" s="26" t="str">
        <f t="shared" si="1"/>
        <v>1Imperatriz - MA15</v>
      </c>
      <c r="K16" s="27" t="str">
        <f>IFERROR(VLOOKUP(J16,Substituicoes!J:J,1,0),"SS")</f>
        <v>SS</v>
      </c>
      <c r="L16" s="27" t="str">
        <f>IFERROR(VLOOKUP(J16,Substituicoes!K:K,1,0),"SS")</f>
        <v>SS</v>
      </c>
      <c r="M16" s="28" t="b">
        <f t="shared" si="2"/>
        <v>1</v>
      </c>
      <c r="N16" s="29">
        <f>IF(AND(K16=L16,LEFT(E16,1)="T"),VLOOKUP(A16,'JOGOS BASE'!A:E,4,0),IF(K16=J16,VLOOKUP(J16,Substituicoes!J:R,6,0),IF(L16=J16,VLOOKUP(Escalacao!J16,Substituicoes!K:R,7,0),0)))</f>
        <v>0</v>
      </c>
      <c r="O16" s="28">
        <f>IF(AND(K16=L16,LEFT(E16,1)="T"),VLOOKUP(A16,'JOGOS BASE'!A:E,5,0),IF(K16=J16,VLOOKUP(J16,Substituicoes!J:R,7,0),IF(L16=J16,VLOOKUP(Escalacao!J16,Substituicoes!K:R,8,0),0)))</f>
        <v>0</v>
      </c>
      <c r="P16" s="28">
        <f t="shared" si="3"/>
        <v>0</v>
      </c>
      <c r="Q16" s="28" t="str">
        <f t="shared" si="4"/>
        <v>115Imperatriz - MA</v>
      </c>
      <c r="R16" s="28" t="str">
        <f>VLOOKUP(A16,'JOGOS BASE'!A:H,8)</f>
        <v>11.01.2025 - Imperatriz - MA x Sampaio Corrêa - MA</v>
      </c>
    </row>
    <row r="17" spans="1:18" ht="30.6" hidden="1">
      <c r="A17" s="17">
        <v>1</v>
      </c>
      <c r="B17" s="1">
        <v>16</v>
      </c>
      <c r="C17" s="2" t="s">
        <v>47</v>
      </c>
      <c r="D17" s="2" t="s">
        <v>48</v>
      </c>
      <c r="E17" s="3" t="s">
        <v>42</v>
      </c>
      <c r="F17" s="3" t="s">
        <v>24</v>
      </c>
      <c r="G17" s="9">
        <v>762553</v>
      </c>
      <c r="H17" s="17" t="s">
        <v>107</v>
      </c>
      <c r="I17" s="26" t="str">
        <f t="shared" si="0"/>
        <v>ADRIAN</v>
      </c>
      <c r="J17" s="26" t="str">
        <f t="shared" si="1"/>
        <v>1Imperatriz - MA16</v>
      </c>
      <c r="K17" s="27" t="str">
        <f>IFERROR(VLOOKUP(J17,Substituicoes!J:J,1,0),"SS")</f>
        <v>SS</v>
      </c>
      <c r="L17" s="27" t="str">
        <f>IFERROR(VLOOKUP(J17,Substituicoes!K:K,1,0),"SS")</f>
        <v>SS</v>
      </c>
      <c r="M17" s="28" t="b">
        <f t="shared" si="2"/>
        <v>1</v>
      </c>
      <c r="N17" s="29">
        <f>IF(AND(K17=L17,LEFT(E17,1)="T"),VLOOKUP(A17,'JOGOS BASE'!A:E,4,0),IF(K17=J17,VLOOKUP(J17,Substituicoes!J:R,6,0),IF(L17=J17,VLOOKUP(Escalacao!J17,Substituicoes!K:R,7,0),0)))</f>
        <v>0</v>
      </c>
      <c r="O17" s="28">
        <f>IF(AND(K17=L17,LEFT(E17,1)="T"),VLOOKUP(A17,'JOGOS BASE'!A:E,5,0),IF(K17=J17,VLOOKUP(J17,Substituicoes!J:R,7,0),IF(L17=J17,VLOOKUP(Escalacao!J17,Substituicoes!K:R,8,0),0)))</f>
        <v>0</v>
      </c>
      <c r="P17" s="28">
        <f t="shared" si="3"/>
        <v>0</v>
      </c>
      <c r="Q17" s="28" t="str">
        <f t="shared" si="4"/>
        <v>116Imperatriz - MA</v>
      </c>
      <c r="R17" s="28" t="str">
        <f>VLOOKUP(A17,'JOGOS BASE'!A:H,8)</f>
        <v>11.01.2025 - Imperatriz - MA x Sampaio Corrêa - MA</v>
      </c>
    </row>
    <row r="18" spans="1:18" ht="30.6" hidden="1">
      <c r="A18" s="17">
        <v>1</v>
      </c>
      <c r="B18" s="1">
        <v>17</v>
      </c>
      <c r="C18" s="2" t="s">
        <v>10</v>
      </c>
      <c r="D18" s="2" t="s">
        <v>49</v>
      </c>
      <c r="E18" s="3" t="s">
        <v>42</v>
      </c>
      <c r="F18" s="3" t="s">
        <v>24</v>
      </c>
      <c r="G18" s="9">
        <v>647823</v>
      </c>
      <c r="H18" s="17" t="s">
        <v>107</v>
      </c>
      <c r="I18" s="26" t="str">
        <f t="shared" si="0"/>
        <v>Pedro Zuccolo</v>
      </c>
      <c r="J18" s="26" t="str">
        <f t="shared" si="1"/>
        <v>1Imperatriz - MA17</v>
      </c>
      <c r="K18" s="27" t="str">
        <f>IFERROR(VLOOKUP(J18,Substituicoes!J:J,1,0),"SS")</f>
        <v>1Imperatriz - MA17</v>
      </c>
      <c r="L18" s="27" t="str">
        <f>IFERROR(VLOOKUP(J18,Substituicoes!K:K,1,0),"SS")</f>
        <v>SS</v>
      </c>
      <c r="M18" s="28" t="b">
        <f t="shared" si="2"/>
        <v>0</v>
      </c>
      <c r="N18" s="29">
        <f>IF(AND(K18=L18,LEFT(E18,1)="T"),VLOOKUP(A18,'JOGOS BASE'!A:E,4,0),IF(K18=J18,VLOOKUP(J18,Substituicoes!J:R,6,0),IF(L18=J18,VLOOKUP(Escalacao!J18,Substituicoes!K:R,7,0),0)))</f>
        <v>0</v>
      </c>
      <c r="O18" s="28">
        <f>IF(AND(K18=L18,LEFT(E18,1)="T"),VLOOKUP(A18,'JOGOS BASE'!A:E,5,0),IF(K18=J18,VLOOKUP(J18,Substituicoes!J:R,7,0),IF(L18=J18,VLOOKUP(Escalacao!J18,Substituicoes!K:R,8,0),0)))</f>
        <v>23</v>
      </c>
      <c r="P18" s="28">
        <f t="shared" si="3"/>
        <v>23</v>
      </c>
      <c r="Q18" s="28" t="str">
        <f t="shared" si="4"/>
        <v>117Imperatriz - MA</v>
      </c>
      <c r="R18" s="28" t="str">
        <f>VLOOKUP(A18,'JOGOS BASE'!A:H,8)</f>
        <v>11.01.2025 - Imperatriz - MA x Sampaio Corrêa - MA</v>
      </c>
    </row>
    <row r="19" spans="1:18" ht="30.6" hidden="1">
      <c r="A19" s="17">
        <v>1</v>
      </c>
      <c r="B19" s="1">
        <v>18</v>
      </c>
      <c r="C19" s="2" t="s">
        <v>11</v>
      </c>
      <c r="D19" s="2" t="s">
        <v>50</v>
      </c>
      <c r="E19" s="3" t="s">
        <v>42</v>
      </c>
      <c r="F19" s="3" t="s">
        <v>24</v>
      </c>
      <c r="G19" s="9">
        <v>753179</v>
      </c>
      <c r="H19" s="17" t="s">
        <v>107</v>
      </c>
      <c r="I19" s="26" t="str">
        <f t="shared" si="0"/>
        <v>Xinayder</v>
      </c>
      <c r="J19" s="26" t="str">
        <f t="shared" si="1"/>
        <v>1Imperatriz - MA18</v>
      </c>
      <c r="K19" s="27" t="str">
        <f>IFERROR(VLOOKUP(J19,Substituicoes!J:J,1,0),"SS")</f>
        <v>SS</v>
      </c>
      <c r="L19" s="27" t="str">
        <f>IFERROR(VLOOKUP(J19,Substituicoes!K:K,1,0),"SS")</f>
        <v>SS</v>
      </c>
      <c r="M19" s="28" t="b">
        <f t="shared" si="2"/>
        <v>1</v>
      </c>
      <c r="N19" s="29">
        <f>IF(AND(K19=L19,LEFT(E19,1)="T"),VLOOKUP(A19,'JOGOS BASE'!A:E,4,0),IF(K19=J19,VLOOKUP(J19,Substituicoes!J:R,6,0),IF(L19=J19,VLOOKUP(Escalacao!J19,Substituicoes!K:R,7,0),0)))</f>
        <v>0</v>
      </c>
      <c r="O19" s="28">
        <f>IF(AND(K19=L19,LEFT(E19,1)="T"),VLOOKUP(A19,'JOGOS BASE'!A:E,5,0),IF(K19=J19,VLOOKUP(J19,Substituicoes!J:R,7,0),IF(L19=J19,VLOOKUP(Escalacao!J19,Substituicoes!K:R,8,0),0)))</f>
        <v>0</v>
      </c>
      <c r="P19" s="28">
        <f t="shared" si="3"/>
        <v>0</v>
      </c>
      <c r="Q19" s="28" t="str">
        <f t="shared" si="4"/>
        <v>118Imperatriz - MA</v>
      </c>
      <c r="R19" s="28" t="str">
        <f>VLOOKUP(A19,'JOGOS BASE'!A:H,8)</f>
        <v>11.01.2025 - Imperatriz - MA x Sampaio Corrêa - MA</v>
      </c>
    </row>
    <row r="20" spans="1:18" ht="30.6" hidden="1">
      <c r="A20" s="17">
        <v>1</v>
      </c>
      <c r="B20" s="1">
        <v>19</v>
      </c>
      <c r="C20" s="2" t="s">
        <v>51</v>
      </c>
      <c r="D20" s="2" t="s">
        <v>52</v>
      </c>
      <c r="E20" s="3" t="s">
        <v>42</v>
      </c>
      <c r="F20" s="3" t="s">
        <v>24</v>
      </c>
      <c r="G20" s="9">
        <v>611147</v>
      </c>
      <c r="H20" s="17" t="s">
        <v>107</v>
      </c>
      <c r="I20" s="26" t="str">
        <f t="shared" si="0"/>
        <v>WYLDSON</v>
      </c>
      <c r="J20" s="26" t="str">
        <f t="shared" si="1"/>
        <v>1Imperatriz - MA19</v>
      </c>
      <c r="K20" s="27" t="str">
        <f>IFERROR(VLOOKUP(J20,Substituicoes!J:J,1,0),"SS")</f>
        <v>1Imperatriz - MA19</v>
      </c>
      <c r="L20" s="27" t="str">
        <f>IFERROR(VLOOKUP(J20,Substituicoes!K:K,1,0),"SS")</f>
        <v>SS</v>
      </c>
      <c r="M20" s="28" t="b">
        <f t="shared" si="2"/>
        <v>0</v>
      </c>
      <c r="N20" s="29">
        <f>IF(AND(K20=L20,LEFT(E20,1)="T"),VLOOKUP(A20,'JOGOS BASE'!A:E,4,0),IF(K20=J20,VLOOKUP(J20,Substituicoes!J:R,6,0),IF(L20=J20,VLOOKUP(Escalacao!J20,Substituicoes!K:R,7,0),0)))</f>
        <v>0</v>
      </c>
      <c r="O20" s="28">
        <f>IF(AND(K20=L20,LEFT(E20,1)="T"),VLOOKUP(A20,'JOGOS BASE'!A:E,5,0),IF(K20=J20,VLOOKUP(J20,Substituicoes!J:R,7,0),IF(L20=J20,VLOOKUP(Escalacao!J20,Substituicoes!K:R,8,0),0)))</f>
        <v>50</v>
      </c>
      <c r="P20" s="28">
        <f t="shared" si="3"/>
        <v>50</v>
      </c>
      <c r="Q20" s="28" t="str">
        <f t="shared" si="4"/>
        <v>119Imperatriz - MA</v>
      </c>
      <c r="R20" s="28" t="str">
        <f>VLOOKUP(A20,'JOGOS BASE'!A:H,8)</f>
        <v>11.01.2025 - Imperatriz - MA x Sampaio Corrêa - MA</v>
      </c>
    </row>
    <row r="21" spans="1:18" ht="20.399999999999999" hidden="1">
      <c r="A21" s="17">
        <v>1</v>
      </c>
      <c r="B21" s="1">
        <v>20</v>
      </c>
      <c r="C21" s="2" t="s">
        <v>12</v>
      </c>
      <c r="D21" s="2" t="s">
        <v>53</v>
      </c>
      <c r="E21" s="3" t="s">
        <v>42</v>
      </c>
      <c r="F21" s="3" t="s">
        <v>24</v>
      </c>
      <c r="G21" s="9">
        <v>582303</v>
      </c>
      <c r="H21" s="17" t="s">
        <v>107</v>
      </c>
      <c r="I21" s="26" t="str">
        <f t="shared" si="0"/>
        <v>Ruan</v>
      </c>
      <c r="J21" s="26" t="str">
        <f t="shared" si="1"/>
        <v>1Imperatriz - MA20</v>
      </c>
      <c r="K21" s="27" t="str">
        <f>IFERROR(VLOOKUP(J21,Substituicoes!J:J,1,0),"SS")</f>
        <v>1Imperatriz - MA20</v>
      </c>
      <c r="L21" s="27" t="str">
        <f>IFERROR(VLOOKUP(J21,Substituicoes!K:K,1,0),"SS")</f>
        <v>SS</v>
      </c>
      <c r="M21" s="28" t="b">
        <f t="shared" si="2"/>
        <v>0</v>
      </c>
      <c r="N21" s="29">
        <f>IF(AND(K21=L21,LEFT(E21,1)="T"),VLOOKUP(A21,'JOGOS BASE'!A:E,4,0),IF(K21=J21,VLOOKUP(J21,Substituicoes!J:R,6,0),IF(L21=J21,VLOOKUP(Escalacao!J21,Substituicoes!K:R,7,0),0)))</f>
        <v>0</v>
      </c>
      <c r="O21" s="28">
        <f>IF(AND(K21=L21,LEFT(E21,1)="T"),VLOOKUP(A21,'JOGOS BASE'!A:E,5,0),IF(K21=J21,VLOOKUP(J21,Substituicoes!J:R,7,0),IF(L21=J21,VLOOKUP(Escalacao!J21,Substituicoes!K:R,8,0),0)))</f>
        <v>10</v>
      </c>
      <c r="P21" s="28">
        <f t="shared" si="3"/>
        <v>10</v>
      </c>
      <c r="Q21" s="28" t="str">
        <f t="shared" si="4"/>
        <v>120Imperatriz - MA</v>
      </c>
      <c r="R21" s="28" t="str">
        <f>VLOOKUP(A21,'JOGOS BASE'!A:H,8)</f>
        <v>11.01.2025 - Imperatriz - MA x Sampaio Corrêa - MA</v>
      </c>
    </row>
    <row r="22" spans="1:18" ht="30.6" hidden="1">
      <c r="A22" s="17">
        <v>1</v>
      </c>
      <c r="B22" s="1">
        <v>21</v>
      </c>
      <c r="C22" s="2" t="s">
        <v>54</v>
      </c>
      <c r="D22" s="2" t="s">
        <v>55</v>
      </c>
      <c r="E22" s="3" t="s">
        <v>42</v>
      </c>
      <c r="F22" s="3" t="s">
        <v>56</v>
      </c>
      <c r="G22" s="9">
        <v>688309</v>
      </c>
      <c r="H22" s="17" t="s">
        <v>107</v>
      </c>
      <c r="I22" s="26" t="str">
        <f t="shared" si="0"/>
        <v>WESLEY CO</v>
      </c>
      <c r="J22" s="26" t="str">
        <f t="shared" si="1"/>
        <v>1Imperatriz - MA21</v>
      </c>
      <c r="K22" s="27" t="str">
        <f>IFERROR(VLOOKUP(J22,Substituicoes!J:J,1,0),"SS")</f>
        <v>1Imperatriz - MA21</v>
      </c>
      <c r="L22" s="27" t="str">
        <f>IFERROR(VLOOKUP(J22,Substituicoes!K:K,1,0),"SS")</f>
        <v>SS</v>
      </c>
      <c r="M22" s="28" t="b">
        <f t="shared" si="2"/>
        <v>0</v>
      </c>
      <c r="N22" s="29">
        <f>IF(AND(K22=L22,LEFT(E22,1)="T"),VLOOKUP(A22,'JOGOS BASE'!A:E,4,0),IF(K22=J22,VLOOKUP(J22,Substituicoes!J:R,6,0),IF(L22=J22,VLOOKUP(Escalacao!J22,Substituicoes!K:R,7,0),0)))</f>
        <v>0</v>
      </c>
      <c r="O22" s="28">
        <f>IF(AND(K22=L22,LEFT(E22,1)="T"),VLOOKUP(A22,'JOGOS BASE'!A:E,5,0),IF(K22=J22,VLOOKUP(J22,Substituicoes!J:R,7,0),IF(L22=J22,VLOOKUP(Escalacao!J22,Substituicoes!K:R,8,0),0)))</f>
        <v>37</v>
      </c>
      <c r="P22" s="28">
        <f t="shared" si="3"/>
        <v>37</v>
      </c>
      <c r="Q22" s="28" t="str">
        <f t="shared" si="4"/>
        <v>121Imperatriz - MA</v>
      </c>
      <c r="R22" s="28" t="str">
        <f>VLOOKUP(A22,'JOGOS BASE'!A:H,8)</f>
        <v>11.01.2025 - Imperatriz - MA x Sampaio Corrêa - MA</v>
      </c>
    </row>
    <row r="23" spans="1:18" ht="30.6" hidden="1">
      <c r="A23" s="17">
        <v>1</v>
      </c>
      <c r="B23" s="1">
        <v>22</v>
      </c>
      <c r="C23" s="2" t="s">
        <v>57</v>
      </c>
      <c r="D23" s="2" t="s">
        <v>58</v>
      </c>
      <c r="E23" s="3" t="s">
        <v>42</v>
      </c>
      <c r="F23" s="3" t="s">
        <v>24</v>
      </c>
      <c r="G23" s="9">
        <v>762150</v>
      </c>
      <c r="H23" s="17" t="s">
        <v>107</v>
      </c>
      <c r="I23" s="26" t="str">
        <f t="shared" si="0"/>
        <v>Junior</v>
      </c>
      <c r="J23" s="26" t="str">
        <f t="shared" si="1"/>
        <v>1Imperatriz - MA22</v>
      </c>
      <c r="K23" s="27" t="str">
        <f>IFERROR(VLOOKUP(J23,Substituicoes!J:J,1,0),"SS")</f>
        <v>1Imperatriz - MA22</v>
      </c>
      <c r="L23" s="27" t="str">
        <f>IFERROR(VLOOKUP(J23,Substituicoes!K:K,1,0),"SS")</f>
        <v>SS</v>
      </c>
      <c r="M23" s="28" t="b">
        <f t="shared" si="2"/>
        <v>0</v>
      </c>
      <c r="N23" s="29">
        <f>IF(AND(K23=L23,LEFT(E23,1)="T"),VLOOKUP(A23,'JOGOS BASE'!A:E,4,0),IF(K23=J23,VLOOKUP(J23,Substituicoes!J:R,6,0),IF(L23=J23,VLOOKUP(Escalacao!J23,Substituicoes!K:R,7,0),0)))</f>
        <v>0</v>
      </c>
      <c r="O23" s="28">
        <f>IF(AND(K23=L23,LEFT(E23,1)="T"),VLOOKUP(A23,'JOGOS BASE'!A:E,5,0),IF(K23=J23,VLOOKUP(J23,Substituicoes!J:R,7,0),IF(L23=J23,VLOOKUP(Escalacao!J23,Substituicoes!K:R,8,0),0)))</f>
        <v>23</v>
      </c>
      <c r="P23" s="28">
        <f t="shared" si="3"/>
        <v>23</v>
      </c>
      <c r="Q23" s="28" t="str">
        <f t="shared" si="4"/>
        <v>122Imperatriz - MA</v>
      </c>
      <c r="R23" s="28" t="str">
        <f>VLOOKUP(A23,'JOGOS BASE'!A:H,8)</f>
        <v>11.01.2025 - Imperatriz - MA x Sampaio Corrêa - MA</v>
      </c>
    </row>
    <row r="24" spans="1:18" ht="30.6" hidden="1">
      <c r="A24" s="17">
        <v>1</v>
      </c>
      <c r="B24" s="1">
        <v>1</v>
      </c>
      <c r="C24" s="2" t="s">
        <v>59</v>
      </c>
      <c r="D24" s="2" t="s">
        <v>60</v>
      </c>
      <c r="E24" s="3" t="s">
        <v>23</v>
      </c>
      <c r="F24" s="3" t="s">
        <v>24</v>
      </c>
      <c r="G24" s="9">
        <v>639922</v>
      </c>
      <c r="H24" s="17" t="s">
        <v>122</v>
      </c>
      <c r="I24" s="26" t="str">
        <f t="shared" si="0"/>
        <v>ALAN</v>
      </c>
      <c r="J24" s="26" t="str">
        <f t="shared" si="1"/>
        <v>1Sampaio Corrêa - MA1</v>
      </c>
      <c r="K24" s="27" t="str">
        <f>IFERROR(VLOOKUP(J24,Substituicoes!J:J,1,0),"SS")</f>
        <v>SS</v>
      </c>
      <c r="L24" s="27" t="str">
        <f>IFERROR(VLOOKUP(J24,Substituicoes!K:K,1,0),"SS")</f>
        <v>SS</v>
      </c>
      <c r="M24" s="28" t="b">
        <f t="shared" si="2"/>
        <v>1</v>
      </c>
      <c r="N24" s="29">
        <f>IF(AND(K24=L24,LEFT(E24,1)="T"),VLOOKUP(A24,'JOGOS BASE'!A:E,4,0),IF(K24=J24,VLOOKUP(J24,Substituicoes!J:R,6,0),IF(L24=J24,VLOOKUP(Escalacao!J24,Substituicoes!K:R,7,0),0)))</f>
        <v>49</v>
      </c>
      <c r="O24" s="28">
        <f>IF(AND(K24=L24,LEFT(E24,1)="T"),VLOOKUP(A24,'JOGOS BASE'!A:E,5,0),IF(K24=J24,VLOOKUP(J24,Substituicoes!J:R,7,0),IF(L24=J24,VLOOKUP(Escalacao!J24,Substituicoes!K:R,8,0),0)))</f>
        <v>50</v>
      </c>
      <c r="P24" s="28">
        <f t="shared" si="3"/>
        <v>99</v>
      </c>
      <c r="Q24" s="28" t="str">
        <f t="shared" si="4"/>
        <v>11Sampaio Corrêa - MA</v>
      </c>
      <c r="R24" s="28" t="str">
        <f>VLOOKUP(A24,'JOGOS BASE'!A:H,8)</f>
        <v>11.01.2025 - Imperatriz - MA x Sampaio Corrêa - MA</v>
      </c>
    </row>
    <row r="25" spans="1:18" ht="30.6" hidden="1">
      <c r="A25" s="17">
        <v>1</v>
      </c>
      <c r="B25" s="1">
        <v>2</v>
      </c>
      <c r="C25" s="2" t="s">
        <v>61</v>
      </c>
      <c r="D25" s="2" t="s">
        <v>62</v>
      </c>
      <c r="E25" s="3" t="s">
        <v>26</v>
      </c>
      <c r="F25" s="3" t="s">
        <v>24</v>
      </c>
      <c r="G25" s="9">
        <v>400878</v>
      </c>
      <c r="H25" s="17" t="s">
        <v>122</v>
      </c>
      <c r="I25" s="26" t="str">
        <f t="shared" si="0"/>
        <v>JÔ</v>
      </c>
      <c r="J25" s="26" t="str">
        <f t="shared" si="1"/>
        <v>1Sampaio Corrêa - MA2</v>
      </c>
      <c r="K25" s="27" t="str">
        <f>IFERROR(VLOOKUP(J25,Substituicoes!J:J,1,0),"SS")</f>
        <v>SS</v>
      </c>
      <c r="L25" s="27" t="str">
        <f>IFERROR(VLOOKUP(J25,Substituicoes!K:K,1,0),"SS")</f>
        <v>SS</v>
      </c>
      <c r="M25" s="28" t="b">
        <f t="shared" si="2"/>
        <v>1</v>
      </c>
      <c r="N25" s="29">
        <f>IF(AND(K25=L25,LEFT(E25,1)="T"),VLOOKUP(A25,'JOGOS BASE'!A:E,4,0),IF(K25=J25,VLOOKUP(J25,Substituicoes!J:R,6,0),IF(L25=J25,VLOOKUP(Escalacao!J25,Substituicoes!K:R,7,0),0)))</f>
        <v>49</v>
      </c>
      <c r="O25" s="28">
        <f>IF(AND(K25=L25,LEFT(E25,1)="T"),VLOOKUP(A25,'JOGOS BASE'!A:E,5,0),IF(K25=J25,VLOOKUP(J25,Substituicoes!J:R,7,0),IF(L25=J25,VLOOKUP(Escalacao!J25,Substituicoes!K:R,8,0),0)))</f>
        <v>50</v>
      </c>
      <c r="P25" s="28">
        <f t="shared" si="3"/>
        <v>99</v>
      </c>
      <c r="Q25" s="28" t="str">
        <f t="shared" si="4"/>
        <v>12Sampaio Corrêa - MA</v>
      </c>
      <c r="R25" s="28" t="str">
        <f>VLOOKUP(A25,'JOGOS BASE'!A:H,8)</f>
        <v>11.01.2025 - Imperatriz - MA x Sampaio Corrêa - MA</v>
      </c>
    </row>
    <row r="26" spans="1:18" ht="30.6" hidden="1">
      <c r="A26" s="17">
        <v>1</v>
      </c>
      <c r="B26" s="1">
        <v>3</v>
      </c>
      <c r="C26" s="2" t="s">
        <v>13</v>
      </c>
      <c r="D26" s="2" t="s">
        <v>63</v>
      </c>
      <c r="E26" s="3" t="s">
        <v>26</v>
      </c>
      <c r="F26" s="3" t="s">
        <v>24</v>
      </c>
      <c r="G26" s="9">
        <v>657429</v>
      </c>
      <c r="H26" s="17" t="s">
        <v>122</v>
      </c>
      <c r="I26" s="26" t="str">
        <f t="shared" si="0"/>
        <v>Eduardo</v>
      </c>
      <c r="J26" s="26" t="str">
        <f t="shared" si="1"/>
        <v>1Sampaio Corrêa - MA3</v>
      </c>
      <c r="K26" s="27" t="str">
        <f>IFERROR(VLOOKUP(J26,Substituicoes!J:J,1,0),"SS")</f>
        <v>SS</v>
      </c>
      <c r="L26" s="27" t="str">
        <f>IFERROR(VLOOKUP(J26,Substituicoes!K:K,1,0),"SS")</f>
        <v>SS</v>
      </c>
      <c r="M26" s="28" t="b">
        <f t="shared" si="2"/>
        <v>1</v>
      </c>
      <c r="N26" s="29">
        <f>IF(AND(K26=L26,LEFT(E26,1)="T"),VLOOKUP(A26,'JOGOS BASE'!A:E,4,0),IF(K26=J26,VLOOKUP(J26,Substituicoes!J:R,6,0),IF(L26=J26,VLOOKUP(Escalacao!J26,Substituicoes!K:R,7,0),0)))</f>
        <v>49</v>
      </c>
      <c r="O26" s="28">
        <f>IF(AND(K26=L26,LEFT(E26,1)="T"),VLOOKUP(A26,'JOGOS BASE'!A:E,5,0),IF(K26=J26,VLOOKUP(J26,Substituicoes!J:R,7,0),IF(L26=J26,VLOOKUP(Escalacao!J26,Substituicoes!K:R,8,0),0)))</f>
        <v>50</v>
      </c>
      <c r="P26" s="28">
        <f t="shared" si="3"/>
        <v>99</v>
      </c>
      <c r="Q26" s="28" t="str">
        <f t="shared" si="4"/>
        <v>13Sampaio Corrêa - MA</v>
      </c>
      <c r="R26" s="28" t="str">
        <f>VLOOKUP(A26,'JOGOS BASE'!A:H,8)</f>
        <v>11.01.2025 - Imperatriz - MA x Sampaio Corrêa - MA</v>
      </c>
    </row>
    <row r="27" spans="1:18" ht="30.6" hidden="1">
      <c r="A27" s="17">
        <v>1</v>
      </c>
      <c r="B27" s="1">
        <v>4</v>
      </c>
      <c r="C27" s="2" t="s">
        <v>14</v>
      </c>
      <c r="D27" s="2" t="s">
        <v>64</v>
      </c>
      <c r="E27" s="3" t="s">
        <v>26</v>
      </c>
      <c r="F27" s="3" t="s">
        <v>24</v>
      </c>
      <c r="G27" s="9">
        <v>298371</v>
      </c>
      <c r="H27" s="17" t="s">
        <v>122</v>
      </c>
      <c r="I27" s="26" t="str">
        <f t="shared" si="0"/>
        <v>Fabio</v>
      </c>
      <c r="J27" s="26" t="str">
        <f t="shared" si="1"/>
        <v>1Sampaio Corrêa - MA4</v>
      </c>
      <c r="K27" s="27" t="str">
        <f>IFERROR(VLOOKUP(J27,Substituicoes!J:J,1,0),"SS")</f>
        <v>SS</v>
      </c>
      <c r="L27" s="27" t="str">
        <f>IFERROR(VLOOKUP(J27,Substituicoes!K:K,1,0),"SS")</f>
        <v>SS</v>
      </c>
      <c r="M27" s="28" t="b">
        <f t="shared" si="2"/>
        <v>1</v>
      </c>
      <c r="N27" s="29">
        <f>IF(AND(K27=L27,LEFT(E27,1)="T"),VLOOKUP(A27,'JOGOS BASE'!A:E,4,0),IF(K27=J27,VLOOKUP(J27,Substituicoes!J:R,6,0),IF(L27=J27,VLOOKUP(Escalacao!J27,Substituicoes!K:R,7,0),0)))</f>
        <v>49</v>
      </c>
      <c r="O27" s="28">
        <f>IF(AND(K27=L27,LEFT(E27,1)="T"),VLOOKUP(A27,'JOGOS BASE'!A:E,5,0),IF(K27=J27,VLOOKUP(J27,Substituicoes!J:R,7,0),IF(L27=J27,VLOOKUP(Escalacao!J27,Substituicoes!K:R,8,0),0)))</f>
        <v>50</v>
      </c>
      <c r="P27" s="28">
        <f t="shared" si="3"/>
        <v>99</v>
      </c>
      <c r="Q27" s="28" t="str">
        <f t="shared" si="4"/>
        <v>14Sampaio Corrêa - MA</v>
      </c>
      <c r="R27" s="28" t="str">
        <f>VLOOKUP(A27,'JOGOS BASE'!A:H,8)</f>
        <v>11.01.2025 - Imperatriz - MA x Sampaio Corrêa - MA</v>
      </c>
    </row>
    <row r="28" spans="1:18" ht="30.6" hidden="1">
      <c r="A28" s="17">
        <v>1</v>
      </c>
      <c r="B28" s="1">
        <v>5</v>
      </c>
      <c r="C28" s="2" t="s">
        <v>15</v>
      </c>
      <c r="D28" s="2" t="s">
        <v>65</v>
      </c>
      <c r="E28" s="3" t="s">
        <v>26</v>
      </c>
      <c r="F28" s="3" t="s">
        <v>24</v>
      </c>
      <c r="G28" s="9">
        <v>509723</v>
      </c>
      <c r="H28" s="17" t="s">
        <v>122</v>
      </c>
      <c r="I28" s="26" t="str">
        <f t="shared" si="0"/>
        <v>Cavi</v>
      </c>
      <c r="J28" s="26" t="str">
        <f t="shared" si="1"/>
        <v>1Sampaio Corrêa - MA5</v>
      </c>
      <c r="K28" s="27" t="str">
        <f>IFERROR(VLOOKUP(J28,Substituicoes!J:J,1,0),"SS")</f>
        <v>SS</v>
      </c>
      <c r="L28" s="27" t="str">
        <f>IFERROR(VLOOKUP(J28,Substituicoes!K:K,1,0),"SS")</f>
        <v>SS</v>
      </c>
      <c r="M28" s="28" t="b">
        <f t="shared" si="2"/>
        <v>1</v>
      </c>
      <c r="N28" s="29">
        <f>IF(AND(K28=L28,LEFT(E28,1)="T"),VLOOKUP(A28,'JOGOS BASE'!A:E,4,0),IF(K28=J28,VLOOKUP(J28,Substituicoes!J:R,6,0),IF(L28=J28,VLOOKUP(Escalacao!J28,Substituicoes!K:R,7,0),0)))</f>
        <v>49</v>
      </c>
      <c r="O28" s="28">
        <f>IF(AND(K28=L28,LEFT(E28,1)="T"),VLOOKUP(A28,'JOGOS BASE'!A:E,5,0),IF(K28=J28,VLOOKUP(J28,Substituicoes!J:R,7,0),IF(L28=J28,VLOOKUP(Escalacao!J28,Substituicoes!K:R,8,0),0)))</f>
        <v>50</v>
      </c>
      <c r="P28" s="28">
        <f t="shared" si="3"/>
        <v>99</v>
      </c>
      <c r="Q28" s="28" t="str">
        <f t="shared" si="4"/>
        <v>15Sampaio Corrêa - MA</v>
      </c>
      <c r="R28" s="28" t="str">
        <f>VLOOKUP(A28,'JOGOS BASE'!A:H,8)</f>
        <v>11.01.2025 - Imperatriz - MA x Sampaio Corrêa - MA</v>
      </c>
    </row>
    <row r="29" spans="1:18" ht="30.6" hidden="1">
      <c r="A29" s="17">
        <v>1</v>
      </c>
      <c r="B29" s="1">
        <v>6</v>
      </c>
      <c r="C29" s="2" t="s">
        <v>66</v>
      </c>
      <c r="D29" s="2" t="s">
        <v>67</v>
      </c>
      <c r="E29" s="3" t="s">
        <v>26</v>
      </c>
      <c r="F29" s="3" t="s">
        <v>24</v>
      </c>
      <c r="G29" s="9">
        <v>520878</v>
      </c>
      <c r="H29" s="17" t="s">
        <v>122</v>
      </c>
      <c r="I29" s="26" t="str">
        <f t="shared" si="0"/>
        <v>Thiago Rosa</v>
      </c>
      <c r="J29" s="26" t="str">
        <f t="shared" si="1"/>
        <v>1Sampaio Corrêa - MA6</v>
      </c>
      <c r="K29" s="27" t="str">
        <f>IFERROR(VLOOKUP(J29,Substituicoes!J:J,1,0),"SS")</f>
        <v>SS</v>
      </c>
      <c r="L29" s="27" t="str">
        <f>IFERROR(VLOOKUP(J29,Substituicoes!K:K,1,0),"SS")</f>
        <v>1Sampaio Corrêa - MA6</v>
      </c>
      <c r="M29" s="28" t="b">
        <f t="shared" si="2"/>
        <v>0</v>
      </c>
      <c r="N29" s="29">
        <f>IF(AND(K29=L29,LEFT(E29,1)="T"),VLOOKUP(A29,'JOGOS BASE'!A:E,4,0),IF(K29=J29,VLOOKUP(J29,Substituicoes!J:R,6,0),IF(L29=J29,VLOOKUP(Escalacao!J29,Substituicoes!K:R,7,0),0)))</f>
        <v>49</v>
      </c>
      <c r="O29" s="28">
        <f>IF(AND(K29=L29,LEFT(E29,1)="T"),VLOOKUP(A29,'JOGOS BASE'!A:E,5,0),IF(K29=J29,VLOOKUP(J29,Substituicoes!J:R,7,0),IF(L29=J29,VLOOKUP(Escalacao!J29,Substituicoes!K:R,8,0),0)))</f>
        <v>13</v>
      </c>
      <c r="P29" s="28">
        <f t="shared" si="3"/>
        <v>62</v>
      </c>
      <c r="Q29" s="28" t="str">
        <f t="shared" si="4"/>
        <v>16Sampaio Corrêa - MA</v>
      </c>
      <c r="R29" s="28" t="str">
        <f>VLOOKUP(A29,'JOGOS BASE'!A:H,8)</f>
        <v>11.01.2025 - Imperatriz - MA x Sampaio Corrêa - MA</v>
      </c>
    </row>
    <row r="30" spans="1:18" ht="30.6" hidden="1">
      <c r="A30" s="17">
        <v>1</v>
      </c>
      <c r="B30" s="1">
        <v>7</v>
      </c>
      <c r="C30" s="2" t="s">
        <v>68</v>
      </c>
      <c r="D30" s="2" t="s">
        <v>69</v>
      </c>
      <c r="E30" s="3" t="s">
        <v>26</v>
      </c>
      <c r="F30" s="3" t="s">
        <v>24</v>
      </c>
      <c r="G30" s="9">
        <v>725771</v>
      </c>
      <c r="H30" s="17" t="s">
        <v>122</v>
      </c>
      <c r="I30" s="26" t="str">
        <f t="shared" si="0"/>
        <v>JOÃO LENGE</v>
      </c>
      <c r="J30" s="26" t="str">
        <f t="shared" si="1"/>
        <v>1Sampaio Corrêa - MA7</v>
      </c>
      <c r="K30" s="27" t="str">
        <f>IFERROR(VLOOKUP(J30,Substituicoes!J:J,1,0),"SS")</f>
        <v>SS</v>
      </c>
      <c r="L30" s="27" t="str">
        <f>IFERROR(VLOOKUP(J30,Substituicoes!K:K,1,0),"SS")</f>
        <v>1Sampaio Corrêa - MA7</v>
      </c>
      <c r="M30" s="28" t="b">
        <f t="shared" si="2"/>
        <v>0</v>
      </c>
      <c r="N30" s="29">
        <f>IF(AND(K30=L30,LEFT(E30,1)="T"),VLOOKUP(A30,'JOGOS BASE'!A:E,4,0),IF(K30=J30,VLOOKUP(J30,Substituicoes!J:R,6,0),IF(L30=J30,VLOOKUP(Escalacao!J30,Substituicoes!K:R,7,0),0)))</f>
        <v>49</v>
      </c>
      <c r="O30" s="28">
        <f>IF(AND(K30=L30,LEFT(E30,1)="T"),VLOOKUP(A30,'JOGOS BASE'!A:E,5,0),IF(K30=J30,VLOOKUP(J30,Substituicoes!J:R,7,0),IF(L30=J30,VLOOKUP(Escalacao!J30,Substituicoes!K:R,8,0),0)))</f>
        <v>0</v>
      </c>
      <c r="P30" s="28">
        <f t="shared" si="3"/>
        <v>49</v>
      </c>
      <c r="Q30" s="28" t="str">
        <f t="shared" si="4"/>
        <v>17Sampaio Corrêa - MA</v>
      </c>
      <c r="R30" s="28" t="str">
        <f>VLOOKUP(A30,'JOGOS BASE'!A:H,8)</f>
        <v>11.01.2025 - Imperatriz - MA x Sampaio Corrêa - MA</v>
      </c>
    </row>
    <row r="31" spans="1:18" ht="30.6" hidden="1">
      <c r="A31" s="17">
        <v>1</v>
      </c>
      <c r="B31" s="1">
        <v>8</v>
      </c>
      <c r="C31" s="2" t="s">
        <v>70</v>
      </c>
      <c r="D31" s="2" t="s">
        <v>71</v>
      </c>
      <c r="E31" s="3" t="s">
        <v>26</v>
      </c>
      <c r="F31" s="3" t="s">
        <v>24</v>
      </c>
      <c r="G31" s="9">
        <v>525569</v>
      </c>
      <c r="H31" s="17" t="s">
        <v>122</v>
      </c>
      <c r="I31" s="26" t="str">
        <f t="shared" si="0"/>
        <v>Isaias</v>
      </c>
      <c r="J31" s="26" t="str">
        <f t="shared" si="1"/>
        <v>1Sampaio Corrêa - MA8</v>
      </c>
      <c r="K31" s="27" t="str">
        <f>IFERROR(VLOOKUP(J31,Substituicoes!J:J,1,0),"SS")</f>
        <v>SS</v>
      </c>
      <c r="L31" s="27" t="str">
        <f>IFERROR(VLOOKUP(J31,Substituicoes!K:K,1,0),"SS")</f>
        <v>SS</v>
      </c>
      <c r="M31" s="28" t="b">
        <f t="shared" si="2"/>
        <v>1</v>
      </c>
      <c r="N31" s="29">
        <f>IF(AND(K31=L31,LEFT(E31,1)="T"),VLOOKUP(A31,'JOGOS BASE'!A:E,4,0),IF(K31=J31,VLOOKUP(J31,Substituicoes!J:R,6,0),IF(L31=J31,VLOOKUP(Escalacao!J31,Substituicoes!K:R,7,0),0)))</f>
        <v>49</v>
      </c>
      <c r="O31" s="28">
        <f>IF(AND(K31=L31,LEFT(E31,1)="T"),VLOOKUP(A31,'JOGOS BASE'!A:E,5,0),IF(K31=J31,VLOOKUP(J31,Substituicoes!J:R,7,0),IF(L31=J31,VLOOKUP(Escalacao!J31,Substituicoes!K:R,8,0),0)))</f>
        <v>50</v>
      </c>
      <c r="P31" s="28">
        <f t="shared" si="3"/>
        <v>99</v>
      </c>
      <c r="Q31" s="28" t="str">
        <f t="shared" si="4"/>
        <v>18Sampaio Corrêa - MA</v>
      </c>
      <c r="R31" s="28" t="str">
        <f>VLOOKUP(A31,'JOGOS BASE'!A:H,8)</f>
        <v>11.01.2025 - Imperatriz - MA x Sampaio Corrêa - MA</v>
      </c>
    </row>
    <row r="32" spans="1:18" ht="30.6" hidden="1">
      <c r="A32" s="17">
        <v>1</v>
      </c>
      <c r="B32" s="1">
        <v>9</v>
      </c>
      <c r="C32" s="2" t="s">
        <v>72</v>
      </c>
      <c r="D32" s="2" t="s">
        <v>73</v>
      </c>
      <c r="E32" s="3" t="s">
        <v>26</v>
      </c>
      <c r="F32" s="3" t="s">
        <v>24</v>
      </c>
      <c r="G32" s="9">
        <v>436356</v>
      </c>
      <c r="H32" s="17" t="s">
        <v>122</v>
      </c>
      <c r="I32" s="26" t="str">
        <f t="shared" si="0"/>
        <v>Alan James</v>
      </c>
      <c r="J32" s="26" t="str">
        <f t="shared" si="1"/>
        <v>1Sampaio Corrêa - MA9</v>
      </c>
      <c r="K32" s="27" t="str">
        <f>IFERROR(VLOOKUP(J32,Substituicoes!J:J,1,0),"SS")</f>
        <v>SS</v>
      </c>
      <c r="L32" s="27" t="str">
        <f>IFERROR(VLOOKUP(J32,Substituicoes!K:K,1,0),"SS")</f>
        <v>1Sampaio Corrêa - MA9</v>
      </c>
      <c r="M32" s="28" t="b">
        <f t="shared" si="2"/>
        <v>0</v>
      </c>
      <c r="N32" s="29">
        <f>IF(AND(K32=L32,LEFT(E32,1)="T"),VLOOKUP(A32,'JOGOS BASE'!A:E,4,0),IF(K32=J32,VLOOKUP(J32,Substituicoes!J:R,6,0),IF(L32=J32,VLOOKUP(Escalacao!J32,Substituicoes!K:R,7,0),0)))</f>
        <v>49</v>
      </c>
      <c r="O32" s="28">
        <f>IF(AND(K32=L32,LEFT(E32,1)="T"),VLOOKUP(A32,'JOGOS BASE'!A:E,5,0),IF(K32=J32,VLOOKUP(J32,Substituicoes!J:R,7,0),IF(L32=J32,VLOOKUP(Escalacao!J32,Substituicoes!K:R,8,0),0)))</f>
        <v>41</v>
      </c>
      <c r="P32" s="28">
        <f t="shared" si="3"/>
        <v>90</v>
      </c>
      <c r="Q32" s="28" t="str">
        <f t="shared" si="4"/>
        <v>19Sampaio Corrêa - MA</v>
      </c>
      <c r="R32" s="28" t="str">
        <f>VLOOKUP(A32,'JOGOS BASE'!A:H,8)</f>
        <v>11.01.2025 - Imperatriz - MA x Sampaio Corrêa - MA</v>
      </c>
    </row>
    <row r="33" spans="1:18" ht="30.6" hidden="1">
      <c r="A33" s="17">
        <v>1</v>
      </c>
      <c r="B33" s="1">
        <v>10</v>
      </c>
      <c r="C33" s="2" t="s">
        <v>74</v>
      </c>
      <c r="D33" s="2" t="s">
        <v>75</v>
      </c>
      <c r="E33" s="3" t="s">
        <v>26</v>
      </c>
      <c r="F33" s="3" t="s">
        <v>24</v>
      </c>
      <c r="G33" s="9">
        <v>668800</v>
      </c>
      <c r="H33" s="17" t="s">
        <v>122</v>
      </c>
      <c r="I33" s="26" t="str">
        <f t="shared" si="0"/>
        <v>STENCE</v>
      </c>
      <c r="J33" s="26" t="str">
        <f t="shared" si="1"/>
        <v>1Sampaio Corrêa - MA10</v>
      </c>
      <c r="K33" s="27" t="str">
        <f>IFERROR(VLOOKUP(J33,Substituicoes!J:J,1,0),"SS")</f>
        <v>SS</v>
      </c>
      <c r="L33" s="27" t="str">
        <f>IFERROR(VLOOKUP(J33,Substituicoes!K:K,1,0),"SS")</f>
        <v>1Sampaio Corrêa - MA10</v>
      </c>
      <c r="M33" s="28" t="b">
        <f t="shared" si="2"/>
        <v>0</v>
      </c>
      <c r="N33" s="29">
        <f>IF(AND(K33=L33,LEFT(E33,1)="T"),VLOOKUP(A33,'JOGOS BASE'!A:E,4,0),IF(K33=J33,VLOOKUP(J33,Substituicoes!J:R,6,0),IF(L33=J33,VLOOKUP(Escalacao!J33,Substituicoes!K:R,7,0),0)))</f>
        <v>49</v>
      </c>
      <c r="O33" s="28">
        <f>IF(AND(K33=L33,LEFT(E33,1)="T"),VLOOKUP(A33,'JOGOS BASE'!A:E,5,0),IF(K33=J33,VLOOKUP(J33,Substituicoes!J:R,7,0),IF(L33=J33,VLOOKUP(Escalacao!J33,Substituicoes!K:R,8,0),0)))</f>
        <v>13</v>
      </c>
      <c r="P33" s="28">
        <f t="shared" si="3"/>
        <v>62</v>
      </c>
      <c r="Q33" s="28" t="str">
        <f t="shared" si="4"/>
        <v>110Sampaio Corrêa - MA</v>
      </c>
      <c r="R33" s="28" t="str">
        <f>VLOOKUP(A33,'JOGOS BASE'!A:H,8)</f>
        <v>11.01.2025 - Imperatriz - MA x Sampaio Corrêa - MA</v>
      </c>
    </row>
    <row r="34" spans="1:18" ht="30.6" hidden="1">
      <c r="A34" s="17">
        <v>1</v>
      </c>
      <c r="B34" s="1">
        <v>11</v>
      </c>
      <c r="C34" s="2" t="s">
        <v>76</v>
      </c>
      <c r="D34" s="2" t="s">
        <v>77</v>
      </c>
      <c r="E34" s="3" t="s">
        <v>26</v>
      </c>
      <c r="F34" s="3" t="s">
        <v>24</v>
      </c>
      <c r="G34" s="9">
        <v>612220</v>
      </c>
      <c r="H34" s="17" t="s">
        <v>122</v>
      </c>
      <c r="I34" s="26" t="str">
        <f t="shared" si="0"/>
        <v>Wendell</v>
      </c>
      <c r="J34" s="26" t="str">
        <f t="shared" si="1"/>
        <v>1Sampaio Corrêa - MA11</v>
      </c>
      <c r="K34" s="27" t="str">
        <f>IFERROR(VLOOKUP(J34,Substituicoes!J:J,1,0),"SS")</f>
        <v>SS</v>
      </c>
      <c r="L34" s="27" t="str">
        <f>IFERROR(VLOOKUP(J34,Substituicoes!K:K,1,0),"SS")</f>
        <v>1Sampaio Corrêa - MA11</v>
      </c>
      <c r="M34" s="28" t="b">
        <f t="shared" si="2"/>
        <v>0</v>
      </c>
      <c r="N34" s="29">
        <f>IF(AND(K34=L34,LEFT(E34,1)="T"),VLOOKUP(A34,'JOGOS BASE'!A:E,4,0),IF(K34=J34,VLOOKUP(J34,Substituicoes!J:R,6,0),IF(L34=J34,VLOOKUP(Escalacao!J34,Substituicoes!K:R,7,0),0)))</f>
        <v>49</v>
      </c>
      <c r="O34" s="28">
        <f>IF(AND(K34=L34,LEFT(E34,1)="T"),VLOOKUP(A34,'JOGOS BASE'!A:E,5,0),IF(K34=J34,VLOOKUP(J34,Substituicoes!J:R,7,0),IF(L34=J34,VLOOKUP(Escalacao!J34,Substituicoes!K:R,8,0),0)))</f>
        <v>27</v>
      </c>
      <c r="P34" s="28">
        <f t="shared" si="3"/>
        <v>76</v>
      </c>
      <c r="Q34" s="28" t="str">
        <f t="shared" si="4"/>
        <v>111Sampaio Corrêa - MA</v>
      </c>
      <c r="R34" s="28" t="str">
        <f>VLOOKUP(A34,'JOGOS BASE'!A:H,8)</f>
        <v>11.01.2025 - Imperatriz - MA x Sampaio Corrêa - MA</v>
      </c>
    </row>
    <row r="35" spans="1:18" ht="30.6" hidden="1">
      <c r="A35" s="17">
        <v>1</v>
      </c>
      <c r="B35" s="1">
        <v>32</v>
      </c>
      <c r="C35" s="2" t="s">
        <v>78</v>
      </c>
      <c r="D35" s="2" t="s">
        <v>79</v>
      </c>
      <c r="E35" s="3" t="s">
        <v>40</v>
      </c>
      <c r="F35" s="3" t="s">
        <v>24</v>
      </c>
      <c r="G35" s="9">
        <v>387319</v>
      </c>
      <c r="H35" s="17" t="s">
        <v>122</v>
      </c>
      <c r="I35" s="26" t="str">
        <f t="shared" si="0"/>
        <v>Rhuan</v>
      </c>
      <c r="J35" s="26" t="str">
        <f t="shared" si="1"/>
        <v>1Sampaio Corrêa - MA32</v>
      </c>
      <c r="K35" s="27" t="str">
        <f>IFERROR(VLOOKUP(J35,Substituicoes!J:J,1,0),"SS")</f>
        <v>SS</v>
      </c>
      <c r="L35" s="27" t="str">
        <f>IFERROR(VLOOKUP(J35,Substituicoes!K:K,1,0),"SS")</f>
        <v>SS</v>
      </c>
      <c r="M35" s="28" t="b">
        <f t="shared" si="2"/>
        <v>1</v>
      </c>
      <c r="N35" s="29">
        <f>IF(AND(K35=L35,LEFT(E35,1)="T"),VLOOKUP(A35,'JOGOS BASE'!A:E,4,0),IF(K35=J35,VLOOKUP(J35,Substituicoes!J:R,6,0),IF(L35=J35,VLOOKUP(Escalacao!J35,Substituicoes!K:R,7,0),0)))</f>
        <v>0</v>
      </c>
      <c r="O35" s="28">
        <f>IF(AND(K35=L35,LEFT(E35,1)="T"),VLOOKUP(A35,'JOGOS BASE'!A:E,5,0),IF(K35=J35,VLOOKUP(J35,Substituicoes!J:R,7,0),IF(L35=J35,VLOOKUP(Escalacao!J35,Substituicoes!K:R,8,0),0)))</f>
        <v>0</v>
      </c>
      <c r="P35" s="28">
        <f t="shared" si="3"/>
        <v>0</v>
      </c>
      <c r="Q35" s="28" t="str">
        <f t="shared" si="4"/>
        <v>132Sampaio Corrêa - MA</v>
      </c>
      <c r="R35" s="28" t="str">
        <f>VLOOKUP(A35,'JOGOS BASE'!A:H,8)</f>
        <v>11.01.2025 - Imperatriz - MA x Sampaio Corrêa - MA</v>
      </c>
    </row>
    <row r="36" spans="1:18" ht="30.6" hidden="1">
      <c r="A36" s="17">
        <v>1</v>
      </c>
      <c r="B36" s="1">
        <v>13</v>
      </c>
      <c r="C36" s="2" t="s">
        <v>80</v>
      </c>
      <c r="D36" s="2" t="s">
        <v>81</v>
      </c>
      <c r="E36" s="3" t="s">
        <v>42</v>
      </c>
      <c r="F36" s="3" t="s">
        <v>24</v>
      </c>
      <c r="G36" s="9">
        <v>590518</v>
      </c>
      <c r="H36" s="17" t="s">
        <v>122</v>
      </c>
      <c r="I36" s="26" t="str">
        <f t="shared" si="0"/>
        <v>GALVÃO</v>
      </c>
      <c r="J36" s="26" t="str">
        <f t="shared" si="1"/>
        <v>1Sampaio Corrêa - MA13</v>
      </c>
      <c r="K36" s="27" t="str">
        <f>IFERROR(VLOOKUP(J36,Substituicoes!J:J,1,0),"SS")</f>
        <v>SS</v>
      </c>
      <c r="L36" s="27" t="str">
        <f>IFERROR(VLOOKUP(J36,Substituicoes!K:K,1,0),"SS")</f>
        <v>SS</v>
      </c>
      <c r="M36" s="28" t="b">
        <f t="shared" si="2"/>
        <v>1</v>
      </c>
      <c r="N36" s="29">
        <f>IF(AND(K36=L36,LEFT(E36,1)="T"),VLOOKUP(A36,'JOGOS BASE'!A:E,4,0),IF(K36=J36,VLOOKUP(J36,Substituicoes!J:R,6,0),IF(L36=J36,VLOOKUP(Escalacao!J36,Substituicoes!K:R,7,0),0)))</f>
        <v>0</v>
      </c>
      <c r="O36" s="28">
        <f>IF(AND(K36=L36,LEFT(E36,1)="T"),VLOOKUP(A36,'JOGOS BASE'!A:E,5,0),IF(K36=J36,VLOOKUP(J36,Substituicoes!J:R,7,0),IF(L36=J36,VLOOKUP(Escalacao!J36,Substituicoes!K:R,8,0),0)))</f>
        <v>0</v>
      </c>
      <c r="P36" s="28">
        <f t="shared" si="3"/>
        <v>0</v>
      </c>
      <c r="Q36" s="28" t="str">
        <f t="shared" si="4"/>
        <v>113Sampaio Corrêa - MA</v>
      </c>
      <c r="R36" s="28" t="str">
        <f>VLOOKUP(A36,'JOGOS BASE'!A:H,8)</f>
        <v>11.01.2025 - Imperatriz - MA x Sampaio Corrêa - MA</v>
      </c>
    </row>
    <row r="37" spans="1:18" ht="30.6" hidden="1">
      <c r="A37" s="17">
        <v>1</v>
      </c>
      <c r="B37" s="1">
        <v>14</v>
      </c>
      <c r="C37" s="2" t="s">
        <v>82</v>
      </c>
      <c r="D37" s="2" t="s">
        <v>83</v>
      </c>
      <c r="E37" s="3" t="s">
        <v>42</v>
      </c>
      <c r="F37" s="3" t="s">
        <v>24</v>
      </c>
      <c r="G37" s="9">
        <v>552526</v>
      </c>
      <c r="H37" s="17" t="s">
        <v>122</v>
      </c>
      <c r="I37" s="26" t="str">
        <f t="shared" si="0"/>
        <v>Ray</v>
      </c>
      <c r="J37" s="26" t="str">
        <f t="shared" si="1"/>
        <v>1Sampaio Corrêa - MA14</v>
      </c>
      <c r="K37" s="27" t="str">
        <f>IFERROR(VLOOKUP(J37,Substituicoes!J:J,1,0),"SS")</f>
        <v>SS</v>
      </c>
      <c r="L37" s="27" t="str">
        <f>IFERROR(VLOOKUP(J37,Substituicoes!K:K,1,0),"SS")</f>
        <v>SS</v>
      </c>
      <c r="M37" s="28" t="b">
        <f t="shared" si="2"/>
        <v>1</v>
      </c>
      <c r="N37" s="29">
        <f>IF(AND(K37=L37,LEFT(E37,1)="T"),VLOOKUP(A37,'JOGOS BASE'!A:E,4,0),IF(K37=J37,VLOOKUP(J37,Substituicoes!J:R,6,0),IF(L37=J37,VLOOKUP(Escalacao!J37,Substituicoes!K:R,7,0),0)))</f>
        <v>0</v>
      </c>
      <c r="O37" s="28">
        <f>IF(AND(K37=L37,LEFT(E37,1)="T"),VLOOKUP(A37,'JOGOS BASE'!A:E,5,0),IF(K37=J37,VLOOKUP(J37,Substituicoes!J:R,7,0),IF(L37=J37,VLOOKUP(Escalacao!J37,Substituicoes!K:R,8,0),0)))</f>
        <v>0</v>
      </c>
      <c r="P37" s="28">
        <f t="shared" si="3"/>
        <v>0</v>
      </c>
      <c r="Q37" s="28" t="str">
        <f t="shared" si="4"/>
        <v>114Sampaio Corrêa - MA</v>
      </c>
      <c r="R37" s="28" t="str">
        <f>VLOOKUP(A37,'JOGOS BASE'!A:H,8)</f>
        <v>11.01.2025 - Imperatriz - MA x Sampaio Corrêa - MA</v>
      </c>
    </row>
    <row r="38" spans="1:18" ht="30.6" hidden="1">
      <c r="A38" s="17">
        <v>1</v>
      </c>
      <c r="B38" s="1">
        <v>15</v>
      </c>
      <c r="C38" s="2" t="s">
        <v>84</v>
      </c>
      <c r="D38" s="2" t="s">
        <v>85</v>
      </c>
      <c r="E38" s="3" t="s">
        <v>42</v>
      </c>
      <c r="F38" s="3" t="s">
        <v>24</v>
      </c>
      <c r="G38" s="9">
        <v>523681</v>
      </c>
      <c r="H38" s="17" t="s">
        <v>122</v>
      </c>
      <c r="I38" s="26" t="str">
        <f t="shared" si="0"/>
        <v>Jairzinho</v>
      </c>
      <c r="J38" s="26" t="str">
        <f t="shared" si="1"/>
        <v>1Sampaio Corrêa - MA15</v>
      </c>
      <c r="K38" s="27" t="str">
        <f>IFERROR(VLOOKUP(J38,Substituicoes!J:J,1,0),"SS")</f>
        <v>1Sampaio Corrêa - MA15</v>
      </c>
      <c r="L38" s="27" t="str">
        <f>IFERROR(VLOOKUP(J38,Substituicoes!K:K,1,0),"SS")</f>
        <v>SS</v>
      </c>
      <c r="M38" s="28" t="b">
        <f t="shared" si="2"/>
        <v>0</v>
      </c>
      <c r="N38" s="29">
        <f>IF(AND(K38=L38,LEFT(E38,1)="T"),VLOOKUP(A38,'JOGOS BASE'!A:E,4,0),IF(K38=J38,VLOOKUP(J38,Substituicoes!J:R,6,0),IF(L38=J38,VLOOKUP(Escalacao!J38,Substituicoes!K:R,7,0),0)))</f>
        <v>0</v>
      </c>
      <c r="O38" s="28">
        <f>IF(AND(K38=L38,LEFT(E38,1)="T"),VLOOKUP(A38,'JOGOS BASE'!A:E,5,0),IF(K38=J38,VLOOKUP(J38,Substituicoes!J:R,7,0),IF(L38=J38,VLOOKUP(Escalacao!J38,Substituicoes!K:R,8,0),0)))</f>
        <v>37</v>
      </c>
      <c r="P38" s="28">
        <f t="shared" si="3"/>
        <v>37</v>
      </c>
      <c r="Q38" s="28" t="str">
        <f t="shared" si="4"/>
        <v>115Sampaio Corrêa - MA</v>
      </c>
      <c r="R38" s="28" t="str">
        <f>VLOOKUP(A38,'JOGOS BASE'!A:H,8)</f>
        <v>11.01.2025 - Imperatriz - MA x Sampaio Corrêa - MA</v>
      </c>
    </row>
    <row r="39" spans="1:18" ht="30.6" hidden="1">
      <c r="A39" s="17">
        <v>1</v>
      </c>
      <c r="B39" s="1">
        <v>16</v>
      </c>
      <c r="C39" s="2" t="s">
        <v>86</v>
      </c>
      <c r="D39" s="2" t="s">
        <v>87</v>
      </c>
      <c r="E39" s="3" t="s">
        <v>42</v>
      </c>
      <c r="F39" s="3" t="s">
        <v>24</v>
      </c>
      <c r="G39" s="9">
        <v>709331</v>
      </c>
      <c r="H39" s="17" t="s">
        <v>122</v>
      </c>
      <c r="I39" s="26" t="str">
        <f t="shared" si="0"/>
        <v>Dimas</v>
      </c>
      <c r="J39" s="26" t="str">
        <f t="shared" si="1"/>
        <v>1Sampaio Corrêa - MA16</v>
      </c>
      <c r="K39" s="27" t="str">
        <f>IFERROR(VLOOKUP(J39,Substituicoes!J:J,1,0),"SS")</f>
        <v>SS</v>
      </c>
      <c r="L39" s="27" t="str">
        <f>IFERROR(VLOOKUP(J39,Substituicoes!K:K,1,0),"SS")</f>
        <v>SS</v>
      </c>
      <c r="M39" s="28" t="b">
        <f t="shared" si="2"/>
        <v>1</v>
      </c>
      <c r="N39" s="29">
        <f>IF(AND(K39=L39,LEFT(E39,1)="T"),VLOOKUP(A39,'JOGOS BASE'!A:E,4,0),IF(K39=J39,VLOOKUP(J39,Substituicoes!J:R,6,0),IF(L39=J39,VLOOKUP(Escalacao!J39,Substituicoes!K:R,7,0),0)))</f>
        <v>0</v>
      </c>
      <c r="O39" s="28">
        <f>IF(AND(K39=L39,LEFT(E39,1)="T"),VLOOKUP(A39,'JOGOS BASE'!A:E,5,0),IF(K39=J39,VLOOKUP(J39,Substituicoes!J:R,7,0),IF(L39=J39,VLOOKUP(Escalacao!J39,Substituicoes!K:R,8,0),0)))</f>
        <v>0</v>
      </c>
      <c r="P39" s="28">
        <f t="shared" si="3"/>
        <v>0</v>
      </c>
      <c r="Q39" s="28" t="str">
        <f t="shared" si="4"/>
        <v>116Sampaio Corrêa - MA</v>
      </c>
      <c r="R39" s="28" t="str">
        <f>VLOOKUP(A39,'JOGOS BASE'!A:H,8)</f>
        <v>11.01.2025 - Imperatriz - MA x Sampaio Corrêa - MA</v>
      </c>
    </row>
    <row r="40" spans="1:18" ht="30.6" hidden="1">
      <c r="A40" s="17">
        <v>1</v>
      </c>
      <c r="B40" s="1">
        <v>17</v>
      </c>
      <c r="C40" s="2" t="s">
        <v>88</v>
      </c>
      <c r="D40" s="2" t="s">
        <v>89</v>
      </c>
      <c r="E40" s="3" t="s">
        <v>42</v>
      </c>
      <c r="F40" s="3" t="s">
        <v>24</v>
      </c>
      <c r="G40" s="9">
        <v>673834</v>
      </c>
      <c r="H40" s="17" t="s">
        <v>122</v>
      </c>
      <c r="I40" s="26" t="str">
        <f t="shared" si="0"/>
        <v>L7</v>
      </c>
      <c r="J40" s="26" t="str">
        <f t="shared" si="1"/>
        <v>1Sampaio Corrêa - MA17</v>
      </c>
      <c r="K40" s="27" t="str">
        <f>IFERROR(VLOOKUP(J40,Substituicoes!J:J,1,0),"SS")</f>
        <v>1Sampaio Corrêa - MA17</v>
      </c>
      <c r="L40" s="27" t="str">
        <f>IFERROR(VLOOKUP(J40,Substituicoes!K:K,1,0),"SS")</f>
        <v>SS</v>
      </c>
      <c r="M40" s="28" t="b">
        <f t="shared" si="2"/>
        <v>0</v>
      </c>
      <c r="N40" s="29">
        <f>IF(AND(K40=L40,LEFT(E40,1)="T"),VLOOKUP(A40,'JOGOS BASE'!A:E,4,0),IF(K40=J40,VLOOKUP(J40,Substituicoes!J:R,6,0),IF(L40=J40,VLOOKUP(Escalacao!J40,Substituicoes!K:R,7,0),0)))</f>
        <v>0</v>
      </c>
      <c r="O40" s="28">
        <f>IF(AND(K40=L40,LEFT(E40,1)="T"),VLOOKUP(A40,'JOGOS BASE'!A:E,5,0),IF(K40=J40,VLOOKUP(J40,Substituicoes!J:R,7,0),IF(L40=J40,VLOOKUP(Escalacao!J40,Substituicoes!K:R,8,0),0)))</f>
        <v>9</v>
      </c>
      <c r="P40" s="28">
        <f t="shared" si="3"/>
        <v>9</v>
      </c>
      <c r="Q40" s="28" t="str">
        <f t="shared" si="4"/>
        <v>117Sampaio Corrêa - MA</v>
      </c>
      <c r="R40" s="28" t="str">
        <f>VLOOKUP(A40,'JOGOS BASE'!A:H,8)</f>
        <v>11.01.2025 - Imperatriz - MA x Sampaio Corrêa - MA</v>
      </c>
    </row>
    <row r="41" spans="1:18" ht="30.6" hidden="1">
      <c r="A41" s="17">
        <v>1</v>
      </c>
      <c r="B41" s="1">
        <v>18</v>
      </c>
      <c r="C41" s="2" t="s">
        <v>90</v>
      </c>
      <c r="D41" s="2" t="s">
        <v>91</v>
      </c>
      <c r="E41" s="3" t="s">
        <v>42</v>
      </c>
      <c r="F41" s="3" t="s">
        <v>24</v>
      </c>
      <c r="G41" s="9">
        <v>335977</v>
      </c>
      <c r="H41" s="17" t="s">
        <v>122</v>
      </c>
      <c r="I41" s="26" t="str">
        <f t="shared" si="0"/>
        <v>Bruno Matos</v>
      </c>
      <c r="J41" s="26" t="str">
        <f t="shared" si="1"/>
        <v>1Sampaio Corrêa - MA18</v>
      </c>
      <c r="K41" s="27" t="str">
        <f>IFERROR(VLOOKUP(J41,Substituicoes!J:J,1,0),"SS")</f>
        <v>1Sampaio Corrêa - MA18</v>
      </c>
      <c r="L41" s="27" t="str">
        <f>IFERROR(VLOOKUP(J41,Substituicoes!K:K,1,0),"SS")</f>
        <v>SS</v>
      </c>
      <c r="M41" s="28" t="b">
        <f t="shared" si="2"/>
        <v>0</v>
      </c>
      <c r="N41" s="29">
        <f>IF(AND(K41=L41,LEFT(E41,1)="T"),VLOOKUP(A41,'JOGOS BASE'!A:E,4,0),IF(K41=J41,VLOOKUP(J41,Substituicoes!J:R,6,0),IF(L41=J41,VLOOKUP(Escalacao!J41,Substituicoes!K:R,7,0),0)))</f>
        <v>0</v>
      </c>
      <c r="O41" s="28">
        <f>IF(AND(K41=L41,LEFT(E41,1)="T"),VLOOKUP(A41,'JOGOS BASE'!A:E,5,0),IF(K41=J41,VLOOKUP(J41,Substituicoes!J:R,7,0),IF(L41=J41,VLOOKUP(Escalacao!J41,Substituicoes!K:R,8,0),0)))</f>
        <v>37</v>
      </c>
      <c r="P41" s="28">
        <f t="shared" si="3"/>
        <v>37</v>
      </c>
      <c r="Q41" s="28" t="str">
        <f t="shared" si="4"/>
        <v>118Sampaio Corrêa - MA</v>
      </c>
      <c r="R41" s="28" t="str">
        <f>VLOOKUP(A41,'JOGOS BASE'!A:H,8)</f>
        <v>11.01.2025 - Imperatriz - MA x Sampaio Corrêa - MA</v>
      </c>
    </row>
    <row r="42" spans="1:18" ht="30.6" hidden="1">
      <c r="A42" s="17">
        <v>1</v>
      </c>
      <c r="B42" s="1">
        <v>19</v>
      </c>
      <c r="C42" s="2" t="s">
        <v>92</v>
      </c>
      <c r="D42" s="2" t="s">
        <v>93</v>
      </c>
      <c r="E42" s="3" t="s">
        <v>42</v>
      </c>
      <c r="F42" s="3" t="s">
        <v>24</v>
      </c>
      <c r="G42" s="9">
        <v>432056</v>
      </c>
      <c r="H42" s="17" t="s">
        <v>122</v>
      </c>
      <c r="I42" s="26" t="str">
        <f t="shared" si="0"/>
        <v>Thiago</v>
      </c>
      <c r="J42" s="26" t="str">
        <f t="shared" si="1"/>
        <v>1Sampaio Corrêa - MA19</v>
      </c>
      <c r="K42" s="27" t="str">
        <f>IFERROR(VLOOKUP(J42,Substituicoes!J:J,1,0),"SS")</f>
        <v>1Sampaio Corrêa - MA19</v>
      </c>
      <c r="L42" s="27" t="str">
        <f>IFERROR(VLOOKUP(J42,Substituicoes!K:K,1,0),"SS")</f>
        <v>SS</v>
      </c>
      <c r="M42" s="28" t="b">
        <f t="shared" si="2"/>
        <v>0</v>
      </c>
      <c r="N42" s="29">
        <f>IF(AND(K42=L42,LEFT(E42,1)="T"),VLOOKUP(A42,'JOGOS BASE'!A:E,4,0),IF(K42=J42,VLOOKUP(J42,Substituicoes!J:R,6,0),IF(L42=J42,VLOOKUP(Escalacao!J42,Substituicoes!K:R,7,0),0)))</f>
        <v>0</v>
      </c>
      <c r="O42" s="28">
        <f>IF(AND(K42=L42,LEFT(E42,1)="T"),VLOOKUP(A42,'JOGOS BASE'!A:E,5,0),IF(K42=J42,VLOOKUP(J42,Substituicoes!J:R,7,0),IF(L42=J42,VLOOKUP(Escalacao!J42,Substituicoes!K:R,8,0),0)))</f>
        <v>50</v>
      </c>
      <c r="P42" s="28">
        <f t="shared" si="3"/>
        <v>50</v>
      </c>
      <c r="Q42" s="28" t="str">
        <f t="shared" si="4"/>
        <v>119Sampaio Corrêa - MA</v>
      </c>
      <c r="R42" s="28" t="str">
        <f>VLOOKUP(A42,'JOGOS BASE'!A:H,8)</f>
        <v>11.01.2025 - Imperatriz - MA x Sampaio Corrêa - MA</v>
      </c>
    </row>
    <row r="43" spans="1:18" ht="30.6" hidden="1">
      <c r="A43" s="17">
        <v>1</v>
      </c>
      <c r="B43" s="1">
        <v>20</v>
      </c>
      <c r="C43" s="2" t="s">
        <v>94</v>
      </c>
      <c r="D43" s="2" t="s">
        <v>95</v>
      </c>
      <c r="E43" s="3" t="s">
        <v>42</v>
      </c>
      <c r="F43" s="3" t="s">
        <v>24</v>
      </c>
      <c r="G43" s="9">
        <v>757475</v>
      </c>
      <c r="H43" s="17" t="s">
        <v>122</v>
      </c>
      <c r="I43" s="26" t="str">
        <f t="shared" si="0"/>
        <v>JARDSON</v>
      </c>
      <c r="J43" s="26" t="str">
        <f t="shared" si="1"/>
        <v>1Sampaio Corrêa - MA20</v>
      </c>
      <c r="K43" s="27" t="str">
        <f>IFERROR(VLOOKUP(J43,Substituicoes!J:J,1,0),"SS")</f>
        <v>SS</v>
      </c>
      <c r="L43" s="27" t="str">
        <f>IFERROR(VLOOKUP(J43,Substituicoes!K:K,1,0),"SS")</f>
        <v>SS</v>
      </c>
      <c r="M43" s="28" t="b">
        <f t="shared" si="2"/>
        <v>1</v>
      </c>
      <c r="N43" s="29">
        <f>IF(AND(K43=L43,LEFT(E43,1)="T"),VLOOKUP(A43,'JOGOS BASE'!A:E,4,0),IF(K43=J43,VLOOKUP(J43,Substituicoes!J:R,6,0),IF(L43=J43,VLOOKUP(Escalacao!J43,Substituicoes!K:R,7,0),0)))</f>
        <v>0</v>
      </c>
      <c r="O43" s="28">
        <f>IF(AND(K43=L43,LEFT(E43,1)="T"),VLOOKUP(A43,'JOGOS BASE'!A:E,5,0),IF(K43=J43,VLOOKUP(J43,Substituicoes!J:R,7,0),IF(L43=J43,VLOOKUP(Escalacao!J43,Substituicoes!K:R,8,0),0)))</f>
        <v>0</v>
      </c>
      <c r="P43" s="28">
        <f t="shared" si="3"/>
        <v>0</v>
      </c>
      <c r="Q43" s="28" t="str">
        <f t="shared" si="4"/>
        <v>120Sampaio Corrêa - MA</v>
      </c>
      <c r="R43" s="28" t="str">
        <f>VLOOKUP(A43,'JOGOS BASE'!A:H,8)</f>
        <v>11.01.2025 - Imperatriz - MA x Sampaio Corrêa - MA</v>
      </c>
    </row>
    <row r="44" spans="1:18" ht="30.6" hidden="1">
      <c r="A44" s="17">
        <v>1</v>
      </c>
      <c r="B44" s="1">
        <v>21</v>
      </c>
      <c r="C44" s="2" t="s">
        <v>96</v>
      </c>
      <c r="D44" s="2" t="s">
        <v>97</v>
      </c>
      <c r="E44" s="3" t="s">
        <v>42</v>
      </c>
      <c r="F44" s="3" t="s">
        <v>24</v>
      </c>
      <c r="G44" s="9">
        <v>748572</v>
      </c>
      <c r="H44" s="17" t="s">
        <v>122</v>
      </c>
      <c r="I44" s="26" t="str">
        <f t="shared" si="0"/>
        <v>ADRIANO</v>
      </c>
      <c r="J44" s="26" t="str">
        <f t="shared" si="1"/>
        <v>1Sampaio Corrêa - MA21</v>
      </c>
      <c r="K44" s="27" t="str">
        <f>IFERROR(VLOOKUP(J44,Substituicoes!J:J,1,0),"SS")</f>
        <v>1Sampaio Corrêa - MA21</v>
      </c>
      <c r="L44" s="27" t="str">
        <f>IFERROR(VLOOKUP(J44,Substituicoes!K:K,1,0),"SS")</f>
        <v>SS</v>
      </c>
      <c r="M44" s="28" t="b">
        <f t="shared" si="2"/>
        <v>0</v>
      </c>
      <c r="N44" s="29">
        <f>IF(AND(K44=L44,LEFT(E44,1)="T"),VLOOKUP(A44,'JOGOS BASE'!A:E,4,0),IF(K44=J44,VLOOKUP(J44,Substituicoes!J:R,6,0),IF(L44=J44,VLOOKUP(Escalacao!J44,Substituicoes!K:R,7,0),0)))</f>
        <v>0</v>
      </c>
      <c r="O44" s="28">
        <f>IF(AND(K44=L44,LEFT(E44,1)="T"),VLOOKUP(A44,'JOGOS BASE'!A:E,5,0),IF(K44=J44,VLOOKUP(J44,Substituicoes!J:R,7,0),IF(L44=J44,VLOOKUP(Escalacao!J44,Substituicoes!K:R,8,0),0)))</f>
        <v>23</v>
      </c>
      <c r="P44" s="28">
        <f t="shared" si="3"/>
        <v>23</v>
      </c>
      <c r="Q44" s="28" t="str">
        <f t="shared" si="4"/>
        <v>121Sampaio Corrêa - MA</v>
      </c>
      <c r="R44" s="28" t="str">
        <f>VLOOKUP(A44,'JOGOS BASE'!A:H,8)</f>
        <v>11.01.2025 - Imperatriz - MA x Sampaio Corrêa - MA</v>
      </c>
    </row>
    <row r="45" spans="1:18" ht="20.399999999999999" hidden="1">
      <c r="A45" s="15">
        <v>2</v>
      </c>
      <c r="B45" s="46">
        <v>1</v>
      </c>
      <c r="C45" s="45" t="s">
        <v>172</v>
      </c>
      <c r="D45" s="45" t="s">
        <v>173</v>
      </c>
      <c r="E45" s="47" t="s">
        <v>23</v>
      </c>
      <c r="F45" s="47" t="s">
        <v>24</v>
      </c>
      <c r="G45" s="46">
        <v>432643</v>
      </c>
      <c r="H45" s="15" t="s">
        <v>273</v>
      </c>
      <c r="I45" s="26" t="str">
        <f t="shared" ref="I45:I87" si="5">C45</f>
        <v>Allan</v>
      </c>
      <c r="J45" s="26" t="str">
        <f t="shared" ref="J45:J87" si="6">A45&amp;H45&amp;B45</f>
        <v>2Moto Club - MA1</v>
      </c>
      <c r="K45" s="27" t="str">
        <f>IFERROR(VLOOKUP(J45,Substituicoes!J:J,1,0),"SS")</f>
        <v>SS</v>
      </c>
      <c r="L45" s="27" t="str">
        <f>IFERROR(VLOOKUP(J45,Substituicoes!K:K,1,0),"SS")</f>
        <v>SS</v>
      </c>
      <c r="M45" s="28" t="b">
        <f t="shared" ref="M45:M87" si="7">K45=L45</f>
        <v>1</v>
      </c>
      <c r="N45" s="29">
        <f>IF(AND(K45=L45,LEFT(E45,1)="T"),VLOOKUP(A45,'JOGOS BASE'!A:E,4,0),IF(K45=J45,VLOOKUP(J45,Substituicoes!J:R,6,0),IF(L45=J45,VLOOKUP(Escalacao!J45,Substituicoes!K:R,7,0),0)))</f>
        <v>47</v>
      </c>
      <c r="O45" s="28">
        <f>IF(AND(K45=L45,LEFT(E45,1)="T"),VLOOKUP(A45,'JOGOS BASE'!A:E,5,0),IF(K45=J45,VLOOKUP(J45,Substituicoes!J:R,7,0),IF(L45=J45,VLOOKUP(Escalacao!J45,Substituicoes!K:R,8,0),0)))</f>
        <v>50</v>
      </c>
      <c r="P45" s="28">
        <f t="shared" ref="P45:P87" si="8">N45+O45</f>
        <v>97</v>
      </c>
      <c r="Q45" s="28" t="str">
        <f t="shared" ref="Q45:Q87" si="9">A45&amp;B45&amp;H45</f>
        <v>21Moto Club - MA</v>
      </c>
      <c r="R45" s="28" t="str">
        <f>VLOOKUP(A45,'JOGOS BASE'!A:H,8)</f>
        <v>12.01.2025 - Moto Club - MA x Maranhão - MA</v>
      </c>
    </row>
    <row r="46" spans="1:18" ht="30.6" hidden="1">
      <c r="A46" s="15">
        <v>2</v>
      </c>
      <c r="B46" s="46">
        <v>2</v>
      </c>
      <c r="C46" s="45" t="s">
        <v>174</v>
      </c>
      <c r="D46" s="45" t="s">
        <v>175</v>
      </c>
      <c r="E46" s="47" t="s">
        <v>26</v>
      </c>
      <c r="F46" s="47" t="s">
        <v>24</v>
      </c>
      <c r="G46" s="46">
        <v>320977</v>
      </c>
      <c r="H46" s="15" t="s">
        <v>273</v>
      </c>
      <c r="I46" s="26" t="str">
        <f t="shared" si="5"/>
        <v>Vitor</v>
      </c>
      <c r="J46" s="26" t="str">
        <f t="shared" si="6"/>
        <v>2Moto Club - MA2</v>
      </c>
      <c r="K46" s="27" t="str">
        <f>IFERROR(VLOOKUP(J46,Substituicoes!J:J,1,0),"SS")</f>
        <v>SS</v>
      </c>
      <c r="L46" s="27" t="str">
        <f>IFERROR(VLOOKUP(J46,Substituicoes!K:K,1,0),"SS")</f>
        <v>SS</v>
      </c>
      <c r="M46" s="28" t="b">
        <f t="shared" si="7"/>
        <v>1</v>
      </c>
      <c r="N46" s="29">
        <f>IF(AND(K46=L46,LEFT(E46,1)="T"),VLOOKUP(A46,'JOGOS BASE'!A:E,4,0),IF(K46=J46,VLOOKUP(J46,Substituicoes!J:R,6,0),IF(L46=J46,VLOOKUP(Escalacao!J46,Substituicoes!K:R,7,0),0)))</f>
        <v>47</v>
      </c>
      <c r="O46" s="28">
        <f>IF(AND(K46=L46,LEFT(E46,1)="T"),VLOOKUP(A46,'JOGOS BASE'!A:E,5,0),IF(K46=J46,VLOOKUP(J46,Substituicoes!J:R,7,0),IF(L46=J46,VLOOKUP(Escalacao!J46,Substituicoes!K:R,8,0),0)))</f>
        <v>50</v>
      </c>
      <c r="P46" s="28">
        <f t="shared" si="8"/>
        <v>97</v>
      </c>
      <c r="Q46" s="28" t="str">
        <f t="shared" si="9"/>
        <v>22Moto Club - MA</v>
      </c>
      <c r="R46" s="28" t="str">
        <f>VLOOKUP(A46,'JOGOS BASE'!A:H,8)</f>
        <v>12.01.2025 - Moto Club - MA x Maranhão - MA</v>
      </c>
    </row>
    <row r="47" spans="1:18" ht="20.399999999999999" hidden="1">
      <c r="A47" s="15">
        <v>2</v>
      </c>
      <c r="B47" s="46">
        <v>3</v>
      </c>
      <c r="C47" s="45" t="s">
        <v>176</v>
      </c>
      <c r="D47" s="45" t="s">
        <v>177</v>
      </c>
      <c r="E47" s="47" t="s">
        <v>26</v>
      </c>
      <c r="F47" s="47" t="s">
        <v>24</v>
      </c>
      <c r="G47" s="46">
        <v>552504</v>
      </c>
      <c r="H47" s="15" t="s">
        <v>273</v>
      </c>
      <c r="I47" s="26" t="str">
        <f t="shared" si="5"/>
        <v>Yan</v>
      </c>
      <c r="J47" s="26" t="str">
        <f t="shared" si="6"/>
        <v>2Moto Club - MA3</v>
      </c>
      <c r="K47" s="27" t="str">
        <f>IFERROR(VLOOKUP(J47,Substituicoes!J:J,1,0),"SS")</f>
        <v>SS</v>
      </c>
      <c r="L47" s="27" t="str">
        <f>IFERROR(VLOOKUP(J47,Substituicoes!K:K,1,0),"SS")</f>
        <v>2Moto Club - MA3</v>
      </c>
      <c r="M47" s="28" t="b">
        <f t="shared" si="7"/>
        <v>0</v>
      </c>
      <c r="N47" s="29">
        <f>IF(AND(K47=L47,LEFT(E47,1)="T"),VLOOKUP(A47,'JOGOS BASE'!A:E,4,0),IF(K47=J47,VLOOKUP(J47,Substituicoes!J:R,6,0),IF(L47=J47,VLOOKUP(Escalacao!J47,Substituicoes!K:R,7,0),0)))</f>
        <v>47</v>
      </c>
      <c r="O47" s="28">
        <f>IF(AND(K47=L47,LEFT(E47,1)="T"),VLOOKUP(A47,'JOGOS BASE'!A:E,5,0),IF(K47=J47,VLOOKUP(J47,Substituicoes!J:R,7,0),IF(L47=J47,VLOOKUP(Escalacao!J47,Substituicoes!K:R,8,0),0)))</f>
        <v>24</v>
      </c>
      <c r="P47" s="28">
        <f t="shared" si="8"/>
        <v>71</v>
      </c>
      <c r="Q47" s="28" t="str">
        <f t="shared" si="9"/>
        <v>23Moto Club - MA</v>
      </c>
      <c r="R47" s="28" t="str">
        <f>VLOOKUP(A47,'JOGOS BASE'!A:H,8)</f>
        <v>12.01.2025 - Moto Club - MA x Maranhão - MA</v>
      </c>
    </row>
    <row r="48" spans="1:18" ht="20.399999999999999" hidden="1">
      <c r="A48" s="15">
        <v>2</v>
      </c>
      <c r="B48" s="46">
        <v>4</v>
      </c>
      <c r="C48" s="45" t="s">
        <v>178</v>
      </c>
      <c r="D48" s="45" t="s">
        <v>179</v>
      </c>
      <c r="E48" s="47" t="s">
        <v>26</v>
      </c>
      <c r="F48" s="47" t="s">
        <v>24</v>
      </c>
      <c r="G48" s="46">
        <v>412439</v>
      </c>
      <c r="H48" s="15" t="s">
        <v>273</v>
      </c>
      <c r="I48" s="26" t="str">
        <f t="shared" si="5"/>
        <v>Mauricio</v>
      </c>
      <c r="J48" s="26" t="str">
        <f t="shared" si="6"/>
        <v>2Moto Club - MA4</v>
      </c>
      <c r="K48" s="27" t="str">
        <f>IFERROR(VLOOKUP(J48,Substituicoes!J:J,1,0),"SS")</f>
        <v>SS</v>
      </c>
      <c r="L48" s="27" t="str">
        <f>IFERROR(VLOOKUP(J48,Substituicoes!K:K,1,0),"SS")</f>
        <v>SS</v>
      </c>
      <c r="M48" s="28" t="b">
        <f t="shared" si="7"/>
        <v>1</v>
      </c>
      <c r="N48" s="29">
        <f>IF(AND(K48=L48,LEFT(E48,1)="T"),VLOOKUP(A48,'JOGOS BASE'!A:E,4,0),IF(K48=J48,VLOOKUP(J48,Substituicoes!J:R,6,0),IF(L48=J48,VLOOKUP(Escalacao!J48,Substituicoes!K:R,7,0),0)))</f>
        <v>47</v>
      </c>
      <c r="O48" s="28">
        <f>IF(AND(K48=L48,LEFT(E48,1)="T"),VLOOKUP(A48,'JOGOS BASE'!A:E,5,0),IF(K48=J48,VLOOKUP(J48,Substituicoes!J:R,7,0),IF(L48=J48,VLOOKUP(Escalacao!J48,Substituicoes!K:R,8,0),0)))</f>
        <v>50</v>
      </c>
      <c r="P48" s="28">
        <f t="shared" si="8"/>
        <v>97</v>
      </c>
      <c r="Q48" s="28" t="str">
        <f t="shared" si="9"/>
        <v>24Moto Club - MA</v>
      </c>
      <c r="R48" s="28" t="str">
        <f>VLOOKUP(A48,'JOGOS BASE'!A:H,8)</f>
        <v>12.01.2025 - Moto Club - MA x Maranhão - MA</v>
      </c>
    </row>
    <row r="49" spans="1:18" ht="20.399999999999999" hidden="1">
      <c r="A49" s="15">
        <v>2</v>
      </c>
      <c r="B49" s="46">
        <v>5</v>
      </c>
      <c r="C49" s="45" t="s">
        <v>180</v>
      </c>
      <c r="D49" s="45" t="s">
        <v>181</v>
      </c>
      <c r="E49" s="47" t="s">
        <v>26</v>
      </c>
      <c r="F49" s="47" t="s">
        <v>24</v>
      </c>
      <c r="G49" s="46">
        <v>343511</v>
      </c>
      <c r="H49" s="15" t="s">
        <v>273</v>
      </c>
      <c r="I49" s="26" t="str">
        <f t="shared" si="5"/>
        <v>Felipe Dias</v>
      </c>
      <c r="J49" s="26" t="str">
        <f t="shared" si="6"/>
        <v>2Moto Club - MA5</v>
      </c>
      <c r="K49" s="27" t="str">
        <f>IFERROR(VLOOKUP(J49,Substituicoes!J:J,1,0),"SS")</f>
        <v>SS</v>
      </c>
      <c r="L49" s="27" t="str">
        <f>IFERROR(VLOOKUP(J49,Substituicoes!K:K,1,0),"SS")</f>
        <v>SS</v>
      </c>
      <c r="M49" s="28" t="b">
        <f t="shared" si="7"/>
        <v>1</v>
      </c>
      <c r="N49" s="29">
        <f>IF(AND(K49=L49,LEFT(E49,1)="T"),VLOOKUP(A49,'JOGOS BASE'!A:E,4,0),IF(K49=J49,VLOOKUP(J49,Substituicoes!J:R,6,0),IF(L49=J49,VLOOKUP(Escalacao!J49,Substituicoes!K:R,7,0),0)))</f>
        <v>47</v>
      </c>
      <c r="O49" s="28">
        <f>IF(AND(K49=L49,LEFT(E49,1)="T"),VLOOKUP(A49,'JOGOS BASE'!A:E,5,0),IF(K49=J49,VLOOKUP(J49,Substituicoes!J:R,7,0),IF(L49=J49,VLOOKUP(Escalacao!J49,Substituicoes!K:R,8,0),0)))</f>
        <v>50</v>
      </c>
      <c r="P49" s="28">
        <f t="shared" si="8"/>
        <v>97</v>
      </c>
      <c r="Q49" s="28" t="str">
        <f t="shared" si="9"/>
        <v>25Moto Club - MA</v>
      </c>
      <c r="R49" s="28" t="str">
        <f>VLOOKUP(A49,'JOGOS BASE'!A:H,8)</f>
        <v>12.01.2025 - Moto Club - MA x Maranhão - MA</v>
      </c>
    </row>
    <row r="50" spans="1:18" ht="30.6" hidden="1">
      <c r="A50" s="15">
        <v>2</v>
      </c>
      <c r="B50" s="46">
        <v>6</v>
      </c>
      <c r="C50" s="45" t="s">
        <v>182</v>
      </c>
      <c r="D50" s="45" t="s">
        <v>183</v>
      </c>
      <c r="E50" s="47" t="s">
        <v>26</v>
      </c>
      <c r="F50" s="47" t="s">
        <v>24</v>
      </c>
      <c r="G50" s="46">
        <v>708589</v>
      </c>
      <c r="H50" s="15" t="s">
        <v>273</v>
      </c>
      <c r="I50" s="26" t="str">
        <f t="shared" si="5"/>
        <v>GUSTAVO</v>
      </c>
      <c r="J50" s="26" t="str">
        <f t="shared" si="6"/>
        <v>2Moto Club - MA6</v>
      </c>
      <c r="K50" s="27" t="str">
        <f>IFERROR(VLOOKUP(J50,Substituicoes!J:J,1,0),"SS")</f>
        <v>SS</v>
      </c>
      <c r="L50" s="27" t="str">
        <f>IFERROR(VLOOKUP(J50,Substituicoes!K:K,1,0),"SS")</f>
        <v>2Moto Club - MA6</v>
      </c>
      <c r="M50" s="28" t="b">
        <f t="shared" si="7"/>
        <v>0</v>
      </c>
      <c r="N50" s="29">
        <f>IF(AND(K50=L50,LEFT(E50,1)="T"),VLOOKUP(A50,'JOGOS BASE'!A:E,4,0),IF(K50=J50,VLOOKUP(J50,Substituicoes!J:R,6,0),IF(L50=J50,VLOOKUP(Escalacao!J50,Substituicoes!K:R,7,0),0)))</f>
        <v>47</v>
      </c>
      <c r="O50" s="28">
        <f>IF(AND(K50=L50,LEFT(E50,1)="T"),VLOOKUP(A50,'JOGOS BASE'!A:E,5,0),IF(K50=J50,VLOOKUP(J50,Substituicoes!J:R,7,0),IF(L50=J50,VLOOKUP(Escalacao!J50,Substituicoes!K:R,8,0),0)))</f>
        <v>20</v>
      </c>
      <c r="P50" s="28">
        <f t="shared" si="8"/>
        <v>67</v>
      </c>
      <c r="Q50" s="28" t="str">
        <f t="shared" si="9"/>
        <v>26Moto Club - MA</v>
      </c>
      <c r="R50" s="28" t="str">
        <f>VLOOKUP(A50,'JOGOS BASE'!A:H,8)</f>
        <v>12.01.2025 - Moto Club - MA x Maranhão - MA</v>
      </c>
    </row>
    <row r="51" spans="1:18" ht="30.6" hidden="1">
      <c r="A51" s="15">
        <v>2</v>
      </c>
      <c r="B51" s="46">
        <v>7</v>
      </c>
      <c r="C51" s="45" t="s">
        <v>184</v>
      </c>
      <c r="D51" s="45" t="s">
        <v>185</v>
      </c>
      <c r="E51" s="47" t="s">
        <v>26</v>
      </c>
      <c r="F51" s="47" t="s">
        <v>24</v>
      </c>
      <c r="G51" s="46">
        <v>562612</v>
      </c>
      <c r="H51" s="15" t="s">
        <v>273</v>
      </c>
      <c r="I51" s="26" t="str">
        <f t="shared" si="5"/>
        <v>Gustavo</v>
      </c>
      <c r="J51" s="26" t="str">
        <f t="shared" si="6"/>
        <v>2Moto Club - MA7</v>
      </c>
      <c r="K51" s="27" t="str">
        <f>IFERROR(VLOOKUP(J51,Substituicoes!J:J,1,0),"SS")</f>
        <v>SS</v>
      </c>
      <c r="L51" s="27" t="str">
        <f>IFERROR(VLOOKUP(J51,Substituicoes!K:K,1,0),"SS")</f>
        <v>SS</v>
      </c>
      <c r="M51" s="28" t="b">
        <f t="shared" si="7"/>
        <v>1</v>
      </c>
      <c r="N51" s="29">
        <f>IF(AND(K51=L51,LEFT(E51,1)="T"),VLOOKUP(A51,'JOGOS BASE'!A:E,4,0),IF(K51=J51,VLOOKUP(J51,Substituicoes!J:R,6,0),IF(L51=J51,VLOOKUP(Escalacao!J51,Substituicoes!K:R,7,0),0)))</f>
        <v>47</v>
      </c>
      <c r="O51" s="28">
        <f>IF(AND(K51=L51,LEFT(E51,1)="T"),VLOOKUP(A51,'JOGOS BASE'!A:E,5,0),IF(K51=J51,VLOOKUP(J51,Substituicoes!J:R,7,0),IF(L51=J51,VLOOKUP(Escalacao!J51,Substituicoes!K:R,8,0),0)))</f>
        <v>50</v>
      </c>
      <c r="P51" s="28">
        <f t="shared" si="8"/>
        <v>97</v>
      </c>
      <c r="Q51" s="28" t="str">
        <f t="shared" si="9"/>
        <v>27Moto Club - MA</v>
      </c>
      <c r="R51" s="28" t="str">
        <f>VLOOKUP(A51,'JOGOS BASE'!A:H,8)</f>
        <v>12.01.2025 - Moto Club - MA x Maranhão - MA</v>
      </c>
    </row>
    <row r="52" spans="1:18" ht="30.6" hidden="1">
      <c r="A52" s="15">
        <v>2</v>
      </c>
      <c r="B52" s="46">
        <v>8</v>
      </c>
      <c r="C52" s="45" t="s">
        <v>186</v>
      </c>
      <c r="D52" s="45" t="s">
        <v>187</v>
      </c>
      <c r="E52" s="47" t="s">
        <v>26</v>
      </c>
      <c r="F52" s="47" t="s">
        <v>24</v>
      </c>
      <c r="G52" s="46">
        <v>382358</v>
      </c>
      <c r="H52" s="15" t="s">
        <v>273</v>
      </c>
      <c r="I52" s="26" t="str">
        <f t="shared" si="5"/>
        <v>Lucas</v>
      </c>
      <c r="J52" s="26" t="str">
        <f t="shared" si="6"/>
        <v>2Moto Club - MA8</v>
      </c>
      <c r="K52" s="27" t="str">
        <f>IFERROR(VLOOKUP(J52,Substituicoes!J:J,1,0),"SS")</f>
        <v>SS</v>
      </c>
      <c r="L52" s="27" t="str">
        <f>IFERROR(VLOOKUP(J52,Substituicoes!K:K,1,0),"SS")</f>
        <v>2Moto Club - MA8</v>
      </c>
      <c r="M52" s="28" t="b">
        <f t="shared" si="7"/>
        <v>0</v>
      </c>
      <c r="N52" s="29">
        <f>IF(AND(K52=L52,LEFT(E52,1)="T"),VLOOKUP(A52,'JOGOS BASE'!A:E,4,0),IF(K52=J52,VLOOKUP(J52,Substituicoes!J:R,6,0),IF(L52=J52,VLOOKUP(Escalacao!J52,Substituicoes!K:R,7,0),0)))</f>
        <v>47</v>
      </c>
      <c r="O52" s="28">
        <f>IF(AND(K52=L52,LEFT(E52,1)="T"),VLOOKUP(A52,'JOGOS BASE'!A:E,5,0),IF(K52=J52,VLOOKUP(J52,Substituicoes!J:R,7,0),IF(L52=J52,VLOOKUP(Escalacao!J52,Substituicoes!K:R,8,0),0)))</f>
        <v>24</v>
      </c>
      <c r="P52" s="28">
        <f t="shared" si="8"/>
        <v>71</v>
      </c>
      <c r="Q52" s="28" t="str">
        <f t="shared" si="9"/>
        <v>28Moto Club - MA</v>
      </c>
      <c r="R52" s="28" t="str">
        <f>VLOOKUP(A52,'JOGOS BASE'!A:H,8)</f>
        <v>12.01.2025 - Moto Club - MA x Maranhão - MA</v>
      </c>
    </row>
    <row r="53" spans="1:18" ht="20.399999999999999" hidden="1">
      <c r="A53" s="15">
        <v>2</v>
      </c>
      <c r="B53" s="46">
        <v>9</v>
      </c>
      <c r="C53" s="45" t="s">
        <v>188</v>
      </c>
      <c r="D53" s="45" t="s">
        <v>189</v>
      </c>
      <c r="E53" s="47" t="s">
        <v>26</v>
      </c>
      <c r="F53" s="47" t="s">
        <v>24</v>
      </c>
      <c r="G53" s="46">
        <v>595794</v>
      </c>
      <c r="H53" s="15" t="s">
        <v>273</v>
      </c>
      <c r="I53" s="26" t="str">
        <f t="shared" si="5"/>
        <v>Bolinha</v>
      </c>
      <c r="J53" s="26" t="str">
        <f t="shared" si="6"/>
        <v>2Moto Club - MA9</v>
      </c>
      <c r="K53" s="27" t="str">
        <f>IFERROR(VLOOKUP(J53,Substituicoes!J:J,1,0),"SS")</f>
        <v>SS</v>
      </c>
      <c r="L53" s="27" t="str">
        <f>IFERROR(VLOOKUP(J53,Substituicoes!K:K,1,0),"SS")</f>
        <v>2Moto Club - MA9</v>
      </c>
      <c r="M53" s="28" t="b">
        <f t="shared" si="7"/>
        <v>0</v>
      </c>
      <c r="N53" s="29">
        <f>IF(AND(K53=L53,LEFT(E53,1)="T"),VLOOKUP(A53,'JOGOS BASE'!A:E,4,0),IF(K53=J53,VLOOKUP(J53,Substituicoes!J:R,6,0),IF(L53=J53,VLOOKUP(Escalacao!J53,Substituicoes!K:R,7,0),0)))</f>
        <v>47</v>
      </c>
      <c r="O53" s="28">
        <f>IF(AND(K53=L53,LEFT(E53,1)="T"),VLOOKUP(A53,'JOGOS BASE'!A:E,5,0),IF(K53=J53,VLOOKUP(J53,Substituicoes!J:R,7,0),IF(L53=J53,VLOOKUP(Escalacao!J53,Substituicoes!K:R,8,0),0)))</f>
        <v>15</v>
      </c>
      <c r="P53" s="28">
        <f t="shared" si="8"/>
        <v>62</v>
      </c>
      <c r="Q53" s="28" t="str">
        <f t="shared" si="9"/>
        <v>29Moto Club - MA</v>
      </c>
      <c r="R53" s="28" t="str">
        <f>VLOOKUP(A53,'JOGOS BASE'!A:H,8)</f>
        <v>12.01.2025 - Moto Club - MA x Maranhão - MA</v>
      </c>
    </row>
    <row r="54" spans="1:18" ht="20.399999999999999" hidden="1">
      <c r="A54" s="15">
        <v>2</v>
      </c>
      <c r="B54" s="46">
        <v>10</v>
      </c>
      <c r="C54" s="45" t="s">
        <v>190</v>
      </c>
      <c r="D54" s="45" t="s">
        <v>191</v>
      </c>
      <c r="E54" s="47" t="s">
        <v>26</v>
      </c>
      <c r="F54" s="47" t="s">
        <v>24</v>
      </c>
      <c r="G54" s="46">
        <v>302560</v>
      </c>
      <c r="H54" s="15" t="s">
        <v>273</v>
      </c>
      <c r="I54" s="26" t="str">
        <f t="shared" si="5"/>
        <v>DANILO PIRE</v>
      </c>
      <c r="J54" s="26" t="str">
        <f t="shared" si="6"/>
        <v>2Moto Club - MA10</v>
      </c>
      <c r="K54" s="27" t="str">
        <f>IFERROR(VLOOKUP(J54,Substituicoes!J:J,1,0),"SS")</f>
        <v>SS</v>
      </c>
      <c r="L54" s="27" t="str">
        <f>IFERROR(VLOOKUP(J54,Substituicoes!K:K,1,0),"SS")</f>
        <v>2Moto Club - MA10</v>
      </c>
      <c r="M54" s="28" t="b">
        <f t="shared" si="7"/>
        <v>0</v>
      </c>
      <c r="N54" s="29">
        <f>IF(AND(K54=L54,LEFT(E54,1)="T"),VLOOKUP(A54,'JOGOS BASE'!A:E,4,0),IF(K54=J54,VLOOKUP(J54,Substituicoes!J:R,6,0),IF(L54=J54,VLOOKUP(Escalacao!J54,Substituicoes!K:R,7,0),0)))</f>
        <v>47</v>
      </c>
      <c r="O54" s="28">
        <f>IF(AND(K54=L54,LEFT(E54,1)="T"),VLOOKUP(A54,'JOGOS BASE'!A:E,5,0),IF(K54=J54,VLOOKUP(J54,Substituicoes!J:R,7,0),IF(L54=J54,VLOOKUP(Escalacao!J54,Substituicoes!K:R,8,0),0)))</f>
        <v>15</v>
      </c>
      <c r="P54" s="28">
        <f t="shared" si="8"/>
        <v>62</v>
      </c>
      <c r="Q54" s="28" t="str">
        <f t="shared" si="9"/>
        <v>210Moto Club - MA</v>
      </c>
      <c r="R54" s="28" t="str">
        <f>VLOOKUP(A54,'JOGOS BASE'!A:H,8)</f>
        <v>12.01.2025 - Moto Club - MA x Maranhão - MA</v>
      </c>
    </row>
    <row r="55" spans="1:18" ht="30.6" hidden="1">
      <c r="A55" s="15">
        <v>2</v>
      </c>
      <c r="B55" s="46">
        <v>11</v>
      </c>
      <c r="C55" s="45" t="s">
        <v>192</v>
      </c>
      <c r="D55" s="45" t="s">
        <v>193</v>
      </c>
      <c r="E55" s="47" t="s">
        <v>26</v>
      </c>
      <c r="F55" s="47" t="s">
        <v>24</v>
      </c>
      <c r="G55" s="46">
        <v>438976</v>
      </c>
      <c r="H55" s="15" t="s">
        <v>273</v>
      </c>
      <c r="I55" s="26" t="str">
        <f t="shared" si="5"/>
        <v>Danilo</v>
      </c>
      <c r="J55" s="26" t="str">
        <f t="shared" si="6"/>
        <v>2Moto Club - MA11</v>
      </c>
      <c r="K55" s="27" t="str">
        <f>IFERROR(VLOOKUP(J55,Substituicoes!J:J,1,0),"SS")</f>
        <v>SS</v>
      </c>
      <c r="L55" s="27" t="str">
        <f>IFERROR(VLOOKUP(J55,Substituicoes!K:K,1,0),"SS")</f>
        <v>SS</v>
      </c>
      <c r="M55" s="28" t="b">
        <f t="shared" si="7"/>
        <v>1</v>
      </c>
      <c r="N55" s="29">
        <f>IF(AND(K55=L55,LEFT(E55,1)="T"),VLOOKUP(A55,'JOGOS BASE'!A:E,4,0),IF(K55=J55,VLOOKUP(J55,Substituicoes!J:R,6,0),IF(L55=J55,VLOOKUP(Escalacao!J55,Substituicoes!K:R,7,0),0)))</f>
        <v>47</v>
      </c>
      <c r="O55" s="28">
        <f>IF(AND(K55=L55,LEFT(E55,1)="T"),VLOOKUP(A55,'JOGOS BASE'!A:E,5,0),IF(K55=J55,VLOOKUP(J55,Substituicoes!J:R,7,0),IF(L55=J55,VLOOKUP(Escalacao!J55,Substituicoes!K:R,8,0),0)))</f>
        <v>50</v>
      </c>
      <c r="P55" s="28">
        <f t="shared" si="8"/>
        <v>97</v>
      </c>
      <c r="Q55" s="28" t="str">
        <f t="shared" si="9"/>
        <v>211Moto Club - MA</v>
      </c>
      <c r="R55" s="28" t="str">
        <f>VLOOKUP(A55,'JOGOS BASE'!A:H,8)</f>
        <v>12.01.2025 - Moto Club - MA x Maranhão - MA</v>
      </c>
    </row>
    <row r="56" spans="1:18" ht="30.6" hidden="1">
      <c r="A56" s="15">
        <v>2</v>
      </c>
      <c r="B56" s="46">
        <v>12</v>
      </c>
      <c r="C56" s="45" t="s">
        <v>194</v>
      </c>
      <c r="D56" s="45" t="s">
        <v>195</v>
      </c>
      <c r="E56" s="47" t="s">
        <v>40</v>
      </c>
      <c r="F56" s="47" t="s">
        <v>24</v>
      </c>
      <c r="G56" s="46">
        <v>307298</v>
      </c>
      <c r="H56" s="15" t="s">
        <v>273</v>
      </c>
      <c r="I56" s="26" t="str">
        <f t="shared" si="5"/>
        <v>Douglas</v>
      </c>
      <c r="J56" s="26" t="str">
        <f t="shared" si="6"/>
        <v>2Moto Club - MA12</v>
      </c>
      <c r="K56" s="27" t="str">
        <f>IFERROR(VLOOKUP(J56,Substituicoes!J:J,1,0),"SS")</f>
        <v>SS</v>
      </c>
      <c r="L56" s="27" t="str">
        <f>IFERROR(VLOOKUP(J56,Substituicoes!K:K,1,0),"SS")</f>
        <v>SS</v>
      </c>
      <c r="M56" s="28" t="b">
        <f t="shared" si="7"/>
        <v>1</v>
      </c>
      <c r="N56" s="29">
        <f>IF(AND(K56=L56,LEFT(E56,1)="T"),VLOOKUP(A56,'JOGOS BASE'!A:E,4,0),IF(K56=J56,VLOOKUP(J56,Substituicoes!J:R,6,0),IF(L56=J56,VLOOKUP(Escalacao!J56,Substituicoes!K:R,7,0),0)))</f>
        <v>0</v>
      </c>
      <c r="O56" s="28">
        <f>IF(AND(K56=L56,LEFT(E56,1)="T"),VLOOKUP(A56,'JOGOS BASE'!A:E,5,0),IF(K56=J56,VLOOKUP(J56,Substituicoes!J:R,7,0),IF(L56=J56,VLOOKUP(Escalacao!J56,Substituicoes!K:R,8,0),0)))</f>
        <v>0</v>
      </c>
      <c r="P56" s="28">
        <f t="shared" si="8"/>
        <v>0</v>
      </c>
      <c r="Q56" s="28" t="str">
        <f t="shared" si="9"/>
        <v>212Moto Club - MA</v>
      </c>
      <c r="R56" s="28" t="str">
        <f>VLOOKUP(A56,'JOGOS BASE'!A:H,8)</f>
        <v>12.01.2025 - Moto Club - MA x Maranhão - MA</v>
      </c>
    </row>
    <row r="57" spans="1:18" ht="30.6" hidden="1">
      <c r="A57" s="15">
        <v>2</v>
      </c>
      <c r="B57" s="46">
        <v>13</v>
      </c>
      <c r="C57" s="45" t="s">
        <v>196</v>
      </c>
      <c r="D57" s="45" t="s">
        <v>197</v>
      </c>
      <c r="E57" s="47" t="s">
        <v>42</v>
      </c>
      <c r="F57" s="47" t="s">
        <v>56</v>
      </c>
      <c r="G57" s="46">
        <v>752830</v>
      </c>
      <c r="H57" s="15" t="s">
        <v>273</v>
      </c>
      <c r="I57" s="26" t="str">
        <f t="shared" si="5"/>
        <v>Jeferson</v>
      </c>
      <c r="J57" s="26" t="str">
        <f t="shared" si="6"/>
        <v>2Moto Club - MA13</v>
      </c>
      <c r="K57" s="27" t="str">
        <f>IFERROR(VLOOKUP(J57,Substituicoes!J:J,1,0),"SS")</f>
        <v>SS</v>
      </c>
      <c r="L57" s="27" t="str">
        <f>IFERROR(VLOOKUP(J57,Substituicoes!K:K,1,0),"SS")</f>
        <v>SS</v>
      </c>
      <c r="M57" s="28" t="b">
        <f t="shared" si="7"/>
        <v>1</v>
      </c>
      <c r="N57" s="29">
        <f>IF(AND(K57=L57,LEFT(E57,1)="T"),VLOOKUP(A57,'JOGOS BASE'!A:E,4,0),IF(K57=J57,VLOOKUP(J57,Substituicoes!J:R,6,0),IF(L57=J57,VLOOKUP(Escalacao!J57,Substituicoes!K:R,7,0),0)))</f>
        <v>0</v>
      </c>
      <c r="O57" s="28">
        <f>IF(AND(K57=L57,LEFT(E57,1)="T"),VLOOKUP(A57,'JOGOS BASE'!A:E,5,0),IF(K57=J57,VLOOKUP(J57,Substituicoes!J:R,7,0),IF(L57=J57,VLOOKUP(Escalacao!J57,Substituicoes!K:R,8,0),0)))</f>
        <v>0</v>
      </c>
      <c r="P57" s="28">
        <f t="shared" si="8"/>
        <v>0</v>
      </c>
      <c r="Q57" s="28" t="str">
        <f t="shared" si="9"/>
        <v>213Moto Club - MA</v>
      </c>
      <c r="R57" s="28" t="str">
        <f>VLOOKUP(A57,'JOGOS BASE'!A:H,8)</f>
        <v>12.01.2025 - Moto Club - MA x Maranhão - MA</v>
      </c>
    </row>
    <row r="58" spans="1:18" ht="30.6" hidden="1">
      <c r="A58" s="15">
        <v>2</v>
      </c>
      <c r="B58" s="46">
        <v>15</v>
      </c>
      <c r="C58" s="45" t="s">
        <v>198</v>
      </c>
      <c r="D58" s="45" t="s">
        <v>199</v>
      </c>
      <c r="E58" s="47" t="s">
        <v>42</v>
      </c>
      <c r="F58" s="47" t="s">
        <v>24</v>
      </c>
      <c r="G58" s="46">
        <v>647538</v>
      </c>
      <c r="H58" s="15" t="s">
        <v>273</v>
      </c>
      <c r="I58" s="26" t="str">
        <f t="shared" si="5"/>
        <v>Mauricio G ...</v>
      </c>
      <c r="J58" s="26" t="str">
        <f t="shared" si="6"/>
        <v>2Moto Club - MA15</v>
      </c>
      <c r="K58" s="27" t="str">
        <f>IFERROR(VLOOKUP(J58,Substituicoes!J:J,1,0),"SS")</f>
        <v>2Moto Club - MA15</v>
      </c>
      <c r="L58" s="27" t="str">
        <f>IFERROR(VLOOKUP(J58,Substituicoes!K:K,1,0),"SS")</f>
        <v>SS</v>
      </c>
      <c r="M58" s="28" t="b">
        <f t="shared" si="7"/>
        <v>0</v>
      </c>
      <c r="N58" s="29">
        <f>IF(AND(K58=L58,LEFT(E58,1)="T"),VLOOKUP(A58,'JOGOS BASE'!A:E,4,0),IF(K58=J58,VLOOKUP(J58,Substituicoes!J:R,6,0),IF(L58=J58,VLOOKUP(Escalacao!J58,Substituicoes!K:R,7,0),0)))</f>
        <v>0</v>
      </c>
      <c r="O58" s="28">
        <f>IF(AND(K58=L58,LEFT(E58,1)="T"),VLOOKUP(A58,'JOGOS BASE'!A:E,5,0),IF(K58=J58,VLOOKUP(J58,Substituicoes!J:R,7,0),IF(L58=J58,VLOOKUP(Escalacao!J58,Substituicoes!K:R,8,0),0)))</f>
        <v>35</v>
      </c>
      <c r="P58" s="28">
        <f t="shared" si="8"/>
        <v>35</v>
      </c>
      <c r="Q58" s="28" t="str">
        <f t="shared" si="9"/>
        <v>215Moto Club - MA</v>
      </c>
      <c r="R58" s="28" t="str">
        <f>VLOOKUP(A58,'JOGOS BASE'!A:H,8)</f>
        <v>12.01.2025 - Moto Club - MA x Maranhão - MA</v>
      </c>
    </row>
    <row r="59" spans="1:18" ht="30.6" hidden="1">
      <c r="A59" s="15">
        <v>2</v>
      </c>
      <c r="B59" s="46">
        <v>16</v>
      </c>
      <c r="C59" s="45" t="s">
        <v>200</v>
      </c>
      <c r="D59" s="45" t="s">
        <v>201</v>
      </c>
      <c r="E59" s="47" t="s">
        <v>42</v>
      </c>
      <c r="F59" s="47" t="s">
        <v>24</v>
      </c>
      <c r="G59" s="46">
        <v>500772</v>
      </c>
      <c r="H59" s="15" t="s">
        <v>273</v>
      </c>
      <c r="I59" s="26" t="str">
        <f t="shared" si="5"/>
        <v>Matheus Silva</v>
      </c>
      <c r="J59" s="26" t="str">
        <f t="shared" si="6"/>
        <v>2Moto Club - MA16</v>
      </c>
      <c r="K59" s="27" t="str">
        <f>IFERROR(VLOOKUP(J59,Substituicoes!J:J,1,0),"SS")</f>
        <v>2Moto Club - MA16</v>
      </c>
      <c r="L59" s="27" t="str">
        <f>IFERROR(VLOOKUP(J59,Substituicoes!K:K,1,0),"SS")</f>
        <v>SS</v>
      </c>
      <c r="M59" s="28" t="b">
        <f t="shared" si="7"/>
        <v>0</v>
      </c>
      <c r="N59" s="29">
        <f>IF(AND(K59=L59,LEFT(E59,1)="T"),VLOOKUP(A59,'JOGOS BASE'!A:E,4,0),IF(K59=J59,VLOOKUP(J59,Substituicoes!J:R,6,0),IF(L59=J59,VLOOKUP(Escalacao!J59,Substituicoes!K:R,7,0),0)))</f>
        <v>0</v>
      </c>
      <c r="O59" s="28">
        <f>IF(AND(K59=L59,LEFT(E59,1)="T"),VLOOKUP(A59,'JOGOS BASE'!A:E,5,0),IF(K59=J59,VLOOKUP(J59,Substituicoes!J:R,7,0),IF(L59=J59,VLOOKUP(Escalacao!J59,Substituicoes!K:R,8,0),0)))</f>
        <v>30</v>
      </c>
      <c r="P59" s="28">
        <f t="shared" si="8"/>
        <v>30</v>
      </c>
      <c r="Q59" s="28" t="str">
        <f t="shared" si="9"/>
        <v>216Moto Club - MA</v>
      </c>
      <c r="R59" s="28" t="str">
        <f>VLOOKUP(A59,'JOGOS BASE'!A:H,8)</f>
        <v>12.01.2025 - Moto Club - MA x Maranhão - MA</v>
      </c>
    </row>
    <row r="60" spans="1:18" ht="30.6" hidden="1">
      <c r="A60" s="15">
        <v>2</v>
      </c>
      <c r="B60" s="46">
        <v>17</v>
      </c>
      <c r="C60" s="45" t="s">
        <v>202</v>
      </c>
      <c r="D60" s="45" t="s">
        <v>203</v>
      </c>
      <c r="E60" s="47" t="s">
        <v>42</v>
      </c>
      <c r="F60" s="47" t="s">
        <v>24</v>
      </c>
      <c r="G60" s="46">
        <v>408375</v>
      </c>
      <c r="H60" s="15" t="s">
        <v>273</v>
      </c>
      <c r="I60" s="26" t="str">
        <f t="shared" si="5"/>
        <v>Wesley</v>
      </c>
      <c r="J60" s="26" t="str">
        <f t="shared" si="6"/>
        <v>2Moto Club - MA17</v>
      </c>
      <c r="K60" s="27" t="str">
        <f>IFERROR(VLOOKUP(J60,Substituicoes!J:J,1,0),"SS")</f>
        <v>2Moto Club - MA17</v>
      </c>
      <c r="L60" s="27" t="str">
        <f>IFERROR(VLOOKUP(J60,Substituicoes!K:K,1,0),"SS")</f>
        <v>SS</v>
      </c>
      <c r="M60" s="28" t="b">
        <f t="shared" si="7"/>
        <v>0</v>
      </c>
      <c r="N60" s="29">
        <f>IF(AND(K60=L60,LEFT(E60,1)="T"),VLOOKUP(A60,'JOGOS BASE'!A:E,4,0),IF(K60=J60,VLOOKUP(J60,Substituicoes!J:R,6,0),IF(L60=J60,VLOOKUP(Escalacao!J60,Substituicoes!K:R,7,0),0)))</f>
        <v>0</v>
      </c>
      <c r="O60" s="28">
        <f>IF(AND(K60=L60,LEFT(E60,1)="T"),VLOOKUP(A60,'JOGOS BASE'!A:E,5,0),IF(K60=J60,VLOOKUP(J60,Substituicoes!J:R,7,0),IF(L60=J60,VLOOKUP(Escalacao!J60,Substituicoes!K:R,8,0),0)))</f>
        <v>26</v>
      </c>
      <c r="P60" s="28">
        <f t="shared" si="8"/>
        <v>26</v>
      </c>
      <c r="Q60" s="28" t="str">
        <f t="shared" si="9"/>
        <v>217Moto Club - MA</v>
      </c>
      <c r="R60" s="28" t="str">
        <f>VLOOKUP(A60,'JOGOS BASE'!A:H,8)</f>
        <v>12.01.2025 - Moto Club - MA x Maranhão - MA</v>
      </c>
    </row>
    <row r="61" spans="1:18" ht="20.399999999999999" hidden="1">
      <c r="A61" s="15">
        <v>2</v>
      </c>
      <c r="B61" s="46">
        <v>18</v>
      </c>
      <c r="C61" s="45" t="s">
        <v>204</v>
      </c>
      <c r="D61" s="45" t="s">
        <v>205</v>
      </c>
      <c r="E61" s="47" t="s">
        <v>42</v>
      </c>
      <c r="F61" s="47" t="s">
        <v>56</v>
      </c>
      <c r="G61" s="46">
        <v>790091</v>
      </c>
      <c r="H61" s="15" t="s">
        <v>273</v>
      </c>
      <c r="I61" s="26" t="str">
        <f t="shared" si="5"/>
        <v>LEANDERSO</v>
      </c>
      <c r="J61" s="26" t="str">
        <f t="shared" si="6"/>
        <v>2Moto Club - MA18</v>
      </c>
      <c r="K61" s="27" t="str">
        <f>IFERROR(VLOOKUP(J61,Substituicoes!J:J,1,0),"SS")</f>
        <v>SS</v>
      </c>
      <c r="L61" s="27" t="str">
        <f>IFERROR(VLOOKUP(J61,Substituicoes!K:K,1,0),"SS")</f>
        <v>SS</v>
      </c>
      <c r="M61" s="28" t="b">
        <f t="shared" si="7"/>
        <v>1</v>
      </c>
      <c r="N61" s="29">
        <f>IF(AND(K61=L61,LEFT(E61,1)="T"),VLOOKUP(A61,'JOGOS BASE'!A:E,4,0),IF(K61=J61,VLOOKUP(J61,Substituicoes!J:R,6,0),IF(L61=J61,VLOOKUP(Escalacao!J61,Substituicoes!K:R,7,0),0)))</f>
        <v>0</v>
      </c>
      <c r="O61" s="28">
        <f>IF(AND(K61=L61,LEFT(E61,1)="T"),VLOOKUP(A61,'JOGOS BASE'!A:E,5,0),IF(K61=J61,VLOOKUP(J61,Substituicoes!J:R,7,0),IF(L61=J61,VLOOKUP(Escalacao!J61,Substituicoes!K:R,8,0),0)))</f>
        <v>0</v>
      </c>
      <c r="P61" s="28">
        <f t="shared" si="8"/>
        <v>0</v>
      </c>
      <c r="Q61" s="28" t="str">
        <f t="shared" si="9"/>
        <v>218Moto Club - MA</v>
      </c>
      <c r="R61" s="28" t="str">
        <f>VLOOKUP(A61,'JOGOS BASE'!A:H,8)</f>
        <v>12.01.2025 - Moto Club - MA x Maranhão - MA</v>
      </c>
    </row>
    <row r="62" spans="1:18" ht="30.6" hidden="1">
      <c r="A62" s="15">
        <v>2</v>
      </c>
      <c r="B62" s="46">
        <v>19</v>
      </c>
      <c r="C62" s="45" t="s">
        <v>206</v>
      </c>
      <c r="D62" s="45" t="s">
        <v>207</v>
      </c>
      <c r="E62" s="47" t="s">
        <v>42</v>
      </c>
      <c r="F62" s="47" t="s">
        <v>24</v>
      </c>
      <c r="G62" s="46">
        <v>597469</v>
      </c>
      <c r="H62" s="15" t="s">
        <v>273</v>
      </c>
      <c r="I62" s="26" t="str">
        <f t="shared" si="5"/>
        <v>Warllem</v>
      </c>
      <c r="J62" s="26" t="str">
        <f>A62&amp;H62&amp;B62</f>
        <v>2Moto Club - MA19</v>
      </c>
      <c r="K62" s="27" t="str">
        <f>IFERROR(VLOOKUP(J62,Substituicoes!J:J,1,0),"SS")</f>
        <v>2Moto Club - MA19</v>
      </c>
      <c r="L62" s="27" t="str">
        <f>IFERROR(VLOOKUP(J62,Substituicoes!K:K,1,0),"SS")</f>
        <v>SS</v>
      </c>
      <c r="M62" s="28" t="b">
        <f t="shared" si="7"/>
        <v>0</v>
      </c>
      <c r="N62" s="29">
        <f>IF(AND(K62=L62,LEFT(E62,1)="T"),VLOOKUP(A62,'JOGOS BASE'!A:E,4,0),IF(K62=J62,VLOOKUP(J62,Substituicoes!J:R,6,0),IF(L62=J62,VLOOKUP(Escalacao!J62,Substituicoes!K:R,7,0),0)))</f>
        <v>0</v>
      </c>
      <c r="O62" s="28">
        <f>IF(AND(K62=L62,LEFT(E62,1)="T"),VLOOKUP(A62,'JOGOS BASE'!A:E,5,0),IF(K62=J62,VLOOKUP(J62,Substituicoes!J:R,7,0),IF(L62=J62,VLOOKUP(Escalacao!J62,Substituicoes!K:R,8,0),0)))</f>
        <v>35</v>
      </c>
      <c r="P62" s="28">
        <f t="shared" si="8"/>
        <v>35</v>
      </c>
      <c r="Q62" s="28" t="str">
        <f t="shared" si="9"/>
        <v>219Moto Club - MA</v>
      </c>
      <c r="R62" s="28" t="str">
        <f>VLOOKUP(A62,'JOGOS BASE'!A:H,8)</f>
        <v>12.01.2025 - Moto Club - MA x Maranhão - MA</v>
      </c>
    </row>
    <row r="63" spans="1:18" ht="30.6" hidden="1">
      <c r="A63" s="15">
        <v>2</v>
      </c>
      <c r="B63" s="46">
        <v>20</v>
      </c>
      <c r="C63" s="45" t="s">
        <v>208</v>
      </c>
      <c r="D63" s="45" t="s">
        <v>209</v>
      </c>
      <c r="E63" s="47" t="s">
        <v>42</v>
      </c>
      <c r="F63" s="47" t="s">
        <v>24</v>
      </c>
      <c r="G63" s="46">
        <v>610535</v>
      </c>
      <c r="H63" s="15" t="s">
        <v>273</v>
      </c>
      <c r="I63" s="26" t="str">
        <f t="shared" si="5"/>
        <v>Paulo Renato</v>
      </c>
      <c r="J63" s="26" t="str">
        <f t="shared" si="6"/>
        <v>2Moto Club - MA20</v>
      </c>
      <c r="K63" s="27" t="str">
        <f>IFERROR(VLOOKUP(J63,Substituicoes!J:J,1,0),"SS")</f>
        <v>2Moto Club - MA20</v>
      </c>
      <c r="L63" s="27" t="str">
        <f>IFERROR(VLOOKUP(J63,Substituicoes!K:K,1,0),"SS")</f>
        <v>SS</v>
      </c>
      <c r="M63" s="28" t="b">
        <f t="shared" si="7"/>
        <v>0</v>
      </c>
      <c r="N63" s="29">
        <f>IF(AND(K63=L63,LEFT(E63,1)="T"),VLOOKUP(A63,'JOGOS BASE'!A:E,4,0),IF(K63=J63,VLOOKUP(J63,Substituicoes!J:R,6,0),IF(L63=J63,VLOOKUP(Escalacao!J63,Substituicoes!K:R,7,0),0)))</f>
        <v>0</v>
      </c>
      <c r="O63" s="28">
        <f>IF(AND(K63=L63,LEFT(E63,1)="T"),VLOOKUP(A63,'JOGOS BASE'!A:E,5,0),IF(K63=J63,VLOOKUP(J63,Substituicoes!J:R,7,0),IF(L63=J63,VLOOKUP(Escalacao!J63,Substituicoes!K:R,8,0),0)))</f>
        <v>26</v>
      </c>
      <c r="P63" s="28">
        <f t="shared" si="8"/>
        <v>26</v>
      </c>
      <c r="Q63" s="28" t="str">
        <f t="shared" si="9"/>
        <v>220Moto Club - MA</v>
      </c>
      <c r="R63" s="28" t="str">
        <f>VLOOKUP(A63,'JOGOS BASE'!A:H,8)</f>
        <v>12.01.2025 - Moto Club - MA x Maranhão - MA</v>
      </c>
    </row>
    <row r="64" spans="1:18" ht="30.6" hidden="1">
      <c r="A64" s="15">
        <v>2</v>
      </c>
      <c r="B64" s="46">
        <v>21</v>
      </c>
      <c r="C64" s="45" t="s">
        <v>210</v>
      </c>
      <c r="D64" s="45" t="s">
        <v>211</v>
      </c>
      <c r="E64" s="47" t="s">
        <v>42</v>
      </c>
      <c r="F64" s="47" t="s">
        <v>24</v>
      </c>
      <c r="G64" s="46">
        <v>605965</v>
      </c>
      <c r="H64" s="15" t="s">
        <v>273</v>
      </c>
      <c r="I64" s="26" t="str">
        <f t="shared" si="5"/>
        <v>MATHEUS</v>
      </c>
      <c r="J64" s="26" t="str">
        <f t="shared" si="6"/>
        <v>2Moto Club - MA21</v>
      </c>
      <c r="K64" s="27" t="str">
        <f>IFERROR(VLOOKUP(J64,Substituicoes!J:J,1,0),"SS")</f>
        <v>SS</v>
      </c>
      <c r="L64" s="27" t="str">
        <f>IFERROR(VLOOKUP(J64,Substituicoes!K:K,1,0),"SS")</f>
        <v>SS</v>
      </c>
      <c r="M64" s="28" t="b">
        <f t="shared" si="7"/>
        <v>1</v>
      </c>
      <c r="N64" s="29">
        <f>IF(AND(K64=L64,LEFT(E64,1)="T"),VLOOKUP(A64,'JOGOS BASE'!A:E,4,0),IF(K64=J64,VLOOKUP(J64,Substituicoes!J:R,6,0),IF(L64=J64,VLOOKUP(Escalacao!J64,Substituicoes!K:R,7,0),0)))</f>
        <v>0</v>
      </c>
      <c r="O64" s="28">
        <f>IF(AND(K64=L64,LEFT(E64,1)="T"),VLOOKUP(A64,'JOGOS BASE'!A:E,5,0),IF(K64=J64,VLOOKUP(J64,Substituicoes!J:R,7,0),IF(L64=J64,VLOOKUP(Escalacao!J64,Substituicoes!K:R,8,0),0)))</f>
        <v>0</v>
      </c>
      <c r="P64" s="28">
        <f t="shared" si="8"/>
        <v>0</v>
      </c>
      <c r="Q64" s="28" t="str">
        <f t="shared" si="9"/>
        <v>221Moto Club - MA</v>
      </c>
      <c r="R64" s="28" t="str">
        <f>VLOOKUP(A64,'JOGOS BASE'!A:H,8)</f>
        <v>12.01.2025 - Moto Club - MA x Maranhão - MA</v>
      </c>
    </row>
    <row r="65" spans="1:18" ht="20.399999999999999" hidden="1">
      <c r="A65" s="15">
        <v>2</v>
      </c>
      <c r="B65" s="46">
        <v>23</v>
      </c>
      <c r="C65" s="45" t="s">
        <v>212</v>
      </c>
      <c r="D65" s="45" t="s">
        <v>213</v>
      </c>
      <c r="E65" s="47" t="s">
        <v>42</v>
      </c>
      <c r="F65" s="47" t="s">
        <v>24</v>
      </c>
      <c r="G65" s="46">
        <v>423057</v>
      </c>
      <c r="H65" s="15" t="s">
        <v>273</v>
      </c>
      <c r="I65" s="26" t="str">
        <f t="shared" si="5"/>
        <v>Vanilton</v>
      </c>
      <c r="J65" s="26" t="str">
        <f t="shared" si="6"/>
        <v>2Moto Club - MA23</v>
      </c>
      <c r="K65" s="27" t="str">
        <f>IFERROR(VLOOKUP(J65,Substituicoes!J:J,1,0),"SS")</f>
        <v>SS</v>
      </c>
      <c r="L65" s="27" t="str">
        <f>IFERROR(VLOOKUP(J65,Substituicoes!K:K,1,0),"SS")</f>
        <v>SS</v>
      </c>
      <c r="M65" s="28" t="b">
        <f t="shared" si="7"/>
        <v>1</v>
      </c>
      <c r="N65" s="29">
        <f>IF(AND(K65=L65,LEFT(E65,1)="T"),VLOOKUP(A65,'JOGOS BASE'!A:E,4,0),IF(K65=J65,VLOOKUP(J65,Substituicoes!J:R,6,0),IF(L65=J65,VLOOKUP(Escalacao!J65,Substituicoes!K:R,7,0),0)))</f>
        <v>0</v>
      </c>
      <c r="O65" s="28">
        <f>IF(AND(K65=L65,LEFT(E65,1)="T"),VLOOKUP(A65,'JOGOS BASE'!A:E,5,0),IF(K65=J65,VLOOKUP(J65,Substituicoes!J:R,7,0),IF(L65=J65,VLOOKUP(Escalacao!J65,Substituicoes!K:R,8,0),0)))</f>
        <v>0</v>
      </c>
      <c r="P65" s="28">
        <f t="shared" si="8"/>
        <v>0</v>
      </c>
      <c r="Q65" s="28" t="str">
        <f t="shared" si="9"/>
        <v>223Moto Club - MA</v>
      </c>
      <c r="R65" s="28" t="str">
        <f>VLOOKUP(A65,'JOGOS BASE'!A:H,8)</f>
        <v>12.01.2025 - Moto Club - MA x Maranhão - MA</v>
      </c>
    </row>
    <row r="66" spans="1:18" ht="20.399999999999999" hidden="1">
      <c r="A66" s="15">
        <v>2</v>
      </c>
      <c r="B66" s="46">
        <v>1</v>
      </c>
      <c r="C66" s="45" t="s">
        <v>214</v>
      </c>
      <c r="D66" s="45" t="s">
        <v>215</v>
      </c>
      <c r="E66" s="47" t="s">
        <v>23</v>
      </c>
      <c r="F66" s="47" t="s">
        <v>24</v>
      </c>
      <c r="G66" s="46">
        <v>343441</v>
      </c>
      <c r="H66" s="15" t="s">
        <v>260</v>
      </c>
      <c r="I66" s="26" t="str">
        <f t="shared" si="5"/>
        <v>Jean</v>
      </c>
      <c r="J66" s="26" t="str">
        <f t="shared" si="6"/>
        <v>2Maranhão - MA1</v>
      </c>
      <c r="K66" s="27" t="str">
        <f>IFERROR(VLOOKUP(J66,Substituicoes!J:J,1,0),"SS")</f>
        <v>SS</v>
      </c>
      <c r="L66" s="27" t="str">
        <f>IFERROR(VLOOKUP(J66,Substituicoes!K:K,1,0),"SS")</f>
        <v>SS</v>
      </c>
      <c r="M66" s="28" t="b">
        <f t="shared" si="7"/>
        <v>1</v>
      </c>
      <c r="N66" s="29">
        <f>IF(AND(K66=L66,LEFT(E66,1)="T"),VLOOKUP(A66,'JOGOS BASE'!A:E,4,0),IF(K66=J66,VLOOKUP(J66,Substituicoes!J:R,6,0),IF(L66=J66,VLOOKUP(Escalacao!J66,Substituicoes!K:R,7,0),0)))</f>
        <v>47</v>
      </c>
      <c r="O66" s="28">
        <f>IF(AND(K66=L66,LEFT(E66,1)="T"),VLOOKUP(A66,'JOGOS BASE'!A:E,5,0),IF(K66=J66,VLOOKUP(J66,Substituicoes!J:R,7,0),IF(L66=J66,VLOOKUP(Escalacao!J66,Substituicoes!K:R,8,0),0)))</f>
        <v>50</v>
      </c>
      <c r="P66" s="28">
        <f t="shared" si="8"/>
        <v>97</v>
      </c>
      <c r="Q66" s="28" t="str">
        <f t="shared" si="9"/>
        <v>21Maranhão - MA</v>
      </c>
      <c r="R66" s="28" t="str">
        <f>VLOOKUP(A66,'JOGOS BASE'!A:H,8)</f>
        <v>12.01.2025 - Moto Club - MA x Maranhão - MA</v>
      </c>
    </row>
    <row r="67" spans="1:18" ht="30.6" hidden="1">
      <c r="A67" s="15">
        <v>2</v>
      </c>
      <c r="B67" s="46">
        <v>2</v>
      </c>
      <c r="C67" s="45" t="s">
        <v>216</v>
      </c>
      <c r="D67" s="45" t="s">
        <v>217</v>
      </c>
      <c r="E67" s="47" t="s">
        <v>26</v>
      </c>
      <c r="F67" s="47" t="s">
        <v>24</v>
      </c>
      <c r="G67" s="46">
        <v>359014</v>
      </c>
      <c r="H67" s="15" t="s">
        <v>260</v>
      </c>
      <c r="I67" s="26" t="str">
        <f t="shared" si="5"/>
        <v>Franklin</v>
      </c>
      <c r="J67" s="26" t="str">
        <f t="shared" si="6"/>
        <v>2Maranhão - MA2</v>
      </c>
      <c r="K67" s="27" t="str">
        <f>IFERROR(VLOOKUP(J67,Substituicoes!J:J,1,0),"SS")</f>
        <v>SS</v>
      </c>
      <c r="L67" s="27" t="str">
        <f>IFERROR(VLOOKUP(J67,Substituicoes!K:K,1,0),"SS")</f>
        <v>2Maranhão - MA2</v>
      </c>
      <c r="M67" s="28" t="b">
        <f t="shared" si="7"/>
        <v>0</v>
      </c>
      <c r="N67" s="29">
        <f>IF(AND(K67=L67,LEFT(E67,1)="T"),VLOOKUP(A67,'JOGOS BASE'!A:E,4,0),IF(K67=J67,VLOOKUP(J67,Substituicoes!J:R,6,0),IF(L67=J67,VLOOKUP(Escalacao!J67,Substituicoes!K:R,7,0),0)))</f>
        <v>47</v>
      </c>
      <c r="O67" s="28">
        <f>IF(AND(K67=L67,LEFT(E67,1)="T"),VLOOKUP(A67,'JOGOS BASE'!A:E,5,0),IF(K67=J67,VLOOKUP(J67,Substituicoes!J:R,7,0),IF(L67=J67,VLOOKUP(Escalacao!J67,Substituicoes!K:R,8,0),0)))</f>
        <v>23</v>
      </c>
      <c r="P67" s="28">
        <f t="shared" si="8"/>
        <v>70</v>
      </c>
      <c r="Q67" s="28" t="str">
        <f t="shared" si="9"/>
        <v>22Maranhão - MA</v>
      </c>
      <c r="R67" s="28" t="str">
        <f>VLOOKUP(A67,'JOGOS BASE'!A:H,8)</f>
        <v>12.01.2025 - Moto Club - MA x Maranhão - MA</v>
      </c>
    </row>
    <row r="68" spans="1:18" ht="30.6" hidden="1">
      <c r="A68" s="15">
        <v>2</v>
      </c>
      <c r="B68" s="46">
        <v>3</v>
      </c>
      <c r="C68" s="45" t="s">
        <v>218</v>
      </c>
      <c r="D68" s="45" t="s">
        <v>219</v>
      </c>
      <c r="E68" s="47" t="s">
        <v>26</v>
      </c>
      <c r="F68" s="47" t="s">
        <v>24</v>
      </c>
      <c r="G68" s="46">
        <v>401846</v>
      </c>
      <c r="H68" s="15" t="s">
        <v>260</v>
      </c>
      <c r="I68" s="26" t="str">
        <f t="shared" si="5"/>
        <v>Luiz Fernando</v>
      </c>
      <c r="J68" s="26" t="str">
        <f t="shared" si="6"/>
        <v>2Maranhão - MA3</v>
      </c>
      <c r="K68" s="27" t="str">
        <f>IFERROR(VLOOKUP(J68,Substituicoes!J:J,1,0),"SS")</f>
        <v>SS</v>
      </c>
      <c r="L68" s="27" t="str">
        <f>IFERROR(VLOOKUP(J68,Substituicoes!K:K,1,0),"SS")</f>
        <v>SS</v>
      </c>
      <c r="M68" s="28" t="b">
        <f t="shared" si="7"/>
        <v>1</v>
      </c>
      <c r="N68" s="29">
        <f>IF(AND(K68=L68,LEFT(E68,1)="T"),VLOOKUP(A68,'JOGOS BASE'!A:E,4,0),IF(K68=J68,VLOOKUP(J68,Substituicoes!J:R,6,0),IF(L68=J68,VLOOKUP(Escalacao!J68,Substituicoes!K:R,7,0),0)))</f>
        <v>47</v>
      </c>
      <c r="O68" s="28">
        <f>IF(AND(K68=L68,LEFT(E68,1)="T"),VLOOKUP(A68,'JOGOS BASE'!A:E,5,0),IF(K68=J68,VLOOKUP(J68,Substituicoes!J:R,7,0),IF(L68=J68,VLOOKUP(Escalacao!J68,Substituicoes!K:R,8,0),0)))</f>
        <v>50</v>
      </c>
      <c r="P68" s="28">
        <f t="shared" si="8"/>
        <v>97</v>
      </c>
      <c r="Q68" s="28" t="str">
        <f t="shared" si="9"/>
        <v>23Maranhão - MA</v>
      </c>
      <c r="R68" s="28" t="str">
        <f>VLOOKUP(A68,'JOGOS BASE'!A:H,8)</f>
        <v>12.01.2025 - Moto Club - MA x Maranhão - MA</v>
      </c>
    </row>
    <row r="69" spans="1:18" ht="30.6" hidden="1">
      <c r="A69" s="15">
        <v>2</v>
      </c>
      <c r="B69" s="46">
        <v>4</v>
      </c>
      <c r="C69" s="45" t="s">
        <v>220</v>
      </c>
      <c r="D69" s="45" t="s">
        <v>221</v>
      </c>
      <c r="E69" s="47" t="s">
        <v>26</v>
      </c>
      <c r="F69" s="47" t="s">
        <v>24</v>
      </c>
      <c r="G69" s="46">
        <v>465714</v>
      </c>
      <c r="H69" s="15" t="s">
        <v>260</v>
      </c>
      <c r="I69" s="26" t="str">
        <f t="shared" si="5"/>
        <v>Maicon</v>
      </c>
      <c r="J69" s="26" t="str">
        <f t="shared" si="6"/>
        <v>2Maranhão - MA4</v>
      </c>
      <c r="K69" s="27" t="str">
        <f>IFERROR(VLOOKUP(J69,Substituicoes!J:J,1,0),"SS")</f>
        <v>SS</v>
      </c>
      <c r="L69" s="27" t="str">
        <f>IFERROR(VLOOKUP(J69,Substituicoes!K:K,1,0),"SS")</f>
        <v>SS</v>
      </c>
      <c r="M69" s="28" t="b">
        <f t="shared" si="7"/>
        <v>1</v>
      </c>
      <c r="N69" s="29">
        <f>IF(AND(K69=L69,LEFT(E69,1)="T"),VLOOKUP(A69,'JOGOS BASE'!A:E,4,0),IF(K69=J69,VLOOKUP(J69,Substituicoes!J:R,6,0),IF(L69=J69,VLOOKUP(Escalacao!J69,Substituicoes!K:R,7,0),0)))</f>
        <v>47</v>
      </c>
      <c r="O69" s="28">
        <f>IF(AND(K69=L69,LEFT(E69,1)="T"),VLOOKUP(A69,'JOGOS BASE'!A:E,5,0),IF(K69=J69,VLOOKUP(J69,Substituicoes!J:R,7,0),IF(L69=J69,VLOOKUP(Escalacao!J69,Substituicoes!K:R,8,0),0)))</f>
        <v>50</v>
      </c>
      <c r="P69" s="28">
        <f t="shared" si="8"/>
        <v>97</v>
      </c>
      <c r="Q69" s="28" t="str">
        <f t="shared" si="9"/>
        <v>24Maranhão - MA</v>
      </c>
      <c r="R69" s="28" t="str">
        <f>VLOOKUP(A69,'JOGOS BASE'!A:H,8)</f>
        <v>12.01.2025 - Moto Club - MA x Maranhão - MA</v>
      </c>
    </row>
    <row r="70" spans="1:18" ht="20.399999999999999" hidden="1">
      <c r="A70" s="15">
        <v>2</v>
      </c>
      <c r="B70" s="46">
        <v>5</v>
      </c>
      <c r="C70" s="45" t="s">
        <v>222</v>
      </c>
      <c r="D70" s="45" t="s">
        <v>223</v>
      </c>
      <c r="E70" s="47" t="s">
        <v>26</v>
      </c>
      <c r="F70" s="47" t="s">
        <v>24</v>
      </c>
      <c r="G70" s="46">
        <v>320815</v>
      </c>
      <c r="H70" s="15" t="s">
        <v>260</v>
      </c>
      <c r="I70" s="26" t="str">
        <f t="shared" si="5"/>
        <v>Rodrigo Co ...</v>
      </c>
      <c r="J70" s="26" t="str">
        <f t="shared" si="6"/>
        <v>2Maranhão - MA5</v>
      </c>
      <c r="K70" s="27" t="str">
        <f>IFERROR(VLOOKUP(J70,Substituicoes!J:J,1,0),"SS")</f>
        <v>SS</v>
      </c>
      <c r="L70" s="27" t="str">
        <f>IFERROR(VLOOKUP(J70,Substituicoes!K:K,1,0),"SS")</f>
        <v>SS</v>
      </c>
      <c r="M70" s="28" t="b">
        <f t="shared" si="7"/>
        <v>1</v>
      </c>
      <c r="N70" s="29">
        <f>IF(AND(K70=L70,LEFT(E70,1)="T"),VLOOKUP(A70,'JOGOS BASE'!A:E,4,0),IF(K70=J70,VLOOKUP(J70,Substituicoes!J:R,6,0),IF(L70=J70,VLOOKUP(Escalacao!J70,Substituicoes!K:R,7,0),0)))</f>
        <v>47</v>
      </c>
      <c r="O70" s="28">
        <f>IF(AND(K70=L70,LEFT(E70,1)="T"),VLOOKUP(A70,'JOGOS BASE'!A:E,5,0),IF(K70=J70,VLOOKUP(J70,Substituicoes!J:R,7,0),IF(L70=J70,VLOOKUP(Escalacao!J70,Substituicoes!K:R,8,0),0)))</f>
        <v>50</v>
      </c>
      <c r="P70" s="28">
        <f t="shared" si="8"/>
        <v>97</v>
      </c>
      <c r="Q70" s="28" t="str">
        <f t="shared" si="9"/>
        <v>25Maranhão - MA</v>
      </c>
      <c r="R70" s="28" t="str">
        <f>VLOOKUP(A70,'JOGOS BASE'!A:H,8)</f>
        <v>12.01.2025 - Moto Club - MA x Maranhão - MA</v>
      </c>
    </row>
    <row r="71" spans="1:18" ht="30.6" hidden="1">
      <c r="A71" s="15">
        <v>2</v>
      </c>
      <c r="B71" s="46">
        <v>6</v>
      </c>
      <c r="C71" s="45" t="s">
        <v>224</v>
      </c>
      <c r="D71" s="45" t="s">
        <v>225</v>
      </c>
      <c r="E71" s="47" t="s">
        <v>26</v>
      </c>
      <c r="F71" s="47" t="s">
        <v>24</v>
      </c>
      <c r="G71" s="46">
        <v>414464</v>
      </c>
      <c r="H71" s="15" t="s">
        <v>260</v>
      </c>
      <c r="I71" s="26" t="str">
        <f t="shared" si="5"/>
        <v>Andre</v>
      </c>
      <c r="J71" s="26" t="str">
        <f t="shared" si="6"/>
        <v>2Maranhão - MA6</v>
      </c>
      <c r="K71" s="27" t="str">
        <f>IFERROR(VLOOKUP(J71,Substituicoes!J:J,1,0),"SS")</f>
        <v>SS</v>
      </c>
      <c r="L71" s="27" t="str">
        <f>IFERROR(VLOOKUP(J71,Substituicoes!K:K,1,0),"SS")</f>
        <v>SS</v>
      </c>
      <c r="M71" s="28" t="b">
        <f t="shared" si="7"/>
        <v>1</v>
      </c>
      <c r="N71" s="29">
        <f>IF(AND(K71=L71,LEFT(E71,1)="T"),VLOOKUP(A71,'JOGOS BASE'!A:E,4,0),IF(K71=J71,VLOOKUP(J71,Substituicoes!J:R,6,0),IF(L71=J71,VLOOKUP(Escalacao!J71,Substituicoes!K:R,7,0),0)))</f>
        <v>47</v>
      </c>
      <c r="O71" s="28">
        <f>IF(AND(K71=L71,LEFT(E71,1)="T"),VLOOKUP(A71,'JOGOS BASE'!A:E,5,0),IF(K71=J71,VLOOKUP(J71,Substituicoes!J:R,7,0),IF(L71=J71,VLOOKUP(Escalacao!J71,Substituicoes!K:R,8,0),0)))</f>
        <v>50</v>
      </c>
      <c r="P71" s="28">
        <f t="shared" si="8"/>
        <v>97</v>
      </c>
      <c r="Q71" s="28" t="str">
        <f t="shared" si="9"/>
        <v>26Maranhão - MA</v>
      </c>
      <c r="R71" s="28" t="str">
        <f>VLOOKUP(A71,'JOGOS BASE'!A:H,8)</f>
        <v>12.01.2025 - Moto Club - MA x Maranhão - MA</v>
      </c>
    </row>
    <row r="72" spans="1:18" ht="30.6" hidden="1">
      <c r="A72" s="15">
        <v>2</v>
      </c>
      <c r="B72" s="46">
        <v>8</v>
      </c>
      <c r="C72" s="45" t="s">
        <v>226</v>
      </c>
      <c r="D72" s="45" t="s">
        <v>227</v>
      </c>
      <c r="E72" s="47" t="s">
        <v>26</v>
      </c>
      <c r="F72" s="47" t="s">
        <v>24</v>
      </c>
      <c r="G72" s="46">
        <v>545796</v>
      </c>
      <c r="H72" s="15" t="s">
        <v>260</v>
      </c>
      <c r="I72" s="26" t="str">
        <f t="shared" si="5"/>
        <v>Railson</v>
      </c>
      <c r="J72" s="26" t="str">
        <f t="shared" si="6"/>
        <v>2Maranhão - MA8</v>
      </c>
      <c r="K72" s="27" t="str">
        <f>IFERROR(VLOOKUP(J72,Substituicoes!J:J,1,0),"SS")</f>
        <v>SS</v>
      </c>
      <c r="L72" s="27" t="str">
        <f>IFERROR(VLOOKUP(J72,Substituicoes!K:K,1,0),"SS")</f>
        <v>2Maranhão - MA8</v>
      </c>
      <c r="M72" s="28" t="b">
        <f t="shared" si="7"/>
        <v>0</v>
      </c>
      <c r="N72" s="29">
        <f>IF(AND(K72=L72,LEFT(E72,1)="T"),VLOOKUP(A72,'JOGOS BASE'!A:E,4,0),IF(K72=J72,VLOOKUP(J72,Substituicoes!J:R,6,0),IF(L72=J72,VLOOKUP(Escalacao!J72,Substituicoes!K:R,7,0),0)))</f>
        <v>47</v>
      </c>
      <c r="O72" s="28">
        <f>IF(AND(K72=L72,LEFT(E72,1)="T"),VLOOKUP(A72,'JOGOS BASE'!A:E,5,0),IF(K72=J72,VLOOKUP(J72,Substituicoes!J:R,7,0),IF(L72=J72,VLOOKUP(Escalacao!J72,Substituicoes!K:R,8,0),0)))</f>
        <v>0</v>
      </c>
      <c r="P72" s="28">
        <f t="shared" si="8"/>
        <v>47</v>
      </c>
      <c r="Q72" s="28" t="str">
        <f t="shared" si="9"/>
        <v>28Maranhão - MA</v>
      </c>
      <c r="R72" s="28" t="str">
        <f>VLOOKUP(A72,'JOGOS BASE'!A:H,8)</f>
        <v>12.01.2025 - Moto Club - MA x Maranhão - MA</v>
      </c>
    </row>
    <row r="73" spans="1:18" ht="30.6" hidden="1">
      <c r="A73" s="15">
        <v>2</v>
      </c>
      <c r="B73" s="46">
        <v>9</v>
      </c>
      <c r="C73" s="45" t="s">
        <v>228</v>
      </c>
      <c r="D73" s="45" t="s">
        <v>229</v>
      </c>
      <c r="E73" s="47" t="s">
        <v>26</v>
      </c>
      <c r="F73" s="47" t="s">
        <v>24</v>
      </c>
      <c r="G73" s="46">
        <v>610235</v>
      </c>
      <c r="H73" s="15" t="s">
        <v>260</v>
      </c>
      <c r="I73" s="26" t="str">
        <f t="shared" si="5"/>
        <v>loro</v>
      </c>
      <c r="J73" s="26" t="str">
        <f t="shared" si="6"/>
        <v>2Maranhão - MA9</v>
      </c>
      <c r="K73" s="27" t="str">
        <f>IFERROR(VLOOKUP(J73,Substituicoes!J:J,1,0),"SS")</f>
        <v>SS</v>
      </c>
      <c r="L73" s="27" t="str">
        <f>IFERROR(VLOOKUP(J73,Substituicoes!K:K,1,0),"SS")</f>
        <v>SS</v>
      </c>
      <c r="M73" s="28" t="b">
        <f t="shared" si="7"/>
        <v>1</v>
      </c>
      <c r="N73" s="29">
        <f>IF(AND(K73=L73,LEFT(E73,1)="T"),VLOOKUP(A73,'JOGOS BASE'!A:E,4,0),IF(K73=J73,VLOOKUP(J73,Substituicoes!J:R,6,0),IF(L73=J73,VLOOKUP(Escalacao!J73,Substituicoes!K:R,7,0),0)))</f>
        <v>47</v>
      </c>
      <c r="O73" s="28">
        <f>IF(AND(K73=L73,LEFT(E73,1)="T"),VLOOKUP(A73,'JOGOS BASE'!A:E,5,0),IF(K73=J73,VLOOKUP(J73,Substituicoes!J:R,7,0),IF(L73=J73,VLOOKUP(Escalacao!J73,Substituicoes!K:R,8,0),0)))</f>
        <v>50</v>
      </c>
      <c r="P73" s="28">
        <f t="shared" si="8"/>
        <v>97</v>
      </c>
      <c r="Q73" s="28" t="str">
        <f t="shared" si="9"/>
        <v>29Maranhão - MA</v>
      </c>
      <c r="R73" s="28" t="str">
        <f>VLOOKUP(A73,'JOGOS BASE'!A:H,8)</f>
        <v>12.01.2025 - Moto Club - MA x Maranhão - MA</v>
      </c>
    </row>
    <row r="74" spans="1:18" ht="30.6" hidden="1">
      <c r="A74" s="15">
        <v>2</v>
      </c>
      <c r="B74" s="46">
        <v>10</v>
      </c>
      <c r="C74" s="45" t="s">
        <v>230</v>
      </c>
      <c r="D74" s="45" t="s">
        <v>231</v>
      </c>
      <c r="E74" s="47" t="s">
        <v>26</v>
      </c>
      <c r="F74" s="47" t="s">
        <v>24</v>
      </c>
      <c r="G74" s="46">
        <v>699185</v>
      </c>
      <c r="H74" s="15" t="s">
        <v>260</v>
      </c>
      <c r="I74" s="26" t="str">
        <f t="shared" si="5"/>
        <v>Jorge Rocha</v>
      </c>
      <c r="J74" s="26" t="str">
        <f t="shared" si="6"/>
        <v>2Maranhão - MA10</v>
      </c>
      <c r="K74" s="27" t="str">
        <f>IFERROR(VLOOKUP(J74,Substituicoes!J:J,1,0),"SS")</f>
        <v>SS</v>
      </c>
      <c r="L74" s="27" t="str">
        <f>IFERROR(VLOOKUP(J74,Substituicoes!K:K,1,0),"SS")</f>
        <v>2Maranhão - MA10</v>
      </c>
      <c r="M74" s="28" t="b">
        <f t="shared" si="7"/>
        <v>0</v>
      </c>
      <c r="N74" s="29">
        <f>IF(AND(K74=L74,LEFT(E74,1)="T"),VLOOKUP(A74,'JOGOS BASE'!A:E,4,0),IF(K74=J74,VLOOKUP(J74,Substituicoes!J:R,6,0),IF(L74=J74,VLOOKUP(Escalacao!J74,Substituicoes!K:R,7,0),0)))</f>
        <v>47</v>
      </c>
      <c r="O74" s="28">
        <f>IF(AND(K74=L74,LEFT(E74,1)="T"),VLOOKUP(A74,'JOGOS BASE'!A:E,5,0),IF(K74=J74,VLOOKUP(J74,Substituicoes!J:R,7,0),IF(L74=J74,VLOOKUP(Escalacao!J74,Substituicoes!K:R,8,0),0)))</f>
        <v>0</v>
      </c>
      <c r="P74" s="28">
        <f t="shared" si="8"/>
        <v>47</v>
      </c>
      <c r="Q74" s="28" t="str">
        <f t="shared" si="9"/>
        <v>210Maranhão - MA</v>
      </c>
      <c r="R74" s="28" t="str">
        <f>VLOOKUP(A74,'JOGOS BASE'!A:H,8)</f>
        <v>12.01.2025 - Moto Club - MA x Maranhão - MA</v>
      </c>
    </row>
    <row r="75" spans="1:18" ht="30.6" hidden="1">
      <c r="A75" s="15">
        <v>2</v>
      </c>
      <c r="B75" s="46">
        <v>11</v>
      </c>
      <c r="C75" s="45" t="s">
        <v>232</v>
      </c>
      <c r="D75" s="45" t="s">
        <v>233</v>
      </c>
      <c r="E75" s="47" t="s">
        <v>26</v>
      </c>
      <c r="F75" s="47" t="s">
        <v>24</v>
      </c>
      <c r="G75" s="46">
        <v>618785</v>
      </c>
      <c r="H75" s="15" t="s">
        <v>260</v>
      </c>
      <c r="I75" s="26" t="str">
        <f t="shared" si="5"/>
        <v>Ryan</v>
      </c>
      <c r="J75" s="26" t="str">
        <f t="shared" si="6"/>
        <v>2Maranhão - MA11</v>
      </c>
      <c r="K75" s="27" t="str">
        <f>IFERROR(VLOOKUP(J75,Substituicoes!J:J,1,0),"SS")</f>
        <v>SS</v>
      </c>
      <c r="L75" s="27" t="str">
        <f>IFERROR(VLOOKUP(J75,Substituicoes!K:K,1,0),"SS")</f>
        <v>2Maranhão - MA11</v>
      </c>
      <c r="M75" s="28" t="b">
        <f t="shared" si="7"/>
        <v>0</v>
      </c>
      <c r="N75" s="29">
        <f>IF(AND(K75=L75,LEFT(E75,1)="T"),VLOOKUP(A75,'JOGOS BASE'!A:E,4,0),IF(K75=J75,VLOOKUP(J75,Substituicoes!J:R,6,0),IF(L75=J75,VLOOKUP(Escalacao!J75,Substituicoes!K:R,7,0),0)))</f>
        <v>47</v>
      </c>
      <c r="O75" s="28">
        <f>IF(AND(K75=L75,LEFT(E75,1)="T"),VLOOKUP(A75,'JOGOS BASE'!A:E,5,0),IF(K75=J75,VLOOKUP(J75,Substituicoes!J:R,7,0),IF(L75=J75,VLOOKUP(Escalacao!J75,Substituicoes!K:R,8,0),0)))</f>
        <v>2</v>
      </c>
      <c r="P75" s="28">
        <f t="shared" si="8"/>
        <v>49</v>
      </c>
      <c r="Q75" s="28" t="str">
        <f t="shared" si="9"/>
        <v>211Maranhão - MA</v>
      </c>
      <c r="R75" s="28" t="str">
        <f>VLOOKUP(A75,'JOGOS BASE'!A:H,8)</f>
        <v>12.01.2025 - Moto Club - MA x Maranhão - MA</v>
      </c>
    </row>
    <row r="76" spans="1:18" ht="30.6" hidden="1">
      <c r="A76" s="15">
        <v>2</v>
      </c>
      <c r="B76" s="46">
        <v>22</v>
      </c>
      <c r="C76" s="45" t="s">
        <v>234</v>
      </c>
      <c r="D76" s="45" t="s">
        <v>235</v>
      </c>
      <c r="E76" s="47" t="s">
        <v>26</v>
      </c>
      <c r="F76" s="47" t="s">
        <v>24</v>
      </c>
      <c r="G76" s="46">
        <v>393714</v>
      </c>
      <c r="H76" s="15" t="s">
        <v>260</v>
      </c>
      <c r="I76" s="26" t="str">
        <f t="shared" si="5"/>
        <v>Jerry</v>
      </c>
      <c r="J76" s="26" t="str">
        <f t="shared" si="6"/>
        <v>2Maranhão - MA22</v>
      </c>
      <c r="K76" s="27" t="str">
        <f>IFERROR(VLOOKUP(J76,Substituicoes!J:J,1,0),"SS")</f>
        <v>SS</v>
      </c>
      <c r="L76" s="27" t="str">
        <f>IFERROR(VLOOKUP(J76,Substituicoes!K:K,1,0),"SS")</f>
        <v>2Maranhão - MA22</v>
      </c>
      <c r="M76" s="28" t="b">
        <f t="shared" si="7"/>
        <v>0</v>
      </c>
      <c r="N76" s="29">
        <f>IF(AND(K76=L76,LEFT(E76,1)="T"),VLOOKUP(A76,'JOGOS BASE'!A:E,4,0),IF(K76=J76,VLOOKUP(J76,Substituicoes!J:R,6,0),IF(L76=J76,VLOOKUP(Escalacao!J76,Substituicoes!K:R,7,0),0)))</f>
        <v>47</v>
      </c>
      <c r="O76" s="28">
        <f>IF(AND(K76=L76,LEFT(E76,1)="T"),VLOOKUP(A76,'JOGOS BASE'!A:E,5,0),IF(K76=J76,VLOOKUP(J76,Substituicoes!J:R,7,0),IF(L76=J76,VLOOKUP(Escalacao!J76,Substituicoes!K:R,8,0),0)))</f>
        <v>0</v>
      </c>
      <c r="P76" s="28">
        <f t="shared" si="8"/>
        <v>47</v>
      </c>
      <c r="Q76" s="28" t="str">
        <f t="shared" si="9"/>
        <v>222Maranhão - MA</v>
      </c>
      <c r="R76" s="28" t="str">
        <f>VLOOKUP(A76,'JOGOS BASE'!A:H,8)</f>
        <v>12.01.2025 - Moto Club - MA x Maranhão - MA</v>
      </c>
    </row>
    <row r="77" spans="1:18" ht="30.6" hidden="1">
      <c r="A77" s="15">
        <v>2</v>
      </c>
      <c r="B77" s="46">
        <v>12</v>
      </c>
      <c r="C77" s="45" t="s">
        <v>236</v>
      </c>
      <c r="D77" s="45" t="s">
        <v>237</v>
      </c>
      <c r="E77" s="47" t="s">
        <v>40</v>
      </c>
      <c r="F77" s="47" t="s">
        <v>24</v>
      </c>
      <c r="G77" s="46">
        <v>565480</v>
      </c>
      <c r="H77" s="15" t="s">
        <v>260</v>
      </c>
      <c r="I77" s="26" t="str">
        <f t="shared" si="5"/>
        <v>Victor</v>
      </c>
      <c r="J77" s="26" t="str">
        <f t="shared" si="6"/>
        <v>2Maranhão - MA12</v>
      </c>
      <c r="K77" s="27" t="str">
        <f>IFERROR(VLOOKUP(J77,Substituicoes!J:J,1,0),"SS")</f>
        <v>SS</v>
      </c>
      <c r="L77" s="27" t="str">
        <f>IFERROR(VLOOKUP(J77,Substituicoes!K:K,1,0),"SS")</f>
        <v>SS</v>
      </c>
      <c r="M77" s="28" t="b">
        <f t="shared" si="7"/>
        <v>1</v>
      </c>
      <c r="N77" s="29">
        <f>IF(AND(K77=L77,LEFT(E77,1)="T"),VLOOKUP(A77,'JOGOS BASE'!A:E,4,0),IF(K77=J77,VLOOKUP(J77,Substituicoes!J:R,6,0),IF(L77=J77,VLOOKUP(Escalacao!J77,Substituicoes!K:R,7,0),0)))</f>
        <v>0</v>
      </c>
      <c r="O77" s="28">
        <f>IF(AND(K77=L77,LEFT(E77,1)="T"),VLOOKUP(A77,'JOGOS BASE'!A:E,5,0),IF(K77=J77,VLOOKUP(J77,Substituicoes!J:R,7,0),IF(L77=J77,VLOOKUP(Escalacao!J77,Substituicoes!K:R,8,0),0)))</f>
        <v>0</v>
      </c>
      <c r="P77" s="28">
        <f t="shared" si="8"/>
        <v>0</v>
      </c>
      <c r="Q77" s="28" t="str">
        <f t="shared" si="9"/>
        <v>212Maranhão - MA</v>
      </c>
      <c r="R77" s="28" t="str">
        <f>VLOOKUP(A77,'JOGOS BASE'!A:H,8)</f>
        <v>12.01.2025 - Moto Club - MA x Maranhão - MA</v>
      </c>
    </row>
    <row r="78" spans="1:18" ht="20.399999999999999" hidden="1">
      <c r="A78" s="15">
        <v>2</v>
      </c>
      <c r="B78" s="46">
        <v>7</v>
      </c>
      <c r="C78" s="45" t="s">
        <v>238</v>
      </c>
      <c r="D78" s="45" t="s">
        <v>239</v>
      </c>
      <c r="E78" s="47" t="s">
        <v>42</v>
      </c>
      <c r="F78" s="47" t="s">
        <v>24</v>
      </c>
      <c r="G78" s="46">
        <v>739934</v>
      </c>
      <c r="H78" s="15" t="s">
        <v>260</v>
      </c>
      <c r="I78" s="26" t="str">
        <f t="shared" si="5"/>
        <v>GUILHERME</v>
      </c>
      <c r="J78" s="26" t="str">
        <f t="shared" si="6"/>
        <v>2Maranhão - MA7</v>
      </c>
      <c r="K78" s="27" t="str">
        <f>IFERROR(VLOOKUP(J78,Substituicoes!J:J,1,0),"SS")</f>
        <v>SS</v>
      </c>
      <c r="L78" s="27" t="str">
        <f>IFERROR(VLOOKUP(J78,Substituicoes!K:K,1,0),"SS")</f>
        <v>SS</v>
      </c>
      <c r="M78" s="28" t="b">
        <f t="shared" si="7"/>
        <v>1</v>
      </c>
      <c r="N78" s="29">
        <f>IF(AND(K78=L78,LEFT(E78,1)="T"),VLOOKUP(A78,'JOGOS BASE'!A:E,4,0),IF(K78=J78,VLOOKUP(J78,Substituicoes!J:R,6,0),IF(L78=J78,VLOOKUP(Escalacao!J78,Substituicoes!K:R,7,0),0)))</f>
        <v>0</v>
      </c>
      <c r="O78" s="28">
        <f>IF(AND(K78=L78,LEFT(E78,1)="T"),VLOOKUP(A78,'JOGOS BASE'!A:E,5,0),IF(K78=J78,VLOOKUP(J78,Substituicoes!J:R,7,0),IF(L78=J78,VLOOKUP(Escalacao!J78,Substituicoes!K:R,8,0),0)))</f>
        <v>0</v>
      </c>
      <c r="P78" s="28">
        <f t="shared" si="8"/>
        <v>0</v>
      </c>
      <c r="Q78" s="28" t="str">
        <f t="shared" si="9"/>
        <v>27Maranhão - MA</v>
      </c>
      <c r="R78" s="28" t="str">
        <f>VLOOKUP(A78,'JOGOS BASE'!A:H,8)</f>
        <v>12.01.2025 - Moto Club - MA x Maranhão - MA</v>
      </c>
    </row>
    <row r="79" spans="1:18" ht="20.399999999999999" hidden="1">
      <c r="A79" s="15">
        <v>2</v>
      </c>
      <c r="B79" s="46">
        <v>13</v>
      </c>
      <c r="C79" s="45" t="s">
        <v>240</v>
      </c>
      <c r="D79" s="45" t="s">
        <v>241</v>
      </c>
      <c r="E79" s="47" t="s">
        <v>42</v>
      </c>
      <c r="F79" s="47" t="s">
        <v>24</v>
      </c>
      <c r="G79" s="46">
        <v>454987</v>
      </c>
      <c r="H79" s="15" t="s">
        <v>260</v>
      </c>
      <c r="I79" s="26" t="str">
        <f t="shared" si="5"/>
        <v>IGOR</v>
      </c>
      <c r="J79" s="26" t="str">
        <f t="shared" si="6"/>
        <v>2Maranhão - MA13</v>
      </c>
      <c r="K79" s="27" t="str">
        <f>IFERROR(VLOOKUP(J79,Substituicoes!J:J,1,0),"SS")</f>
        <v>2Maranhão - MA13</v>
      </c>
      <c r="L79" s="27" t="str">
        <f>IFERROR(VLOOKUP(J79,Substituicoes!K:K,1,0),"SS")</f>
        <v>SS</v>
      </c>
      <c r="M79" s="28" t="b">
        <f t="shared" si="7"/>
        <v>0</v>
      </c>
      <c r="N79" s="29">
        <f>IF(AND(K79=L79,LEFT(E79,1)="T"),VLOOKUP(A79,'JOGOS BASE'!A:E,4,0),IF(K79=J79,VLOOKUP(J79,Substituicoes!J:R,6,0),IF(L79=J79,VLOOKUP(Escalacao!J79,Substituicoes!K:R,7,0),0)))</f>
        <v>0</v>
      </c>
      <c r="O79" s="28">
        <f>IF(AND(K79=L79,LEFT(E79,1)="T"),VLOOKUP(A79,'JOGOS BASE'!A:E,5,0),IF(K79=J79,VLOOKUP(J79,Substituicoes!J:R,7,0),IF(L79=J79,VLOOKUP(Escalacao!J79,Substituicoes!K:R,8,0),0)))</f>
        <v>27</v>
      </c>
      <c r="P79" s="28">
        <f t="shared" si="8"/>
        <v>27</v>
      </c>
      <c r="Q79" s="28" t="str">
        <f t="shared" si="9"/>
        <v>213Maranhão - MA</v>
      </c>
      <c r="R79" s="28" t="str">
        <f>VLOOKUP(A79,'JOGOS BASE'!A:H,8)</f>
        <v>12.01.2025 - Moto Club - MA x Maranhão - MA</v>
      </c>
    </row>
    <row r="80" spans="1:18" ht="20.399999999999999" hidden="1">
      <c r="A80" s="15">
        <v>2</v>
      </c>
      <c r="B80" s="46">
        <v>14</v>
      </c>
      <c r="C80" s="45" t="s">
        <v>242</v>
      </c>
      <c r="D80" s="45" t="s">
        <v>243</v>
      </c>
      <c r="E80" s="47" t="s">
        <v>42</v>
      </c>
      <c r="F80" s="47" t="s">
        <v>24</v>
      </c>
      <c r="G80" s="46">
        <v>375673</v>
      </c>
      <c r="H80" s="15" t="s">
        <v>260</v>
      </c>
      <c r="I80" s="26" t="str">
        <f t="shared" si="5"/>
        <v>Julio Nasc ...</v>
      </c>
      <c r="J80" s="26" t="str">
        <f t="shared" si="6"/>
        <v>2Maranhão - MA14</v>
      </c>
      <c r="K80" s="27" t="str">
        <f>IFERROR(VLOOKUP(J80,Substituicoes!J:J,1,0),"SS")</f>
        <v>2Maranhão - MA14</v>
      </c>
      <c r="L80" s="27" t="str">
        <f>IFERROR(VLOOKUP(J80,Substituicoes!K:K,1,0),"SS")</f>
        <v>SS</v>
      </c>
      <c r="M80" s="28" t="b">
        <f t="shared" si="7"/>
        <v>0</v>
      </c>
      <c r="N80" s="29">
        <f>IF(AND(K80=L80,LEFT(E80,1)="T"),VLOOKUP(A80,'JOGOS BASE'!A:E,4,0),IF(K80=J80,VLOOKUP(J80,Substituicoes!J:R,6,0),IF(L80=J80,VLOOKUP(Escalacao!J80,Substituicoes!K:R,7,0),0)))</f>
        <v>0</v>
      </c>
      <c r="O80" s="28">
        <f>IF(AND(K80=L80,LEFT(E80,1)="T"),VLOOKUP(A80,'JOGOS BASE'!A:E,5,0),IF(K80=J80,VLOOKUP(J80,Substituicoes!J:R,7,0),IF(L80=J80,VLOOKUP(Escalacao!J80,Substituicoes!K:R,8,0),0)))</f>
        <v>48</v>
      </c>
      <c r="P80" s="28">
        <f t="shared" si="8"/>
        <v>48</v>
      </c>
      <c r="Q80" s="28" t="str">
        <f t="shared" si="9"/>
        <v>214Maranhão - MA</v>
      </c>
      <c r="R80" s="28" t="str">
        <f>VLOOKUP(A80,'JOGOS BASE'!A:H,8)</f>
        <v>12.01.2025 - Moto Club - MA x Maranhão - MA</v>
      </c>
    </row>
    <row r="81" spans="1:18" ht="30.6" hidden="1">
      <c r="A81" s="15">
        <v>2</v>
      </c>
      <c r="B81" s="46">
        <v>15</v>
      </c>
      <c r="C81" s="45" t="s">
        <v>244</v>
      </c>
      <c r="D81" s="45" t="s">
        <v>245</v>
      </c>
      <c r="E81" s="47" t="s">
        <v>42</v>
      </c>
      <c r="F81" s="47" t="s">
        <v>24</v>
      </c>
      <c r="G81" s="46">
        <v>597056</v>
      </c>
      <c r="H81" s="15" t="s">
        <v>260</v>
      </c>
      <c r="I81" s="26" t="str">
        <f t="shared" si="5"/>
        <v>EDSON</v>
      </c>
      <c r="J81" s="26" t="str">
        <f t="shared" si="6"/>
        <v>2Maranhão - MA15</v>
      </c>
      <c r="K81" s="27" t="str">
        <f>IFERROR(VLOOKUP(J81,Substituicoes!J:J,1,0),"SS")</f>
        <v>SS</v>
      </c>
      <c r="L81" s="27" t="str">
        <f>IFERROR(VLOOKUP(J81,Substituicoes!K:K,1,0),"SS")</f>
        <v>SS</v>
      </c>
      <c r="M81" s="28" t="b">
        <f t="shared" si="7"/>
        <v>1</v>
      </c>
      <c r="N81" s="29">
        <f>IF(AND(K81=L81,LEFT(E81,1)="T"),VLOOKUP(A81,'JOGOS BASE'!A:E,4,0),IF(K81=J81,VLOOKUP(J81,Substituicoes!J:R,6,0),IF(L81=J81,VLOOKUP(Escalacao!J81,Substituicoes!K:R,7,0),0)))</f>
        <v>0</v>
      </c>
      <c r="O81" s="28">
        <f>IF(AND(K81=L81,LEFT(E81,1)="T"),VLOOKUP(A81,'JOGOS BASE'!A:E,5,0),IF(K81=J81,VLOOKUP(J81,Substituicoes!J:R,7,0),IF(L81=J81,VLOOKUP(Escalacao!J81,Substituicoes!K:R,8,0),0)))</f>
        <v>0</v>
      </c>
      <c r="P81" s="28">
        <f t="shared" si="8"/>
        <v>0</v>
      </c>
      <c r="Q81" s="28" t="str">
        <f t="shared" si="9"/>
        <v>215Maranhão - MA</v>
      </c>
      <c r="R81" s="28" t="str">
        <f>VLOOKUP(A81,'JOGOS BASE'!A:H,8)</f>
        <v>12.01.2025 - Moto Club - MA x Maranhão - MA</v>
      </c>
    </row>
    <row r="82" spans="1:18" ht="30.6" hidden="1">
      <c r="A82" s="15">
        <v>2</v>
      </c>
      <c r="B82" s="46">
        <v>16</v>
      </c>
      <c r="C82" s="45" t="s">
        <v>246</v>
      </c>
      <c r="D82" s="45" t="s">
        <v>247</v>
      </c>
      <c r="E82" s="47" t="s">
        <v>42</v>
      </c>
      <c r="F82" s="47" t="s">
        <v>24</v>
      </c>
      <c r="G82" s="46">
        <v>595323</v>
      </c>
      <c r="H82" s="15" t="s">
        <v>260</v>
      </c>
      <c r="I82" s="26" t="str">
        <f t="shared" si="5"/>
        <v>Gabriel</v>
      </c>
      <c r="J82" s="26" t="str">
        <f t="shared" si="6"/>
        <v>2Maranhão - MA16</v>
      </c>
      <c r="K82" s="27" t="str">
        <f>IFERROR(VLOOKUP(J82,Substituicoes!J:J,1,0),"SS")</f>
        <v>SS</v>
      </c>
      <c r="L82" s="27" t="str">
        <f>IFERROR(VLOOKUP(J82,Substituicoes!K:K,1,0),"SS")</f>
        <v>SS</v>
      </c>
      <c r="M82" s="28" t="b">
        <f t="shared" si="7"/>
        <v>1</v>
      </c>
      <c r="N82" s="29">
        <f>IF(AND(K82=L82,LEFT(E82,1)="T"),VLOOKUP(A82,'JOGOS BASE'!A:E,4,0),IF(K82=J82,VLOOKUP(J82,Substituicoes!J:R,6,0),IF(L82=J82,VLOOKUP(Escalacao!J82,Substituicoes!K:R,7,0),0)))</f>
        <v>0</v>
      </c>
      <c r="O82" s="28">
        <f>IF(AND(K82=L82,LEFT(E82,1)="T"),VLOOKUP(A82,'JOGOS BASE'!A:E,5,0),IF(K82=J82,VLOOKUP(J82,Substituicoes!J:R,7,0),IF(L82=J82,VLOOKUP(Escalacao!J82,Substituicoes!K:R,8,0),0)))</f>
        <v>0</v>
      </c>
      <c r="P82" s="28">
        <f t="shared" si="8"/>
        <v>0</v>
      </c>
      <c r="Q82" s="28" t="str">
        <f t="shared" si="9"/>
        <v>216Maranhão - MA</v>
      </c>
      <c r="R82" s="28" t="str">
        <f>VLOOKUP(A82,'JOGOS BASE'!A:H,8)</f>
        <v>12.01.2025 - Moto Club - MA x Maranhão - MA</v>
      </c>
    </row>
    <row r="83" spans="1:18" ht="30.6" hidden="1">
      <c r="A83" s="15">
        <v>2</v>
      </c>
      <c r="B83" s="46">
        <v>17</v>
      </c>
      <c r="C83" s="45" t="s">
        <v>248</v>
      </c>
      <c r="D83" s="45" t="s">
        <v>249</v>
      </c>
      <c r="E83" s="47" t="s">
        <v>42</v>
      </c>
      <c r="F83" s="47" t="s">
        <v>24</v>
      </c>
      <c r="G83" s="46">
        <v>747375</v>
      </c>
      <c r="H83" s="15" t="s">
        <v>260</v>
      </c>
      <c r="I83" s="26" t="str">
        <f t="shared" si="5"/>
        <v>MARCOS</v>
      </c>
      <c r="J83" s="26" t="str">
        <f t="shared" si="6"/>
        <v>2Maranhão - MA17</v>
      </c>
      <c r="K83" s="27" t="str">
        <f>IFERROR(VLOOKUP(J83,Substituicoes!J:J,1,0),"SS")</f>
        <v>SS</v>
      </c>
      <c r="L83" s="27" t="str">
        <f>IFERROR(VLOOKUP(J83,Substituicoes!K:K,1,0),"SS")</f>
        <v>SS</v>
      </c>
      <c r="M83" s="28" t="b">
        <f t="shared" si="7"/>
        <v>1</v>
      </c>
      <c r="N83" s="29">
        <f>IF(AND(K83=L83,LEFT(E83,1)="T"),VLOOKUP(A83,'JOGOS BASE'!A:E,4,0),IF(K83=J83,VLOOKUP(J83,Substituicoes!J:R,6,0),IF(L83=J83,VLOOKUP(Escalacao!J83,Substituicoes!K:R,7,0),0)))</f>
        <v>0</v>
      </c>
      <c r="O83" s="28">
        <f>IF(AND(K83=L83,LEFT(E83,1)="T"),VLOOKUP(A83,'JOGOS BASE'!A:E,5,0),IF(K83=J83,VLOOKUP(J83,Substituicoes!J:R,7,0),IF(L83=J83,VLOOKUP(Escalacao!J83,Substituicoes!K:R,8,0),0)))</f>
        <v>0</v>
      </c>
      <c r="P83" s="28">
        <f t="shared" si="8"/>
        <v>0</v>
      </c>
      <c r="Q83" s="28" t="str">
        <f t="shared" si="9"/>
        <v>217Maranhão - MA</v>
      </c>
      <c r="R83" s="28" t="str">
        <f>VLOOKUP(A83,'JOGOS BASE'!A:H,8)</f>
        <v>12.01.2025 - Moto Club - MA x Maranhão - MA</v>
      </c>
    </row>
    <row r="84" spans="1:18" ht="30.6" hidden="1">
      <c r="A84" s="15">
        <v>2</v>
      </c>
      <c r="B84" s="46">
        <v>18</v>
      </c>
      <c r="C84" s="45" t="s">
        <v>250</v>
      </c>
      <c r="D84" s="45" t="s">
        <v>251</v>
      </c>
      <c r="E84" s="47" t="s">
        <v>42</v>
      </c>
      <c r="F84" s="47" t="s">
        <v>24</v>
      </c>
      <c r="G84" s="46">
        <v>629226</v>
      </c>
      <c r="H84" s="15" t="s">
        <v>260</v>
      </c>
      <c r="I84" s="26" t="str">
        <f t="shared" si="5"/>
        <v>LUCAS</v>
      </c>
      <c r="J84" s="26" t="str">
        <f t="shared" si="6"/>
        <v>2Maranhão - MA18</v>
      </c>
      <c r="K84" s="27" t="str">
        <f>IFERROR(VLOOKUP(J84,Substituicoes!J:J,1,0),"SS")</f>
        <v>2Maranhão - MA18</v>
      </c>
      <c r="L84" s="27" t="str">
        <f>IFERROR(VLOOKUP(J84,Substituicoes!K:K,1,0),"SS")</f>
        <v>SS</v>
      </c>
      <c r="M84" s="28" t="b">
        <f t="shared" si="7"/>
        <v>0</v>
      </c>
      <c r="N84" s="29">
        <f>IF(AND(K84=L84,LEFT(E84,1)="T"),VLOOKUP(A84,'JOGOS BASE'!A:E,4,0),IF(K84=J84,VLOOKUP(J84,Substituicoes!J:R,6,0),IF(L84=J84,VLOOKUP(Escalacao!J84,Substituicoes!K:R,7,0),0)))</f>
        <v>0</v>
      </c>
      <c r="O84" s="28">
        <f>IF(AND(K84=L84,LEFT(E84,1)="T"),VLOOKUP(A84,'JOGOS BASE'!A:E,5,0),IF(K84=J84,VLOOKUP(J84,Substituicoes!J:R,7,0),IF(L84=J84,VLOOKUP(Escalacao!J84,Substituicoes!K:R,8,0),0)))</f>
        <v>50</v>
      </c>
      <c r="P84" s="28">
        <f t="shared" si="8"/>
        <v>50</v>
      </c>
      <c r="Q84" s="28" t="str">
        <f t="shared" si="9"/>
        <v>218Maranhão - MA</v>
      </c>
      <c r="R84" s="28" t="str">
        <f>VLOOKUP(A84,'JOGOS BASE'!A:H,8)</f>
        <v>12.01.2025 - Moto Club - MA x Maranhão - MA</v>
      </c>
    </row>
    <row r="85" spans="1:18" ht="30.6" hidden="1">
      <c r="A85" s="15">
        <v>2</v>
      </c>
      <c r="B85" s="46">
        <v>19</v>
      </c>
      <c r="C85" s="45" t="s">
        <v>252</v>
      </c>
      <c r="D85" s="45" t="s">
        <v>253</v>
      </c>
      <c r="E85" s="47" t="s">
        <v>42</v>
      </c>
      <c r="F85" s="47" t="s">
        <v>24</v>
      </c>
      <c r="G85" s="46">
        <v>543877</v>
      </c>
      <c r="H85" s="15" t="s">
        <v>260</v>
      </c>
      <c r="I85" s="26" t="str">
        <f t="shared" si="5"/>
        <v>Emerson Fr ...</v>
      </c>
      <c r="J85" s="26" t="str">
        <f t="shared" si="6"/>
        <v>2Maranhão - MA19</v>
      </c>
      <c r="K85" s="27" t="str">
        <f>IFERROR(VLOOKUP(J85,Substituicoes!J:J,1,0),"SS")</f>
        <v>2Maranhão - MA19</v>
      </c>
      <c r="L85" s="27" t="str">
        <f>IFERROR(VLOOKUP(J85,Substituicoes!K:K,1,0),"SS")</f>
        <v>SS</v>
      </c>
      <c r="M85" s="28" t="b">
        <f t="shared" si="7"/>
        <v>0</v>
      </c>
      <c r="N85" s="29">
        <f>IF(AND(K85=L85,LEFT(E85,1)="T"),VLOOKUP(A85,'JOGOS BASE'!A:E,4,0),IF(K85=J85,VLOOKUP(J85,Substituicoes!J:R,6,0),IF(L85=J85,VLOOKUP(Escalacao!J85,Substituicoes!K:R,7,0),0)))</f>
        <v>0</v>
      </c>
      <c r="O85" s="28">
        <f>IF(AND(K85=L85,LEFT(E85,1)="T"),VLOOKUP(A85,'JOGOS BASE'!A:E,5,0),IF(K85=J85,VLOOKUP(J85,Substituicoes!J:R,7,0),IF(L85=J85,VLOOKUP(Escalacao!J85,Substituicoes!K:R,8,0),0)))</f>
        <v>50</v>
      </c>
      <c r="P85" s="28">
        <f t="shared" si="8"/>
        <v>50</v>
      </c>
      <c r="Q85" s="28" t="str">
        <f t="shared" si="9"/>
        <v>219Maranhão - MA</v>
      </c>
      <c r="R85" s="28" t="str">
        <f>VLOOKUP(A85,'JOGOS BASE'!A:H,8)</f>
        <v>12.01.2025 - Moto Club - MA x Maranhão - MA</v>
      </c>
    </row>
    <row r="86" spans="1:18" ht="30.6" hidden="1">
      <c r="A86" s="15">
        <v>2</v>
      </c>
      <c r="B86" s="46">
        <v>20</v>
      </c>
      <c r="C86" s="45" t="s">
        <v>254</v>
      </c>
      <c r="D86" s="45" t="s">
        <v>255</v>
      </c>
      <c r="E86" s="47" t="s">
        <v>42</v>
      </c>
      <c r="F86" s="47" t="s">
        <v>24</v>
      </c>
      <c r="G86" s="46">
        <v>557892</v>
      </c>
      <c r="H86" s="15" t="s">
        <v>260</v>
      </c>
      <c r="I86" s="26" t="str">
        <f t="shared" si="5"/>
        <v>Mikeias</v>
      </c>
      <c r="J86" s="26" t="str">
        <f t="shared" si="6"/>
        <v>2Maranhão - MA20</v>
      </c>
      <c r="K86" s="27" t="str">
        <f>IFERROR(VLOOKUP(J86,Substituicoes!J:J,1,0),"SS")</f>
        <v>2Maranhão - MA20</v>
      </c>
      <c r="L86" s="27" t="str">
        <f>IFERROR(VLOOKUP(J86,Substituicoes!K:K,1,0),"SS")</f>
        <v>SS</v>
      </c>
      <c r="M86" s="28" t="b">
        <f t="shared" si="7"/>
        <v>0</v>
      </c>
      <c r="N86" s="29">
        <f>IF(AND(K86=L86,LEFT(E86,1)="T"),VLOOKUP(A86,'JOGOS BASE'!A:E,4,0),IF(K86=J86,VLOOKUP(J86,Substituicoes!J:R,6,0),IF(L86=J86,VLOOKUP(Escalacao!J86,Substituicoes!K:R,7,0),0)))</f>
        <v>0</v>
      </c>
      <c r="O86" s="28">
        <f>IF(AND(K86=L86,LEFT(E86,1)="T"),VLOOKUP(A86,'JOGOS BASE'!A:E,5,0),IF(K86=J86,VLOOKUP(J86,Substituicoes!J:R,7,0),IF(L86=J86,VLOOKUP(Escalacao!J86,Substituicoes!K:R,8,0),0)))</f>
        <v>50</v>
      </c>
      <c r="P86" s="28">
        <f t="shared" si="8"/>
        <v>50</v>
      </c>
      <c r="Q86" s="28" t="str">
        <f t="shared" si="9"/>
        <v>220Maranhão - MA</v>
      </c>
      <c r="R86" s="28" t="str">
        <f>VLOOKUP(A86,'JOGOS BASE'!A:H,8)</f>
        <v>12.01.2025 - Moto Club - MA x Maranhão - MA</v>
      </c>
    </row>
    <row r="87" spans="1:18" ht="30.6" hidden="1">
      <c r="A87" s="15">
        <v>2</v>
      </c>
      <c r="B87" s="46">
        <v>21</v>
      </c>
      <c r="C87" s="45" t="s">
        <v>256</v>
      </c>
      <c r="D87" s="45" t="s">
        <v>257</v>
      </c>
      <c r="E87" s="47" t="s">
        <v>42</v>
      </c>
      <c r="F87" s="47" t="s">
        <v>24</v>
      </c>
      <c r="G87" s="46">
        <v>673956</v>
      </c>
      <c r="H87" s="15" t="s">
        <v>260</v>
      </c>
      <c r="I87" s="26" t="str">
        <f t="shared" si="5"/>
        <v>Diego Cant ...</v>
      </c>
      <c r="J87" s="26" t="str">
        <f t="shared" si="6"/>
        <v>2Maranhão - MA21</v>
      </c>
      <c r="K87" s="27" t="str">
        <f>IFERROR(VLOOKUP(J87,Substituicoes!J:J,1,0),"SS")</f>
        <v>SS</v>
      </c>
      <c r="L87" s="27" t="str">
        <f>IFERROR(VLOOKUP(J87,Substituicoes!K:K,1,0),"SS")</f>
        <v>SS</v>
      </c>
      <c r="M87" s="28" t="b">
        <f t="shared" si="7"/>
        <v>1</v>
      </c>
      <c r="N87" s="29">
        <f>IF(AND(K87=L87,LEFT(E87,1)="T"),VLOOKUP(A87,'JOGOS BASE'!A:E,4,0),IF(K87=J87,VLOOKUP(J87,Substituicoes!J:R,6,0),IF(L87=J87,VLOOKUP(Escalacao!J87,Substituicoes!K:R,7,0),0)))</f>
        <v>0</v>
      </c>
      <c r="O87" s="28">
        <f>IF(AND(K87=L87,LEFT(E87,1)="T"),VLOOKUP(A87,'JOGOS BASE'!A:E,5,0),IF(K87=J87,VLOOKUP(J87,Substituicoes!J:R,7,0),IF(L87=J87,VLOOKUP(Escalacao!J87,Substituicoes!K:R,8,0),0)))</f>
        <v>0</v>
      </c>
      <c r="P87" s="28">
        <f t="shared" si="8"/>
        <v>0</v>
      </c>
      <c r="Q87" s="28" t="str">
        <f t="shared" si="9"/>
        <v>221Maranhão - MA</v>
      </c>
      <c r="R87" s="28" t="str">
        <f>VLOOKUP(A87,'JOGOS BASE'!A:H,8)</f>
        <v>12.01.2025 - Moto Club - MA x Maranhão - MA</v>
      </c>
    </row>
    <row r="88" spans="1:18" ht="30.6" hidden="1">
      <c r="A88" s="15">
        <v>3</v>
      </c>
      <c r="B88" s="46">
        <v>1</v>
      </c>
      <c r="C88" s="45" t="s">
        <v>301</v>
      </c>
      <c r="D88" s="45" t="s">
        <v>302</v>
      </c>
      <c r="E88" s="47" t="s">
        <v>23</v>
      </c>
      <c r="F88" s="47" t="s">
        <v>24</v>
      </c>
      <c r="G88" s="46">
        <v>530809</v>
      </c>
      <c r="H88" s="15" t="s">
        <v>368</v>
      </c>
      <c r="I88" s="26" t="str">
        <f t="shared" ref="I88:I117" si="10">C88</f>
        <v>Mateus</v>
      </c>
      <c r="J88" s="26" t="str">
        <f t="shared" ref="J88:J117" si="11">A88&amp;H88&amp;B88</f>
        <v>3Pinheiro - MA1</v>
      </c>
      <c r="K88" s="27" t="str">
        <f>IFERROR(VLOOKUP(J88,Substituicoes!J:J,1,0),"SS")</f>
        <v>SS</v>
      </c>
      <c r="L88" s="27" t="str">
        <f>IFERROR(VLOOKUP(J88,Substituicoes!K:K,1,0),"SS")</f>
        <v>SS</v>
      </c>
      <c r="M88" s="28" t="b">
        <f t="shared" ref="M88:M117" si="12">K88=L88</f>
        <v>1</v>
      </c>
      <c r="N88" s="29">
        <f>IF(AND(K88=L88,LEFT(E88,1)="T"),VLOOKUP(A88,'JOGOS BASE'!A:E,4,0),IF(K88=J88,VLOOKUP(J88,Substituicoes!J:R,6,0),IF(L88=J88,VLOOKUP(Escalacao!J88,Substituicoes!K:R,7,0),0)))</f>
        <v>50</v>
      </c>
      <c r="O88" s="28">
        <f>IF(AND(K88=L88,LEFT(E88,1)="T"),VLOOKUP(A88,'JOGOS BASE'!A:E,5,0),IF(K88=J88,VLOOKUP(J88,Substituicoes!J:R,7,0),IF(L88=J88,VLOOKUP(Escalacao!J88,Substituicoes!K:R,8,0),0)))</f>
        <v>47</v>
      </c>
      <c r="P88" s="28">
        <f t="shared" ref="P88:P117" si="13">N88+O88</f>
        <v>97</v>
      </c>
      <c r="Q88" s="28" t="str">
        <f t="shared" ref="Q88:Q117" si="14">A88&amp;B88&amp;H88</f>
        <v>31Pinheiro - MA</v>
      </c>
      <c r="R88" s="28" t="str">
        <f>VLOOKUP(A88,'JOGOS BASE'!A:H,8)</f>
        <v>12.01.2025 - Pinheiro - MA x Viana - MA</v>
      </c>
    </row>
    <row r="89" spans="1:18" ht="20.399999999999999" hidden="1">
      <c r="A89" s="15">
        <v>3</v>
      </c>
      <c r="B89" s="46">
        <v>2</v>
      </c>
      <c r="C89" s="45" t="s">
        <v>303</v>
      </c>
      <c r="D89" s="45" t="s">
        <v>304</v>
      </c>
      <c r="E89" s="47" t="s">
        <v>26</v>
      </c>
      <c r="F89" s="47" t="s">
        <v>56</v>
      </c>
      <c r="G89" s="46">
        <v>748495</v>
      </c>
      <c r="H89" s="15" t="s">
        <v>368</v>
      </c>
      <c r="I89" s="26" t="str">
        <f t="shared" si="10"/>
        <v>Italo</v>
      </c>
      <c r="J89" s="26" t="str">
        <f t="shared" si="11"/>
        <v>3Pinheiro - MA2</v>
      </c>
      <c r="K89" s="27" t="str">
        <f>IFERROR(VLOOKUP(J89,Substituicoes!J:J,1,0),"SS")</f>
        <v>SS</v>
      </c>
      <c r="L89" s="27" t="str">
        <f>IFERROR(VLOOKUP(J89,Substituicoes!K:K,1,0),"SS")</f>
        <v>3Pinheiro - MA2</v>
      </c>
      <c r="M89" s="28" t="b">
        <f t="shared" si="12"/>
        <v>0</v>
      </c>
      <c r="N89" s="29">
        <f>IF(AND(K89=L89,LEFT(E89,1)="T"),VLOOKUP(A89,'JOGOS BASE'!A:E,4,0),IF(K89=J89,VLOOKUP(J89,Substituicoes!J:R,6,0),IF(L89=J89,VLOOKUP(Escalacao!J89,Substituicoes!K:R,7,0),0)))</f>
        <v>42</v>
      </c>
      <c r="O89" s="28">
        <f>IF(AND(K89=L89,LEFT(E89,1)="T"),VLOOKUP(A89,'JOGOS BASE'!A:E,5,0),IF(K89=J89,VLOOKUP(J89,Substituicoes!J:R,7,0),IF(L89=J89,VLOOKUP(Escalacao!J89,Substituicoes!K:R,8,0),0)))</f>
        <v>0</v>
      </c>
      <c r="P89" s="28">
        <f t="shared" si="13"/>
        <v>42</v>
      </c>
      <c r="Q89" s="28" t="str">
        <f t="shared" si="14"/>
        <v>32Pinheiro - MA</v>
      </c>
      <c r="R89" s="28" t="str">
        <f>VLOOKUP(A89,'JOGOS BASE'!A:H,8)</f>
        <v>12.01.2025 - Pinheiro - MA x Viana - MA</v>
      </c>
    </row>
    <row r="90" spans="1:18" ht="30.6" hidden="1">
      <c r="A90" s="15">
        <v>3</v>
      </c>
      <c r="B90" s="46">
        <v>3</v>
      </c>
      <c r="C90" s="45" t="s">
        <v>305</v>
      </c>
      <c r="D90" s="45" t="s">
        <v>306</v>
      </c>
      <c r="E90" s="47" t="s">
        <v>26</v>
      </c>
      <c r="F90" s="47" t="s">
        <v>24</v>
      </c>
      <c r="G90" s="46">
        <v>619339</v>
      </c>
      <c r="H90" s="15" t="s">
        <v>368</v>
      </c>
      <c r="I90" s="26" t="str">
        <f t="shared" si="10"/>
        <v>Henrique</v>
      </c>
      <c r="J90" s="26" t="str">
        <f t="shared" si="11"/>
        <v>3Pinheiro - MA3</v>
      </c>
      <c r="K90" s="27" t="str">
        <f>IFERROR(VLOOKUP(J90,Substituicoes!J:J,1,0),"SS")</f>
        <v>SS</v>
      </c>
      <c r="L90" s="27" t="str">
        <f>IFERROR(VLOOKUP(J90,Substituicoes!K:K,1,0),"SS")</f>
        <v>SS</v>
      </c>
      <c r="M90" s="28" t="b">
        <f t="shared" si="12"/>
        <v>1</v>
      </c>
      <c r="N90" s="29">
        <f>IF(AND(K90=L90,LEFT(E90,1)="T"),VLOOKUP(A90,'JOGOS BASE'!A:E,4,0),IF(K90=J90,VLOOKUP(J90,Substituicoes!J:R,6,0),IF(L90=J90,VLOOKUP(Escalacao!J90,Substituicoes!K:R,7,0),0)))</f>
        <v>50</v>
      </c>
      <c r="O90" s="28">
        <f>IF(AND(K90=L90,LEFT(E90,1)="T"),VLOOKUP(A90,'JOGOS BASE'!A:E,5,0),IF(K90=J90,VLOOKUP(J90,Substituicoes!J:R,7,0),IF(L90=J90,VLOOKUP(Escalacao!J90,Substituicoes!K:R,8,0),0)))</f>
        <v>47</v>
      </c>
      <c r="P90" s="28">
        <f t="shared" si="13"/>
        <v>97</v>
      </c>
      <c r="Q90" s="28" t="str">
        <f t="shared" si="14"/>
        <v>33Pinheiro - MA</v>
      </c>
      <c r="R90" s="28" t="str">
        <f>VLOOKUP(A90,'JOGOS BASE'!A:H,8)</f>
        <v>12.01.2025 - Pinheiro - MA x Viana - MA</v>
      </c>
    </row>
    <row r="91" spans="1:18" ht="30.6" hidden="1">
      <c r="A91" s="15">
        <v>3</v>
      </c>
      <c r="B91" s="46">
        <v>4</v>
      </c>
      <c r="C91" s="45" t="s">
        <v>307</v>
      </c>
      <c r="D91" s="45" t="s">
        <v>308</v>
      </c>
      <c r="E91" s="47" t="s">
        <v>26</v>
      </c>
      <c r="F91" s="47" t="s">
        <v>24</v>
      </c>
      <c r="G91" s="46">
        <v>710616</v>
      </c>
      <c r="H91" s="15" t="s">
        <v>368</v>
      </c>
      <c r="I91" s="26" t="str">
        <f t="shared" si="10"/>
        <v>Rikelmmer</v>
      </c>
      <c r="J91" s="26" t="str">
        <f t="shared" si="11"/>
        <v>3Pinheiro - MA4</v>
      </c>
      <c r="K91" s="27" t="str">
        <f>IFERROR(VLOOKUP(J91,Substituicoes!J:J,1,0),"SS")</f>
        <v>SS</v>
      </c>
      <c r="L91" s="27" t="str">
        <f>IFERROR(VLOOKUP(J91,Substituicoes!K:K,1,0),"SS")</f>
        <v>SS</v>
      </c>
      <c r="M91" s="28" t="b">
        <f t="shared" si="12"/>
        <v>1</v>
      </c>
      <c r="N91" s="29">
        <f>IF(AND(K91=L91,LEFT(E91,1)="T"),VLOOKUP(A91,'JOGOS BASE'!A:E,4,0),IF(K91=J91,VLOOKUP(J91,Substituicoes!J:R,6,0),IF(L91=J91,VLOOKUP(Escalacao!J91,Substituicoes!K:R,7,0),0)))</f>
        <v>50</v>
      </c>
      <c r="O91" s="28">
        <f>IF(AND(K91=L91,LEFT(E91,1)="T"),VLOOKUP(A91,'JOGOS BASE'!A:E,5,0),IF(K91=J91,VLOOKUP(J91,Substituicoes!J:R,7,0),IF(L91=J91,VLOOKUP(Escalacao!J91,Substituicoes!K:R,8,0),0)))</f>
        <v>47</v>
      </c>
      <c r="P91" s="28">
        <f t="shared" si="13"/>
        <v>97</v>
      </c>
      <c r="Q91" s="28" t="str">
        <f t="shared" si="14"/>
        <v>34Pinheiro - MA</v>
      </c>
      <c r="R91" s="28" t="str">
        <f>VLOOKUP(A91,'JOGOS BASE'!A:H,8)</f>
        <v>12.01.2025 - Pinheiro - MA x Viana - MA</v>
      </c>
    </row>
    <row r="92" spans="1:18" ht="20.399999999999999" hidden="1">
      <c r="A92" s="15">
        <v>3</v>
      </c>
      <c r="B92" s="46">
        <v>5</v>
      </c>
      <c r="C92" s="45" t="s">
        <v>309</v>
      </c>
      <c r="D92" s="45" t="s">
        <v>310</v>
      </c>
      <c r="E92" s="47" t="s">
        <v>26</v>
      </c>
      <c r="F92" s="47" t="s">
        <v>24</v>
      </c>
      <c r="G92" s="46">
        <v>537343</v>
      </c>
      <c r="H92" s="15" t="s">
        <v>368</v>
      </c>
      <c r="I92" s="26" t="str">
        <f t="shared" si="10"/>
        <v>Rayandeson</v>
      </c>
      <c r="J92" s="26" t="str">
        <f t="shared" si="11"/>
        <v>3Pinheiro - MA5</v>
      </c>
      <c r="K92" s="27" t="str">
        <f>IFERROR(VLOOKUP(J92,Substituicoes!J:J,1,0),"SS")</f>
        <v>SS</v>
      </c>
      <c r="L92" s="27" t="str">
        <f>IFERROR(VLOOKUP(J92,Substituicoes!K:K,1,0),"SS")</f>
        <v>SS</v>
      </c>
      <c r="M92" s="28" t="b">
        <f t="shared" si="12"/>
        <v>1</v>
      </c>
      <c r="N92" s="29">
        <f>IF(AND(K92=L92,LEFT(E92,1)="T"),VLOOKUP(A92,'JOGOS BASE'!A:E,4,0),IF(K92=J92,VLOOKUP(J92,Substituicoes!J:R,6,0),IF(L92=J92,VLOOKUP(Escalacao!J92,Substituicoes!K:R,7,0),0)))</f>
        <v>50</v>
      </c>
      <c r="O92" s="28">
        <f>IF(AND(K92=L92,LEFT(E92,1)="T"),VLOOKUP(A92,'JOGOS BASE'!A:E,5,0),IF(K92=J92,VLOOKUP(J92,Substituicoes!J:R,7,0),IF(L92=J92,VLOOKUP(Escalacao!J92,Substituicoes!K:R,8,0),0)))</f>
        <v>47</v>
      </c>
      <c r="P92" s="28">
        <f t="shared" si="13"/>
        <v>97</v>
      </c>
      <c r="Q92" s="28" t="str">
        <f t="shared" si="14"/>
        <v>35Pinheiro - MA</v>
      </c>
      <c r="R92" s="28" t="str">
        <f>VLOOKUP(A92,'JOGOS BASE'!A:H,8)</f>
        <v>12.01.2025 - Pinheiro - MA x Viana - MA</v>
      </c>
    </row>
    <row r="93" spans="1:18" ht="20.399999999999999" hidden="1">
      <c r="A93" s="15">
        <v>3</v>
      </c>
      <c r="B93" s="46">
        <v>6</v>
      </c>
      <c r="C93" s="45" t="s">
        <v>246</v>
      </c>
      <c r="D93" s="45" t="s">
        <v>311</v>
      </c>
      <c r="E93" s="47" t="s">
        <v>26</v>
      </c>
      <c r="F93" s="47" t="s">
        <v>24</v>
      </c>
      <c r="G93" s="46">
        <v>637743</v>
      </c>
      <c r="H93" s="15" t="s">
        <v>368</v>
      </c>
      <c r="I93" s="26" t="str">
        <f t="shared" si="10"/>
        <v>Gabriel</v>
      </c>
      <c r="J93" s="26" t="str">
        <f t="shared" si="11"/>
        <v>3Pinheiro - MA6</v>
      </c>
      <c r="K93" s="27" t="str">
        <f>IFERROR(VLOOKUP(J93,Substituicoes!J:J,1,0),"SS")</f>
        <v>SS</v>
      </c>
      <c r="L93" s="27" t="str">
        <f>IFERROR(VLOOKUP(J93,Substituicoes!K:K,1,0),"SS")</f>
        <v>3Pinheiro - MA6</v>
      </c>
      <c r="M93" s="28" t="b">
        <f t="shared" si="12"/>
        <v>0</v>
      </c>
      <c r="N93" s="29">
        <f>IF(AND(K93=L93,LEFT(E93,1)="T"),VLOOKUP(A93,'JOGOS BASE'!A:E,4,0),IF(K93=J93,VLOOKUP(J93,Substituicoes!J:R,6,0),IF(L93=J93,VLOOKUP(Escalacao!J93,Substituicoes!K:R,7,0),0)))</f>
        <v>50</v>
      </c>
      <c r="O93" s="28">
        <f>IF(AND(K93=L93,LEFT(E93,1)="T"),VLOOKUP(A93,'JOGOS BASE'!A:E,5,0),IF(K93=J93,VLOOKUP(J93,Substituicoes!J:R,7,0),IF(L93=J93,VLOOKUP(Escalacao!J93,Substituicoes!K:R,8,0),0)))</f>
        <v>32</v>
      </c>
      <c r="P93" s="28">
        <f t="shared" si="13"/>
        <v>82</v>
      </c>
      <c r="Q93" s="28" t="str">
        <f t="shared" si="14"/>
        <v>36Pinheiro - MA</v>
      </c>
      <c r="R93" s="28" t="str">
        <f>VLOOKUP(A93,'JOGOS BASE'!A:H,8)</f>
        <v>12.01.2025 - Pinheiro - MA x Viana - MA</v>
      </c>
    </row>
    <row r="94" spans="1:18" ht="20.399999999999999" hidden="1">
      <c r="A94" s="15">
        <v>3</v>
      </c>
      <c r="B94" s="46">
        <v>7</v>
      </c>
      <c r="C94" s="45" t="s">
        <v>312</v>
      </c>
      <c r="D94" s="45" t="s">
        <v>313</v>
      </c>
      <c r="E94" s="47" t="s">
        <v>26</v>
      </c>
      <c r="F94" s="47" t="s">
        <v>24</v>
      </c>
      <c r="G94" s="46">
        <v>738325</v>
      </c>
      <c r="H94" s="15" t="s">
        <v>368</v>
      </c>
      <c r="I94" s="26" t="str">
        <f t="shared" si="10"/>
        <v>FRANCISCO</v>
      </c>
      <c r="J94" s="26" t="str">
        <f t="shared" si="11"/>
        <v>3Pinheiro - MA7</v>
      </c>
      <c r="K94" s="27" t="str">
        <f>IFERROR(VLOOKUP(J94,Substituicoes!J:J,1,0),"SS")</f>
        <v>SS</v>
      </c>
      <c r="L94" s="27" t="str">
        <f>IFERROR(VLOOKUP(J94,Substituicoes!K:K,1,0),"SS")</f>
        <v>3Pinheiro - MA7</v>
      </c>
      <c r="M94" s="28" t="b">
        <f t="shared" si="12"/>
        <v>0</v>
      </c>
      <c r="N94" s="29">
        <f>IF(AND(K94=L94,LEFT(E94,1)="T"),VLOOKUP(A94,'JOGOS BASE'!A:E,4,0),IF(K94=J94,VLOOKUP(J94,Substituicoes!J:R,6,0),IF(L94=J94,VLOOKUP(Escalacao!J94,Substituicoes!K:R,7,0),0)))</f>
        <v>50</v>
      </c>
      <c r="O94" s="28">
        <f>IF(AND(K94=L94,LEFT(E94,1)="T"),VLOOKUP(A94,'JOGOS BASE'!A:E,5,0),IF(K94=J94,VLOOKUP(J94,Substituicoes!J:R,7,0),IF(L94=J94,VLOOKUP(Escalacao!J94,Substituicoes!K:R,8,0),0)))</f>
        <v>32</v>
      </c>
      <c r="P94" s="28">
        <f t="shared" si="13"/>
        <v>82</v>
      </c>
      <c r="Q94" s="28" t="str">
        <f t="shared" si="14"/>
        <v>37Pinheiro - MA</v>
      </c>
      <c r="R94" s="28" t="str">
        <f>VLOOKUP(A94,'JOGOS BASE'!A:H,8)</f>
        <v>12.01.2025 - Pinheiro - MA x Viana - MA</v>
      </c>
    </row>
    <row r="95" spans="1:18" ht="20.399999999999999" hidden="1">
      <c r="A95" s="15">
        <v>3</v>
      </c>
      <c r="B95" s="46">
        <v>8</v>
      </c>
      <c r="C95" s="45" t="s">
        <v>314</v>
      </c>
      <c r="D95" s="45" t="s">
        <v>315</v>
      </c>
      <c r="E95" s="47" t="s">
        <v>26</v>
      </c>
      <c r="F95" s="47" t="s">
        <v>24</v>
      </c>
      <c r="G95" s="46">
        <v>552300</v>
      </c>
      <c r="H95" s="15" t="s">
        <v>368</v>
      </c>
      <c r="I95" s="26" t="str">
        <f t="shared" si="10"/>
        <v>Tulio</v>
      </c>
      <c r="J95" s="26" t="str">
        <f t="shared" si="11"/>
        <v>3Pinheiro - MA8</v>
      </c>
      <c r="K95" s="27" t="str">
        <f>IFERROR(VLOOKUP(J95,Substituicoes!J:J,1,0),"SS")</f>
        <v>SS</v>
      </c>
      <c r="L95" s="27" t="str">
        <f>IFERROR(VLOOKUP(J95,Substituicoes!K:K,1,0),"SS")</f>
        <v>SS</v>
      </c>
      <c r="M95" s="28" t="b">
        <f t="shared" si="12"/>
        <v>1</v>
      </c>
      <c r="N95" s="29">
        <f>IF(AND(K95=L95,LEFT(E95,1)="T"),VLOOKUP(A95,'JOGOS BASE'!A:E,4,0),IF(K95=J95,VLOOKUP(J95,Substituicoes!J:R,6,0),IF(L95=J95,VLOOKUP(Escalacao!J95,Substituicoes!K:R,7,0),0)))</f>
        <v>50</v>
      </c>
      <c r="O95" s="28">
        <f>IF(AND(K95=L95,LEFT(E95,1)="T"),VLOOKUP(A95,'JOGOS BASE'!A:E,5,0),IF(K95=J95,VLOOKUP(J95,Substituicoes!J:R,7,0),IF(L95=J95,VLOOKUP(Escalacao!J95,Substituicoes!K:R,8,0),0)))</f>
        <v>47</v>
      </c>
      <c r="P95" s="28">
        <f t="shared" si="13"/>
        <v>97</v>
      </c>
      <c r="Q95" s="28" t="str">
        <f t="shared" si="14"/>
        <v>38Pinheiro - MA</v>
      </c>
      <c r="R95" s="28" t="str">
        <f>VLOOKUP(A95,'JOGOS BASE'!A:H,8)</f>
        <v>12.01.2025 - Pinheiro - MA x Viana - MA</v>
      </c>
    </row>
    <row r="96" spans="1:18" ht="30.6" hidden="1">
      <c r="A96" s="15">
        <v>3</v>
      </c>
      <c r="B96" s="46">
        <v>9</v>
      </c>
      <c r="C96" s="45" t="s">
        <v>316</v>
      </c>
      <c r="D96" s="45" t="s">
        <v>317</v>
      </c>
      <c r="E96" s="47" t="s">
        <v>26</v>
      </c>
      <c r="F96" s="47" t="s">
        <v>24</v>
      </c>
      <c r="G96" s="46">
        <v>464141</v>
      </c>
      <c r="H96" s="15" t="s">
        <v>368</v>
      </c>
      <c r="I96" s="26" t="str">
        <f t="shared" si="10"/>
        <v>Cleber</v>
      </c>
      <c r="J96" s="26" t="str">
        <f t="shared" si="11"/>
        <v>3Pinheiro - MA9</v>
      </c>
      <c r="K96" s="27" t="str">
        <f>IFERROR(VLOOKUP(J96,Substituicoes!J:J,1,0),"SS")</f>
        <v>SS</v>
      </c>
      <c r="L96" s="27" t="str">
        <f>IFERROR(VLOOKUP(J96,Substituicoes!K:K,1,0),"SS")</f>
        <v>3Pinheiro - MA9</v>
      </c>
      <c r="M96" s="28" t="b">
        <f t="shared" si="12"/>
        <v>0</v>
      </c>
      <c r="N96" s="29">
        <f>IF(AND(K96=L96,LEFT(E96,1)="T"),VLOOKUP(A96,'JOGOS BASE'!A:E,4,0),IF(K96=J96,VLOOKUP(J96,Substituicoes!J:R,6,0),IF(L96=J96,VLOOKUP(Escalacao!J96,Substituicoes!K:R,7,0),0)))</f>
        <v>50</v>
      </c>
      <c r="O96" s="28">
        <f>IF(AND(K96=L96,LEFT(E96,1)="T"),VLOOKUP(A96,'JOGOS BASE'!A:E,5,0),IF(K96=J96,VLOOKUP(J96,Substituicoes!J:R,7,0),IF(L96=J96,VLOOKUP(Escalacao!J96,Substituicoes!K:R,8,0),0)))</f>
        <v>32</v>
      </c>
      <c r="P96" s="28">
        <f t="shared" si="13"/>
        <v>82</v>
      </c>
      <c r="Q96" s="28" t="str">
        <f t="shared" si="14"/>
        <v>39Pinheiro - MA</v>
      </c>
      <c r="R96" s="28" t="str">
        <f>VLOOKUP(A96,'JOGOS BASE'!A:H,8)</f>
        <v>12.01.2025 - Pinheiro - MA x Viana - MA</v>
      </c>
    </row>
    <row r="97" spans="1:18" ht="20.399999999999999" hidden="1">
      <c r="A97" s="15">
        <v>3</v>
      </c>
      <c r="B97" s="46">
        <v>10</v>
      </c>
      <c r="C97" s="45" t="s">
        <v>318</v>
      </c>
      <c r="D97" s="45" t="s">
        <v>319</v>
      </c>
      <c r="E97" s="47" t="s">
        <v>26</v>
      </c>
      <c r="F97" s="47" t="s">
        <v>24</v>
      </c>
      <c r="G97" s="46">
        <v>554277</v>
      </c>
      <c r="H97" s="15" t="s">
        <v>368</v>
      </c>
      <c r="I97" s="26" t="str">
        <f t="shared" si="10"/>
        <v>Neto</v>
      </c>
      <c r="J97" s="26" t="str">
        <f t="shared" si="11"/>
        <v>3Pinheiro - MA10</v>
      </c>
      <c r="K97" s="27" t="str">
        <f>IFERROR(VLOOKUP(J97,Substituicoes!J:J,1,0),"SS")</f>
        <v>SS</v>
      </c>
      <c r="L97" s="27" t="str">
        <f>IFERROR(VLOOKUP(J97,Substituicoes!K:K,1,0),"SS")</f>
        <v>SS</v>
      </c>
      <c r="M97" s="28" t="b">
        <f t="shared" si="12"/>
        <v>1</v>
      </c>
      <c r="N97" s="29">
        <f>IF(AND(K97=L97,LEFT(E97,1)="T"),VLOOKUP(A97,'JOGOS BASE'!A:E,4,0),IF(K97=J97,VLOOKUP(J97,Substituicoes!J:R,6,0),IF(L97=J97,VLOOKUP(Escalacao!J97,Substituicoes!K:R,7,0),0)))</f>
        <v>50</v>
      </c>
      <c r="O97" s="28">
        <f>IF(AND(K97=L97,LEFT(E97,1)="T"),VLOOKUP(A97,'JOGOS BASE'!A:E,5,0),IF(K97=J97,VLOOKUP(J97,Substituicoes!J:R,7,0),IF(L97=J97,VLOOKUP(Escalacao!J97,Substituicoes!K:R,8,0),0)))</f>
        <v>47</v>
      </c>
      <c r="P97" s="28">
        <f t="shared" si="13"/>
        <v>97</v>
      </c>
      <c r="Q97" s="28" t="str">
        <f t="shared" si="14"/>
        <v>310Pinheiro - MA</v>
      </c>
      <c r="R97" s="28" t="str">
        <f>VLOOKUP(A97,'JOGOS BASE'!A:H,8)</f>
        <v>12.01.2025 - Pinheiro - MA x Viana - MA</v>
      </c>
    </row>
    <row r="98" spans="1:18" ht="20.399999999999999" hidden="1">
      <c r="A98" s="15">
        <v>3</v>
      </c>
      <c r="B98" s="46">
        <v>11</v>
      </c>
      <c r="C98" s="45" t="s">
        <v>320</v>
      </c>
      <c r="D98" s="45" t="s">
        <v>321</v>
      </c>
      <c r="E98" s="47" t="s">
        <v>26</v>
      </c>
      <c r="F98" s="47" t="s">
        <v>24</v>
      </c>
      <c r="G98" s="46">
        <v>612866</v>
      </c>
      <c r="H98" s="15" t="s">
        <v>368</v>
      </c>
      <c r="I98" s="26" t="str">
        <f t="shared" si="10"/>
        <v>Joao Pedro</v>
      </c>
      <c r="J98" s="26" t="str">
        <f t="shared" si="11"/>
        <v>3Pinheiro - MA11</v>
      </c>
      <c r="K98" s="27" t="str">
        <f>IFERROR(VLOOKUP(J98,Substituicoes!J:J,1,0),"SS")</f>
        <v>SS</v>
      </c>
      <c r="L98" s="27" t="str">
        <f>IFERROR(VLOOKUP(J98,Substituicoes!K:K,1,0),"SS")</f>
        <v>3Pinheiro - MA11</v>
      </c>
      <c r="M98" s="28" t="b">
        <f t="shared" si="12"/>
        <v>0</v>
      </c>
      <c r="N98" s="29">
        <f>IF(AND(K98=L98,LEFT(E98,1)="T"),VLOOKUP(A98,'JOGOS BASE'!A:E,4,0),IF(K98=J98,VLOOKUP(J98,Substituicoes!J:R,6,0),IF(L98=J98,VLOOKUP(Escalacao!J98,Substituicoes!K:R,7,0),0)))</f>
        <v>50</v>
      </c>
      <c r="O98" s="28">
        <f>IF(AND(K98=L98,LEFT(E98,1)="T"),VLOOKUP(A98,'JOGOS BASE'!A:E,5,0),IF(K98=J98,VLOOKUP(J98,Substituicoes!J:R,7,0),IF(L98=J98,VLOOKUP(Escalacao!J98,Substituicoes!K:R,8,0),0)))</f>
        <v>25</v>
      </c>
      <c r="P98" s="28">
        <f t="shared" si="13"/>
        <v>75</v>
      </c>
      <c r="Q98" s="28" t="str">
        <f t="shared" si="14"/>
        <v>311Pinheiro - MA</v>
      </c>
      <c r="R98" s="28" t="str">
        <f>VLOOKUP(A98,'JOGOS BASE'!A:H,8)</f>
        <v>12.01.2025 - Pinheiro - MA x Viana - MA</v>
      </c>
    </row>
    <row r="99" spans="1:18" ht="20.399999999999999" hidden="1">
      <c r="A99" s="15">
        <v>3</v>
      </c>
      <c r="B99" s="46">
        <v>12</v>
      </c>
      <c r="C99" s="45" t="s">
        <v>322</v>
      </c>
      <c r="D99" s="45" t="s">
        <v>323</v>
      </c>
      <c r="E99" s="47" t="s">
        <v>40</v>
      </c>
      <c r="F99" s="47" t="s">
        <v>24</v>
      </c>
      <c r="G99" s="46">
        <v>637255</v>
      </c>
      <c r="H99" s="15" t="s">
        <v>368</v>
      </c>
      <c r="I99" s="26" t="str">
        <f t="shared" si="10"/>
        <v>LUAN</v>
      </c>
      <c r="J99" s="26" t="str">
        <f t="shared" si="11"/>
        <v>3Pinheiro - MA12</v>
      </c>
      <c r="K99" s="27" t="str">
        <f>IFERROR(VLOOKUP(J99,Substituicoes!J:J,1,0),"SS")</f>
        <v>SS</v>
      </c>
      <c r="L99" s="27" t="str">
        <f>IFERROR(VLOOKUP(J99,Substituicoes!K:K,1,0),"SS")</f>
        <v>SS</v>
      </c>
      <c r="M99" s="28" t="b">
        <f t="shared" si="12"/>
        <v>1</v>
      </c>
      <c r="N99" s="29">
        <f>IF(AND(K99=L99,LEFT(E99,1)="T"),VLOOKUP(A99,'JOGOS BASE'!A:E,4,0),IF(K99=J99,VLOOKUP(J99,Substituicoes!J:R,6,0),IF(L99=J99,VLOOKUP(Escalacao!J99,Substituicoes!K:R,7,0),0)))</f>
        <v>0</v>
      </c>
      <c r="O99" s="28">
        <f>IF(AND(K99=L99,LEFT(E99,1)="T"),VLOOKUP(A99,'JOGOS BASE'!A:E,5,0),IF(K99=J99,VLOOKUP(J99,Substituicoes!J:R,7,0),IF(L99=J99,VLOOKUP(Escalacao!J99,Substituicoes!K:R,8,0),0)))</f>
        <v>0</v>
      </c>
      <c r="P99" s="28">
        <f t="shared" si="13"/>
        <v>0</v>
      </c>
      <c r="Q99" s="28" t="str">
        <f t="shared" si="14"/>
        <v>312Pinheiro - MA</v>
      </c>
      <c r="R99" s="28" t="str">
        <f>VLOOKUP(A99,'JOGOS BASE'!A:H,8)</f>
        <v>12.01.2025 - Pinheiro - MA x Viana - MA</v>
      </c>
    </row>
    <row r="100" spans="1:18" ht="30.6" hidden="1">
      <c r="A100" s="15">
        <v>3</v>
      </c>
      <c r="B100" s="46">
        <v>13</v>
      </c>
      <c r="C100" s="45" t="s">
        <v>324</v>
      </c>
      <c r="D100" s="45" t="s">
        <v>325</v>
      </c>
      <c r="E100" s="47" t="s">
        <v>42</v>
      </c>
      <c r="F100" s="47" t="s">
        <v>24</v>
      </c>
      <c r="G100" s="46">
        <v>554265</v>
      </c>
      <c r="H100" s="15" t="s">
        <v>368</v>
      </c>
      <c r="I100" s="26" t="str">
        <f t="shared" si="10"/>
        <v>Aldomir</v>
      </c>
      <c r="J100" s="26" t="str">
        <f t="shared" si="11"/>
        <v>3Pinheiro - MA13</v>
      </c>
      <c r="K100" s="27" t="str">
        <f>IFERROR(VLOOKUP(J100,Substituicoes!J:J,1,0),"SS")</f>
        <v>3Pinheiro - MA13</v>
      </c>
      <c r="L100" s="27" t="str">
        <f>IFERROR(VLOOKUP(J100,Substituicoes!K:K,1,0),"SS")</f>
        <v>SS</v>
      </c>
      <c r="M100" s="28" t="b">
        <f t="shared" si="12"/>
        <v>0</v>
      </c>
      <c r="N100" s="29">
        <f>IF(AND(K100=L100,LEFT(E100,1)="T"),VLOOKUP(A100,'JOGOS BASE'!A:E,4,0),IF(K100=J100,VLOOKUP(J100,Substituicoes!J:R,6,0),IF(L100=J100,VLOOKUP(Escalacao!J100,Substituicoes!K:R,7,0),0)))</f>
        <v>0</v>
      </c>
      <c r="O100" s="28">
        <f>IF(AND(K100=L100,LEFT(E100,1)="T"),VLOOKUP(A100,'JOGOS BASE'!A:E,5,0),IF(K100=J100,VLOOKUP(J100,Substituicoes!J:R,7,0),IF(L100=J100,VLOOKUP(Escalacao!J100,Substituicoes!K:R,8,0),0)))</f>
        <v>15</v>
      </c>
      <c r="P100" s="28">
        <f t="shared" si="13"/>
        <v>15</v>
      </c>
      <c r="Q100" s="28" t="str">
        <f t="shared" si="14"/>
        <v>313Pinheiro - MA</v>
      </c>
      <c r="R100" s="28" t="str">
        <f>VLOOKUP(A100,'JOGOS BASE'!A:H,8)</f>
        <v>12.01.2025 - Pinheiro - MA x Viana - MA</v>
      </c>
    </row>
    <row r="101" spans="1:18" ht="20.399999999999999" hidden="1">
      <c r="A101" s="15">
        <v>3</v>
      </c>
      <c r="B101" s="46">
        <v>14</v>
      </c>
      <c r="C101" s="45" t="s">
        <v>326</v>
      </c>
      <c r="D101" s="45" t="s">
        <v>327</v>
      </c>
      <c r="E101" s="47" t="s">
        <v>42</v>
      </c>
      <c r="F101" s="47" t="s">
        <v>56</v>
      </c>
      <c r="G101" s="46">
        <v>804398</v>
      </c>
      <c r="H101" s="15" t="s">
        <v>368</v>
      </c>
      <c r="I101" s="26" t="str">
        <f t="shared" si="10"/>
        <v>Igor Mineiro</v>
      </c>
      <c r="J101" s="26" t="str">
        <f t="shared" si="11"/>
        <v>3Pinheiro - MA14</v>
      </c>
      <c r="K101" s="27" t="str">
        <f>IFERROR(VLOOKUP(J101,Substituicoes!J:J,1,0),"SS")</f>
        <v>3Pinheiro - MA14</v>
      </c>
      <c r="L101" s="27" t="str">
        <f>IFERROR(VLOOKUP(J101,Substituicoes!K:K,1,0),"SS")</f>
        <v>SS</v>
      </c>
      <c r="M101" s="28" t="b">
        <f t="shared" si="12"/>
        <v>0</v>
      </c>
      <c r="N101" s="29">
        <f>IF(AND(K101=L101,LEFT(E101,1)="T"),VLOOKUP(A101,'JOGOS BASE'!A:E,4,0),IF(K101=J101,VLOOKUP(J101,Substituicoes!J:R,6,0),IF(L101=J101,VLOOKUP(Escalacao!J101,Substituicoes!K:R,7,0),0)))</f>
        <v>8</v>
      </c>
      <c r="O101" s="28">
        <f>IF(AND(K101=L101,LEFT(E101,1)="T"),VLOOKUP(A101,'JOGOS BASE'!A:E,5,0),IF(K101=J101,VLOOKUP(J101,Substituicoes!J:R,7,0),IF(L101=J101,VLOOKUP(Escalacao!J101,Substituicoes!K:R,8,0),0)))</f>
        <v>47</v>
      </c>
      <c r="P101" s="28">
        <f t="shared" si="13"/>
        <v>55</v>
      </c>
      <c r="Q101" s="28" t="str">
        <f t="shared" si="14"/>
        <v>314Pinheiro - MA</v>
      </c>
      <c r="R101" s="28" t="str">
        <f>VLOOKUP(A101,'JOGOS BASE'!A:H,8)</f>
        <v>12.01.2025 - Pinheiro - MA x Viana - MA</v>
      </c>
    </row>
    <row r="102" spans="1:18" ht="30.6" hidden="1">
      <c r="A102" s="15">
        <v>3</v>
      </c>
      <c r="B102" s="46">
        <v>15</v>
      </c>
      <c r="C102" s="45" t="s">
        <v>328</v>
      </c>
      <c r="D102" s="45" t="s">
        <v>329</v>
      </c>
      <c r="E102" s="47" t="s">
        <v>42</v>
      </c>
      <c r="F102" s="47" t="s">
        <v>56</v>
      </c>
      <c r="G102" s="46">
        <v>779893</v>
      </c>
      <c r="H102" s="15" t="s">
        <v>368</v>
      </c>
      <c r="I102" s="26" t="str">
        <f t="shared" si="10"/>
        <v>George</v>
      </c>
      <c r="J102" s="26" t="str">
        <f t="shared" si="11"/>
        <v>3Pinheiro - MA15</v>
      </c>
      <c r="K102" s="27" t="str">
        <f>IFERROR(VLOOKUP(J102,Substituicoes!J:J,1,0),"SS")</f>
        <v>3Pinheiro - MA15</v>
      </c>
      <c r="L102" s="27" t="str">
        <f>IFERROR(VLOOKUP(J102,Substituicoes!K:K,1,0),"SS")</f>
        <v>SS</v>
      </c>
      <c r="M102" s="28" t="b">
        <f t="shared" si="12"/>
        <v>0</v>
      </c>
      <c r="N102" s="29">
        <f>IF(AND(K102=L102,LEFT(E102,1)="T"),VLOOKUP(A102,'JOGOS BASE'!A:E,4,0),IF(K102=J102,VLOOKUP(J102,Substituicoes!J:R,6,0),IF(L102=J102,VLOOKUP(Escalacao!J102,Substituicoes!K:R,7,0),0)))</f>
        <v>0</v>
      </c>
      <c r="O102" s="28">
        <f>IF(AND(K102=L102,LEFT(E102,1)="T"),VLOOKUP(A102,'JOGOS BASE'!A:E,5,0),IF(K102=J102,VLOOKUP(J102,Substituicoes!J:R,7,0),IF(L102=J102,VLOOKUP(Escalacao!J102,Substituicoes!K:R,8,0),0)))</f>
        <v>15</v>
      </c>
      <c r="P102" s="28">
        <f t="shared" si="13"/>
        <v>15</v>
      </c>
      <c r="Q102" s="28" t="str">
        <f t="shared" si="14"/>
        <v>315Pinheiro - MA</v>
      </c>
      <c r="R102" s="28" t="str">
        <f>VLOOKUP(A102,'JOGOS BASE'!A:H,8)</f>
        <v>12.01.2025 - Pinheiro - MA x Viana - MA</v>
      </c>
    </row>
    <row r="103" spans="1:18" ht="20.399999999999999" hidden="1">
      <c r="A103" s="15">
        <v>3</v>
      </c>
      <c r="B103" s="46">
        <v>16</v>
      </c>
      <c r="C103" s="45" t="s">
        <v>214</v>
      </c>
      <c r="D103" s="45" t="s">
        <v>330</v>
      </c>
      <c r="E103" s="47" t="s">
        <v>42</v>
      </c>
      <c r="F103" s="47" t="s">
        <v>24</v>
      </c>
      <c r="G103" s="46">
        <v>559235</v>
      </c>
      <c r="H103" s="15" t="s">
        <v>368</v>
      </c>
      <c r="I103" s="26" t="str">
        <f t="shared" si="10"/>
        <v>Jean</v>
      </c>
      <c r="J103" s="26" t="str">
        <f t="shared" si="11"/>
        <v>3Pinheiro - MA16</v>
      </c>
      <c r="K103" s="27" t="str">
        <f>IFERROR(VLOOKUP(J103,Substituicoes!J:J,1,0),"SS")</f>
        <v>SS</v>
      </c>
      <c r="L103" s="27" t="str">
        <f>IFERROR(VLOOKUP(J103,Substituicoes!K:K,1,0),"SS")</f>
        <v>SS</v>
      </c>
      <c r="M103" s="28" t="b">
        <f t="shared" si="12"/>
        <v>1</v>
      </c>
      <c r="N103" s="29">
        <f>IF(AND(K103=L103,LEFT(E103,1)="T"),VLOOKUP(A103,'JOGOS BASE'!A:E,4,0),IF(K103=J103,VLOOKUP(J103,Substituicoes!J:R,6,0),IF(L103=J103,VLOOKUP(Escalacao!J103,Substituicoes!K:R,7,0),0)))</f>
        <v>0</v>
      </c>
      <c r="O103" s="28">
        <f>IF(AND(K103=L103,LEFT(E103,1)="T"),VLOOKUP(A103,'JOGOS BASE'!A:E,5,0),IF(K103=J103,VLOOKUP(J103,Substituicoes!J:R,7,0),IF(L103=J103,VLOOKUP(Escalacao!J103,Substituicoes!K:R,8,0),0)))</f>
        <v>0</v>
      </c>
      <c r="P103" s="28">
        <f t="shared" si="13"/>
        <v>0</v>
      </c>
      <c r="Q103" s="28" t="str">
        <f t="shared" si="14"/>
        <v>316Pinheiro - MA</v>
      </c>
      <c r="R103" s="28" t="str">
        <f>VLOOKUP(A103,'JOGOS BASE'!A:H,8)</f>
        <v>12.01.2025 - Pinheiro - MA x Viana - MA</v>
      </c>
    </row>
    <row r="104" spans="1:18" ht="30.6" hidden="1">
      <c r="A104" s="15">
        <v>3</v>
      </c>
      <c r="B104" s="46">
        <v>17</v>
      </c>
      <c r="C104" s="45" t="s">
        <v>331</v>
      </c>
      <c r="D104" s="45" t="s">
        <v>332</v>
      </c>
      <c r="E104" s="47" t="s">
        <v>42</v>
      </c>
      <c r="F104" s="47" t="s">
        <v>24</v>
      </c>
      <c r="G104" s="46">
        <v>816868</v>
      </c>
      <c r="H104" s="15" t="s">
        <v>368</v>
      </c>
      <c r="I104" s="26" t="str">
        <f t="shared" si="10"/>
        <v>KAYKY</v>
      </c>
      <c r="J104" s="26" t="str">
        <f t="shared" si="11"/>
        <v>3Pinheiro - MA17</v>
      </c>
      <c r="K104" s="27" t="str">
        <f>IFERROR(VLOOKUP(J104,Substituicoes!J:J,1,0),"SS")</f>
        <v>3Pinheiro - MA17</v>
      </c>
      <c r="L104" s="27" t="str">
        <f>IFERROR(VLOOKUP(J104,Substituicoes!K:K,1,0),"SS")</f>
        <v>SS</v>
      </c>
      <c r="M104" s="28" t="b">
        <f t="shared" si="12"/>
        <v>0</v>
      </c>
      <c r="N104" s="29">
        <f>IF(AND(K104=L104,LEFT(E104,1)="T"),VLOOKUP(A104,'JOGOS BASE'!A:E,4,0),IF(K104=J104,VLOOKUP(J104,Substituicoes!J:R,6,0),IF(L104=J104,VLOOKUP(Escalacao!J104,Substituicoes!K:R,7,0),0)))</f>
        <v>0</v>
      </c>
      <c r="O104" s="28">
        <f>IF(AND(K104=L104,LEFT(E104,1)="T"),VLOOKUP(A104,'JOGOS BASE'!A:E,5,0),IF(K104=J104,VLOOKUP(J104,Substituicoes!J:R,7,0),IF(L104=J104,VLOOKUP(Escalacao!J104,Substituicoes!K:R,8,0),0)))</f>
        <v>15</v>
      </c>
      <c r="P104" s="28">
        <f t="shared" si="13"/>
        <v>15</v>
      </c>
      <c r="Q104" s="28" t="str">
        <f t="shared" si="14"/>
        <v>317Pinheiro - MA</v>
      </c>
      <c r="R104" s="28" t="str">
        <f>VLOOKUP(A104,'JOGOS BASE'!A:H,8)</f>
        <v>12.01.2025 - Pinheiro - MA x Viana - MA</v>
      </c>
    </row>
    <row r="105" spans="1:18" ht="30.6" hidden="1">
      <c r="A105" s="15">
        <v>3</v>
      </c>
      <c r="B105" s="46">
        <v>18</v>
      </c>
      <c r="C105" s="45" t="s">
        <v>333</v>
      </c>
      <c r="D105" s="45" t="s">
        <v>334</v>
      </c>
      <c r="E105" s="47" t="s">
        <v>42</v>
      </c>
      <c r="F105" s="47" t="s">
        <v>24</v>
      </c>
      <c r="G105" s="46">
        <v>710709</v>
      </c>
      <c r="H105" s="15" t="s">
        <v>368</v>
      </c>
      <c r="I105" s="26" t="str">
        <f t="shared" si="10"/>
        <v>BASTICO</v>
      </c>
      <c r="J105" s="26" t="str">
        <f t="shared" si="11"/>
        <v>3Pinheiro - MA18</v>
      </c>
      <c r="K105" s="27" t="str">
        <f>IFERROR(VLOOKUP(J105,Substituicoes!J:J,1,0),"SS")</f>
        <v>3Pinheiro - MA18</v>
      </c>
      <c r="L105" s="27" t="str">
        <f>IFERROR(VLOOKUP(J105,Substituicoes!K:K,1,0),"SS")</f>
        <v>SS</v>
      </c>
      <c r="M105" s="28" t="b">
        <f t="shared" si="12"/>
        <v>0</v>
      </c>
      <c r="N105" s="29">
        <f>IF(AND(K105=L105,LEFT(E105,1)="T"),VLOOKUP(A105,'JOGOS BASE'!A:E,4,0),IF(K105=J105,VLOOKUP(J105,Substituicoes!J:R,6,0),IF(L105=J105,VLOOKUP(Escalacao!J105,Substituicoes!K:R,7,0),0)))</f>
        <v>0</v>
      </c>
      <c r="O105" s="28">
        <f>IF(AND(K105=L105,LEFT(E105,1)="T"),VLOOKUP(A105,'JOGOS BASE'!A:E,5,0),IF(K105=J105,VLOOKUP(J105,Substituicoes!J:R,7,0),IF(L105=J105,VLOOKUP(Escalacao!J105,Substituicoes!K:R,8,0),0)))</f>
        <v>22</v>
      </c>
      <c r="P105" s="28">
        <f t="shared" si="13"/>
        <v>22</v>
      </c>
      <c r="Q105" s="28" t="str">
        <f t="shared" si="14"/>
        <v>318Pinheiro - MA</v>
      </c>
      <c r="R105" s="28" t="str">
        <f>VLOOKUP(A105,'JOGOS BASE'!A:H,8)</f>
        <v>12.01.2025 - Pinheiro - MA x Viana - MA</v>
      </c>
    </row>
    <row r="106" spans="1:18" ht="30.6">
      <c r="A106" s="15">
        <v>3</v>
      </c>
      <c r="B106" s="46">
        <v>1</v>
      </c>
      <c r="C106" s="45" t="s">
        <v>335</v>
      </c>
      <c r="D106" s="45" t="s">
        <v>336</v>
      </c>
      <c r="E106" s="47" t="s">
        <v>23</v>
      </c>
      <c r="F106" s="47" t="s">
        <v>24</v>
      </c>
      <c r="G106" s="46">
        <v>178014</v>
      </c>
      <c r="H106" s="15" t="s">
        <v>381</v>
      </c>
      <c r="I106" s="26" t="str">
        <f t="shared" si="10"/>
        <v>Saulo</v>
      </c>
      <c r="J106" s="26" t="str">
        <f t="shared" si="11"/>
        <v>3Viana - MA1</v>
      </c>
      <c r="K106" s="27" t="str">
        <f>IFERROR(VLOOKUP(J106,Substituicoes!J:J,1,0),"SS")</f>
        <v>SS</v>
      </c>
      <c r="L106" s="27" t="str">
        <f>IFERROR(VLOOKUP(J106,Substituicoes!K:K,1,0),"SS")</f>
        <v>SS</v>
      </c>
      <c r="M106" s="28" t="b">
        <f t="shared" si="12"/>
        <v>1</v>
      </c>
      <c r="N106" s="29">
        <f>IF(AND(K106=L106,LEFT(E106,1)="T"),VLOOKUP(A106,'JOGOS BASE'!A:E,4,0),IF(K106=J106,VLOOKUP(J106,Substituicoes!J:R,6,0),IF(L106=J106,VLOOKUP(Escalacao!J106,Substituicoes!K:R,7,0),0)))</f>
        <v>50</v>
      </c>
      <c r="O106" s="28">
        <f>IF(AND(K106=L106,LEFT(E106,1)="T"),VLOOKUP(A106,'JOGOS BASE'!A:E,5,0),IF(K106=J106,VLOOKUP(J106,Substituicoes!J:R,7,0),IF(L106=J106,VLOOKUP(Escalacao!J106,Substituicoes!K:R,8,0),0)))</f>
        <v>47</v>
      </c>
      <c r="P106" s="28">
        <f t="shared" si="13"/>
        <v>97</v>
      </c>
      <c r="Q106" s="28" t="str">
        <f t="shared" si="14"/>
        <v>31Viana - MA</v>
      </c>
      <c r="R106" s="28" t="str">
        <f>VLOOKUP(A106,'JOGOS BASE'!A:H,8)</f>
        <v>12.01.2025 - Pinheiro - MA x Viana - MA</v>
      </c>
    </row>
    <row r="107" spans="1:18" ht="30.6">
      <c r="A107" s="15">
        <v>3</v>
      </c>
      <c r="B107" s="46">
        <v>2</v>
      </c>
      <c r="C107" s="45" t="s">
        <v>337</v>
      </c>
      <c r="D107" s="45" t="s">
        <v>338</v>
      </c>
      <c r="E107" s="47" t="s">
        <v>26</v>
      </c>
      <c r="F107" s="47" t="s">
        <v>24</v>
      </c>
      <c r="G107" s="46">
        <v>754354</v>
      </c>
      <c r="H107" s="15" t="s">
        <v>381</v>
      </c>
      <c r="I107" s="26" t="str">
        <f t="shared" si="10"/>
        <v>ARTHUR CAR</v>
      </c>
      <c r="J107" s="26" t="str">
        <f t="shared" si="11"/>
        <v>3Viana - MA2</v>
      </c>
      <c r="K107" s="27" t="str">
        <f>IFERROR(VLOOKUP(J107,Substituicoes!J:J,1,0),"SS")</f>
        <v>SS</v>
      </c>
      <c r="L107" s="27" t="str">
        <f>IFERROR(VLOOKUP(J107,Substituicoes!K:K,1,0),"SS")</f>
        <v>SS</v>
      </c>
      <c r="M107" s="28" t="b">
        <f t="shared" si="12"/>
        <v>1</v>
      </c>
      <c r="N107" s="29">
        <f>IF(AND(K107=L107,LEFT(E107,1)="T"),VLOOKUP(A107,'JOGOS BASE'!A:E,4,0),IF(K107=J107,VLOOKUP(J107,Substituicoes!J:R,6,0),IF(L107=J107,VLOOKUP(Escalacao!J107,Substituicoes!K:R,7,0),0)))</f>
        <v>50</v>
      </c>
      <c r="O107" s="28">
        <f>IF(AND(K107=L107,LEFT(E107,1)="T"),VLOOKUP(A107,'JOGOS BASE'!A:E,5,0),IF(K107=J107,VLOOKUP(J107,Substituicoes!J:R,7,0),IF(L107=J107,VLOOKUP(Escalacao!J107,Substituicoes!K:R,8,0),0)))</f>
        <v>47</v>
      </c>
      <c r="P107" s="28">
        <f t="shared" si="13"/>
        <v>97</v>
      </c>
      <c r="Q107" s="28" t="str">
        <f t="shared" si="14"/>
        <v>32Viana - MA</v>
      </c>
      <c r="R107" s="28" t="str">
        <f>VLOOKUP(A107,'JOGOS BASE'!A:H,8)</f>
        <v>12.01.2025 - Pinheiro - MA x Viana - MA</v>
      </c>
    </row>
    <row r="108" spans="1:18" ht="30.6">
      <c r="A108" s="15">
        <v>3</v>
      </c>
      <c r="B108" s="46">
        <v>3</v>
      </c>
      <c r="C108" s="45" t="s">
        <v>339</v>
      </c>
      <c r="D108" s="45" t="s">
        <v>340</v>
      </c>
      <c r="E108" s="47" t="s">
        <v>26</v>
      </c>
      <c r="F108" s="47" t="s">
        <v>24</v>
      </c>
      <c r="G108" s="46">
        <v>396008</v>
      </c>
      <c r="H108" s="15" t="s">
        <v>381</v>
      </c>
      <c r="I108" s="26" t="str">
        <f t="shared" si="10"/>
        <v>Brener Bessa</v>
      </c>
      <c r="J108" s="26" t="str">
        <f t="shared" si="11"/>
        <v>3Viana - MA3</v>
      </c>
      <c r="K108" s="27" t="str">
        <f>IFERROR(VLOOKUP(J108,Substituicoes!J:J,1,0),"SS")</f>
        <v>SS</v>
      </c>
      <c r="L108" s="27" t="str">
        <f>IFERROR(VLOOKUP(J108,Substituicoes!K:K,1,0),"SS")</f>
        <v>SS</v>
      </c>
      <c r="M108" s="28" t="b">
        <f t="shared" si="12"/>
        <v>1</v>
      </c>
      <c r="N108" s="29">
        <f>IF(AND(K108=L108,LEFT(E108,1)="T"),VLOOKUP(A108,'JOGOS BASE'!A:E,4,0),IF(K108=J108,VLOOKUP(J108,Substituicoes!J:R,6,0),IF(L108=J108,VLOOKUP(Escalacao!J108,Substituicoes!K:R,7,0),0)))</f>
        <v>50</v>
      </c>
      <c r="O108" s="28">
        <f>IF(AND(K108=L108,LEFT(E108,1)="T"),VLOOKUP(A108,'JOGOS BASE'!A:E,5,0),IF(K108=J108,VLOOKUP(J108,Substituicoes!J:R,7,0),IF(L108=J108,VLOOKUP(Escalacao!J108,Substituicoes!K:R,8,0),0)))</f>
        <v>47</v>
      </c>
      <c r="P108" s="28">
        <f t="shared" si="13"/>
        <v>97</v>
      </c>
      <c r="Q108" s="28" t="str">
        <f t="shared" si="14"/>
        <v>33Viana - MA</v>
      </c>
      <c r="R108" s="28" t="str">
        <f>VLOOKUP(A108,'JOGOS BASE'!A:H,8)</f>
        <v>12.01.2025 - Pinheiro - MA x Viana - MA</v>
      </c>
    </row>
    <row r="109" spans="1:18" ht="30.6">
      <c r="A109" s="15">
        <v>3</v>
      </c>
      <c r="B109" s="46">
        <v>4</v>
      </c>
      <c r="C109" s="45" t="s">
        <v>341</v>
      </c>
      <c r="D109" s="45" t="s">
        <v>342</v>
      </c>
      <c r="E109" s="47" t="s">
        <v>26</v>
      </c>
      <c r="F109" s="47" t="s">
        <v>24</v>
      </c>
      <c r="G109" s="46">
        <v>622807</v>
      </c>
      <c r="H109" s="15" t="s">
        <v>381</v>
      </c>
      <c r="I109" s="26" t="str">
        <f t="shared" si="10"/>
        <v>LUIZ HENRIQ</v>
      </c>
      <c r="J109" s="26" t="str">
        <f t="shared" si="11"/>
        <v>3Viana - MA4</v>
      </c>
      <c r="K109" s="27" t="str">
        <f>IFERROR(VLOOKUP(J109,Substituicoes!J:J,1,0),"SS")</f>
        <v>SS</v>
      </c>
      <c r="L109" s="27" t="str">
        <f>IFERROR(VLOOKUP(J109,Substituicoes!K:K,1,0),"SS")</f>
        <v>SS</v>
      </c>
      <c r="M109" s="28" t="b">
        <f t="shared" si="12"/>
        <v>1</v>
      </c>
      <c r="N109" s="29">
        <f>IF(AND(K109=L109,LEFT(E109,1)="T"),VLOOKUP(A109,'JOGOS BASE'!A:E,4,0),IF(K109=J109,VLOOKUP(J109,Substituicoes!J:R,6,0),IF(L109=J109,VLOOKUP(Escalacao!J109,Substituicoes!K:R,7,0),0)))</f>
        <v>50</v>
      </c>
      <c r="O109" s="28">
        <f>IF(AND(K109=L109,LEFT(E109,1)="T"),VLOOKUP(A109,'JOGOS BASE'!A:E,5,0),IF(K109=J109,VLOOKUP(J109,Substituicoes!J:R,7,0),IF(L109=J109,VLOOKUP(Escalacao!J109,Substituicoes!K:R,8,0),0)))</f>
        <v>47</v>
      </c>
      <c r="P109" s="28">
        <f t="shared" si="13"/>
        <v>97</v>
      </c>
      <c r="Q109" s="28" t="str">
        <f t="shared" si="14"/>
        <v>34Viana - MA</v>
      </c>
      <c r="R109" s="28" t="str">
        <f>VLOOKUP(A109,'JOGOS BASE'!A:H,8)</f>
        <v>12.01.2025 - Pinheiro - MA x Viana - MA</v>
      </c>
    </row>
    <row r="110" spans="1:18" ht="30.6">
      <c r="A110" s="15">
        <v>3</v>
      </c>
      <c r="B110" s="46">
        <v>5</v>
      </c>
      <c r="C110" s="45" t="s">
        <v>343</v>
      </c>
      <c r="D110" s="45" t="s">
        <v>344</v>
      </c>
      <c r="E110" s="47" t="s">
        <v>26</v>
      </c>
      <c r="F110" s="47" t="s">
        <v>24</v>
      </c>
      <c r="G110" s="46">
        <v>799878</v>
      </c>
      <c r="H110" s="15" t="s">
        <v>381</v>
      </c>
      <c r="I110" s="26" t="str">
        <f t="shared" si="10"/>
        <v>RIQUELME</v>
      </c>
      <c r="J110" s="26" t="str">
        <f t="shared" si="11"/>
        <v>3Viana - MA5</v>
      </c>
      <c r="K110" s="27" t="str">
        <f>IFERROR(VLOOKUP(J110,Substituicoes!J:J,1,0),"SS")</f>
        <v>SS</v>
      </c>
      <c r="L110" s="27" t="str">
        <f>IFERROR(VLOOKUP(J110,Substituicoes!K:K,1,0),"SS")</f>
        <v>SS</v>
      </c>
      <c r="M110" s="28" t="b">
        <f t="shared" si="12"/>
        <v>1</v>
      </c>
      <c r="N110" s="29">
        <f>IF(AND(K110=L110,LEFT(E110,1)="T"),VLOOKUP(A110,'JOGOS BASE'!A:E,4,0),IF(K110=J110,VLOOKUP(J110,Substituicoes!J:R,6,0),IF(L110=J110,VLOOKUP(Escalacao!J110,Substituicoes!K:R,7,0),0)))</f>
        <v>50</v>
      </c>
      <c r="O110" s="28">
        <f>IF(AND(K110=L110,LEFT(E110,1)="T"),VLOOKUP(A110,'JOGOS BASE'!A:E,5,0),IF(K110=J110,VLOOKUP(J110,Substituicoes!J:R,7,0),IF(L110=J110,VLOOKUP(Escalacao!J110,Substituicoes!K:R,8,0),0)))</f>
        <v>47</v>
      </c>
      <c r="P110" s="28">
        <f t="shared" si="13"/>
        <v>97</v>
      </c>
      <c r="Q110" s="28" t="str">
        <f t="shared" si="14"/>
        <v>35Viana - MA</v>
      </c>
      <c r="R110" s="28" t="str">
        <f>VLOOKUP(A110,'JOGOS BASE'!A:H,8)</f>
        <v>12.01.2025 - Pinheiro - MA x Viana - MA</v>
      </c>
    </row>
    <row r="111" spans="1:18" ht="30.6">
      <c r="A111" s="15">
        <v>3</v>
      </c>
      <c r="B111" s="46">
        <v>6</v>
      </c>
      <c r="C111" s="45" t="s">
        <v>345</v>
      </c>
      <c r="D111" s="45" t="s">
        <v>346</v>
      </c>
      <c r="E111" s="47" t="s">
        <v>26</v>
      </c>
      <c r="F111" s="47" t="s">
        <v>24</v>
      </c>
      <c r="G111" s="46">
        <v>621098</v>
      </c>
      <c r="H111" s="15" t="s">
        <v>381</v>
      </c>
      <c r="I111" s="26" t="str">
        <f t="shared" si="10"/>
        <v>Leleu</v>
      </c>
      <c r="J111" s="26" t="str">
        <f t="shared" si="11"/>
        <v>3Viana - MA6</v>
      </c>
      <c r="K111" s="27" t="str">
        <f>IFERROR(VLOOKUP(J111,Substituicoes!J:J,1,0),"SS")</f>
        <v>SS</v>
      </c>
      <c r="L111" s="27" t="str">
        <f>IFERROR(VLOOKUP(J111,Substituicoes!K:K,1,0),"SS")</f>
        <v>SS</v>
      </c>
      <c r="M111" s="28" t="b">
        <f t="shared" si="12"/>
        <v>1</v>
      </c>
      <c r="N111" s="29">
        <f>IF(AND(K111=L111,LEFT(E111,1)="T"),VLOOKUP(A111,'JOGOS BASE'!A:E,4,0),IF(K111=J111,VLOOKUP(J111,Substituicoes!J:R,6,0),IF(L111=J111,VLOOKUP(Escalacao!J111,Substituicoes!K:R,7,0),0)))</f>
        <v>50</v>
      </c>
      <c r="O111" s="28">
        <f>IF(AND(K111=L111,LEFT(E111,1)="T"),VLOOKUP(A111,'JOGOS BASE'!A:E,5,0),IF(K111=J111,VLOOKUP(J111,Substituicoes!J:R,7,0),IF(L111=J111,VLOOKUP(Escalacao!J111,Substituicoes!K:R,8,0),0)))</f>
        <v>47</v>
      </c>
      <c r="P111" s="28">
        <f t="shared" si="13"/>
        <v>97</v>
      </c>
      <c r="Q111" s="28" t="str">
        <f t="shared" si="14"/>
        <v>36Viana - MA</v>
      </c>
      <c r="R111" s="28" t="str">
        <f>VLOOKUP(A111,'JOGOS BASE'!A:H,8)</f>
        <v>12.01.2025 - Pinheiro - MA x Viana - MA</v>
      </c>
    </row>
    <row r="112" spans="1:18" ht="30.6">
      <c r="A112" s="15">
        <v>3</v>
      </c>
      <c r="B112" s="46">
        <v>7</v>
      </c>
      <c r="C112" s="45" t="s">
        <v>92</v>
      </c>
      <c r="D112" s="45" t="s">
        <v>347</v>
      </c>
      <c r="E112" s="47" t="s">
        <v>26</v>
      </c>
      <c r="F112" s="47" t="s">
        <v>24</v>
      </c>
      <c r="G112" s="46">
        <v>611781</v>
      </c>
      <c r="H112" s="15" t="s">
        <v>381</v>
      </c>
      <c r="I112" s="26" t="str">
        <f t="shared" si="10"/>
        <v>Thiago</v>
      </c>
      <c r="J112" s="26" t="str">
        <f t="shared" si="11"/>
        <v>3Viana - MA7</v>
      </c>
      <c r="K112" s="27" t="str">
        <f>IFERROR(VLOOKUP(J112,Substituicoes!J:J,1,0),"SS")</f>
        <v>SS</v>
      </c>
      <c r="L112" s="27" t="str">
        <f>IFERROR(VLOOKUP(J112,Substituicoes!K:K,1,0),"SS")</f>
        <v>SS</v>
      </c>
      <c r="M112" s="28" t="b">
        <f t="shared" si="12"/>
        <v>1</v>
      </c>
      <c r="N112" s="29">
        <f>IF(AND(K112=L112,LEFT(E112,1)="T"),VLOOKUP(A112,'JOGOS BASE'!A:E,4,0),IF(K112=J112,VLOOKUP(J112,Substituicoes!J:R,6,0),IF(L112=J112,VLOOKUP(Escalacao!J112,Substituicoes!K:R,7,0),0)))</f>
        <v>50</v>
      </c>
      <c r="O112" s="28">
        <f>IF(AND(K112=L112,LEFT(E112,1)="T"),VLOOKUP(A112,'JOGOS BASE'!A:E,5,0),IF(K112=J112,VLOOKUP(J112,Substituicoes!J:R,7,0),IF(L112=J112,VLOOKUP(Escalacao!J112,Substituicoes!K:R,8,0),0)))</f>
        <v>47</v>
      </c>
      <c r="P112" s="28">
        <f t="shared" si="13"/>
        <v>97</v>
      </c>
      <c r="Q112" s="28" t="str">
        <f t="shared" si="14"/>
        <v>37Viana - MA</v>
      </c>
      <c r="R112" s="28" t="str">
        <f>VLOOKUP(A112,'JOGOS BASE'!A:H,8)</f>
        <v>12.01.2025 - Pinheiro - MA x Viana - MA</v>
      </c>
    </row>
    <row r="113" spans="1:18" ht="20.399999999999999">
      <c r="A113" s="15">
        <v>3</v>
      </c>
      <c r="B113" s="46">
        <v>8</v>
      </c>
      <c r="C113" s="45" t="s">
        <v>348</v>
      </c>
      <c r="D113" s="45" t="s">
        <v>349</v>
      </c>
      <c r="E113" s="47" t="s">
        <v>26</v>
      </c>
      <c r="F113" s="47" t="s">
        <v>24</v>
      </c>
      <c r="G113" s="46">
        <v>317521</v>
      </c>
      <c r="H113" s="15" t="s">
        <v>381</v>
      </c>
      <c r="I113" s="26" t="str">
        <f t="shared" si="10"/>
        <v>Julio</v>
      </c>
      <c r="J113" s="26" t="str">
        <f t="shared" si="11"/>
        <v>3Viana - MA8</v>
      </c>
      <c r="K113" s="27" t="str">
        <f>IFERROR(VLOOKUP(J113,Substituicoes!J:J,1,0),"SS")</f>
        <v>SS</v>
      </c>
      <c r="L113" s="27" t="str">
        <f>IFERROR(VLOOKUP(J113,Substituicoes!K:K,1,0),"SS")</f>
        <v>3Viana - MA8</v>
      </c>
      <c r="M113" s="28" t="b">
        <f t="shared" si="12"/>
        <v>0</v>
      </c>
      <c r="N113" s="29">
        <f>IF(AND(K113=L113,LEFT(E113,1)="T"),VLOOKUP(A113,'JOGOS BASE'!A:E,4,0),IF(K113=J113,VLOOKUP(J113,Substituicoes!J:R,6,0),IF(L113=J113,VLOOKUP(Escalacao!J113,Substituicoes!K:R,7,0),0)))</f>
        <v>50</v>
      </c>
      <c r="O113" s="28">
        <f>IF(AND(K113=L113,LEFT(E113,1)="T"),VLOOKUP(A113,'JOGOS BASE'!A:E,5,0),IF(K113=J113,VLOOKUP(J113,Substituicoes!J:R,7,0),IF(L113=J113,VLOOKUP(Escalacao!J113,Substituicoes!K:R,8,0),0)))</f>
        <v>32</v>
      </c>
      <c r="P113" s="28">
        <f t="shared" si="13"/>
        <v>82</v>
      </c>
      <c r="Q113" s="28" t="str">
        <f t="shared" si="14"/>
        <v>38Viana - MA</v>
      </c>
      <c r="R113" s="28" t="str">
        <f>VLOOKUP(A113,'JOGOS BASE'!A:H,8)</f>
        <v>12.01.2025 - Pinheiro - MA x Viana - MA</v>
      </c>
    </row>
    <row r="114" spans="1:18" ht="30.6">
      <c r="A114" s="15">
        <v>3</v>
      </c>
      <c r="B114" s="46">
        <v>9</v>
      </c>
      <c r="C114" s="45" t="s">
        <v>350</v>
      </c>
      <c r="D114" s="45" t="s">
        <v>351</v>
      </c>
      <c r="E114" s="47" t="s">
        <v>26</v>
      </c>
      <c r="F114" s="47" t="s">
        <v>24</v>
      </c>
      <c r="G114" s="46">
        <v>628431</v>
      </c>
      <c r="H114" s="15" t="s">
        <v>381</v>
      </c>
      <c r="I114" s="26" t="str">
        <f t="shared" si="10"/>
        <v>Lucas Ramos</v>
      </c>
      <c r="J114" s="26" t="str">
        <f t="shared" si="11"/>
        <v>3Viana - MA9</v>
      </c>
      <c r="K114" s="27" t="str">
        <f>IFERROR(VLOOKUP(J114,Substituicoes!J:J,1,0),"SS")</f>
        <v>SS</v>
      </c>
      <c r="L114" s="27" t="str">
        <f>IFERROR(VLOOKUP(J114,Substituicoes!K:K,1,0),"SS")</f>
        <v>SS</v>
      </c>
      <c r="M114" s="28" t="b">
        <f t="shared" si="12"/>
        <v>1</v>
      </c>
      <c r="N114" s="29">
        <f>IF(AND(K114=L114,LEFT(E114,1)="T"),VLOOKUP(A114,'JOGOS BASE'!A:E,4,0),IF(K114=J114,VLOOKUP(J114,Substituicoes!J:R,6,0),IF(L114=J114,VLOOKUP(Escalacao!J114,Substituicoes!K:R,7,0),0)))</f>
        <v>50</v>
      </c>
      <c r="O114" s="28">
        <f>IF(AND(K114=L114,LEFT(E114,1)="T"),VLOOKUP(A114,'JOGOS BASE'!A:E,5,0),IF(K114=J114,VLOOKUP(J114,Substituicoes!J:R,7,0),IF(L114=J114,VLOOKUP(Escalacao!J114,Substituicoes!K:R,8,0),0)))</f>
        <v>47</v>
      </c>
      <c r="P114" s="28">
        <f t="shared" si="13"/>
        <v>97</v>
      </c>
      <c r="Q114" s="28" t="str">
        <f t="shared" si="14"/>
        <v>39Viana - MA</v>
      </c>
      <c r="R114" s="28" t="str">
        <f>VLOOKUP(A114,'JOGOS BASE'!A:H,8)</f>
        <v>12.01.2025 - Pinheiro - MA x Viana - MA</v>
      </c>
    </row>
    <row r="115" spans="1:18" ht="30.6">
      <c r="A115" s="15">
        <v>3</v>
      </c>
      <c r="B115" s="46">
        <v>10</v>
      </c>
      <c r="C115" s="45" t="s">
        <v>92</v>
      </c>
      <c r="D115" s="45" t="s">
        <v>352</v>
      </c>
      <c r="E115" s="47" t="s">
        <v>26</v>
      </c>
      <c r="F115" s="47" t="s">
        <v>24</v>
      </c>
      <c r="G115" s="46">
        <v>642816</v>
      </c>
      <c r="H115" s="15" t="s">
        <v>381</v>
      </c>
      <c r="I115" s="26" t="str">
        <f t="shared" si="10"/>
        <v>Thiago</v>
      </c>
      <c r="J115" s="26" t="str">
        <f t="shared" si="11"/>
        <v>3Viana - MA10</v>
      </c>
      <c r="K115" s="27" t="str">
        <f>IFERROR(VLOOKUP(J115,Substituicoes!J:J,1,0),"SS")</f>
        <v>SS</v>
      </c>
      <c r="L115" s="27" t="str">
        <f>IFERROR(VLOOKUP(J115,Substituicoes!K:K,1,0),"SS")</f>
        <v>SS</v>
      </c>
      <c r="M115" s="28" t="b">
        <f t="shared" si="12"/>
        <v>1</v>
      </c>
      <c r="N115" s="29">
        <f>IF(AND(K115=L115,LEFT(E115,1)="T"),VLOOKUP(A115,'JOGOS BASE'!A:E,4,0),IF(K115=J115,VLOOKUP(J115,Substituicoes!J:R,6,0),IF(L115=J115,VLOOKUP(Escalacao!J115,Substituicoes!K:R,7,0),0)))</f>
        <v>50</v>
      </c>
      <c r="O115" s="28">
        <f>IF(AND(K115=L115,LEFT(E115,1)="T"),VLOOKUP(A115,'JOGOS BASE'!A:E,5,0),IF(K115=J115,VLOOKUP(J115,Substituicoes!J:R,7,0),IF(L115=J115,VLOOKUP(Escalacao!J115,Substituicoes!K:R,8,0),0)))</f>
        <v>47</v>
      </c>
      <c r="P115" s="28">
        <f t="shared" si="13"/>
        <v>97</v>
      </c>
      <c r="Q115" s="28" t="str">
        <f t="shared" si="14"/>
        <v>310Viana - MA</v>
      </c>
      <c r="R115" s="28" t="str">
        <f>VLOOKUP(A115,'JOGOS BASE'!A:H,8)</f>
        <v>12.01.2025 - Pinheiro - MA x Viana - MA</v>
      </c>
    </row>
    <row r="116" spans="1:18" ht="20.399999999999999">
      <c r="A116" s="15">
        <v>3</v>
      </c>
      <c r="B116" s="46">
        <v>11</v>
      </c>
      <c r="C116" s="45" t="s">
        <v>353</v>
      </c>
      <c r="D116" s="45" t="s">
        <v>354</v>
      </c>
      <c r="E116" s="47" t="s">
        <v>26</v>
      </c>
      <c r="F116" s="47" t="s">
        <v>24</v>
      </c>
      <c r="G116" s="46">
        <v>700228</v>
      </c>
      <c r="H116" s="15" t="s">
        <v>381</v>
      </c>
      <c r="I116" s="26" t="str">
        <f t="shared" si="10"/>
        <v>ARIEL</v>
      </c>
      <c r="J116" s="26" t="str">
        <f t="shared" si="11"/>
        <v>3Viana - MA11</v>
      </c>
      <c r="K116" s="27" t="str">
        <f>IFERROR(VLOOKUP(J116,Substituicoes!J:J,1,0),"SS")</f>
        <v>SS</v>
      </c>
      <c r="L116" s="27" t="str">
        <f>IFERROR(VLOOKUP(J116,Substituicoes!K:K,1,0),"SS")</f>
        <v>SS</v>
      </c>
      <c r="M116" s="28" t="b">
        <f t="shared" si="12"/>
        <v>1</v>
      </c>
      <c r="N116" s="29">
        <f>IF(AND(K116=L116,LEFT(E116,1)="T"),VLOOKUP(A116,'JOGOS BASE'!A:E,4,0),IF(K116=J116,VLOOKUP(J116,Substituicoes!J:R,6,0),IF(L116=J116,VLOOKUP(Escalacao!J116,Substituicoes!K:R,7,0),0)))</f>
        <v>50</v>
      </c>
      <c r="O116" s="28">
        <f>IF(AND(K116=L116,LEFT(E116,1)="T"),VLOOKUP(A116,'JOGOS BASE'!A:E,5,0),IF(K116=J116,VLOOKUP(J116,Substituicoes!J:R,7,0),IF(L116=J116,VLOOKUP(Escalacao!J116,Substituicoes!K:R,8,0),0)))</f>
        <v>47</v>
      </c>
      <c r="P116" s="28">
        <f t="shared" si="13"/>
        <v>97</v>
      </c>
      <c r="Q116" s="28" t="str">
        <f t="shared" si="14"/>
        <v>311Viana - MA</v>
      </c>
      <c r="R116" s="28" t="str">
        <f>VLOOKUP(A116,'JOGOS BASE'!A:H,8)</f>
        <v>12.01.2025 - Pinheiro - MA x Viana - MA</v>
      </c>
    </row>
    <row r="117" spans="1:18" ht="30.6">
      <c r="A117" s="15">
        <v>3</v>
      </c>
      <c r="B117" s="46">
        <v>13</v>
      </c>
      <c r="C117" s="45" t="s">
        <v>355</v>
      </c>
      <c r="D117" s="45" t="s">
        <v>356</v>
      </c>
      <c r="E117" s="47" t="s">
        <v>42</v>
      </c>
      <c r="F117" s="47" t="s">
        <v>56</v>
      </c>
      <c r="G117" s="46">
        <v>683760</v>
      </c>
      <c r="H117" s="15" t="s">
        <v>381</v>
      </c>
      <c r="I117" s="26" t="str">
        <f t="shared" si="10"/>
        <v>PAULO</v>
      </c>
      <c r="J117" s="26" t="str">
        <f t="shared" si="11"/>
        <v>3Viana - MA13</v>
      </c>
      <c r="K117" s="27" t="str">
        <f>IFERROR(VLOOKUP(J117,Substituicoes!J:J,1,0),"SS")</f>
        <v>3Viana - MA13</v>
      </c>
      <c r="L117" s="27" t="str">
        <f>IFERROR(VLOOKUP(J117,Substituicoes!K:K,1,0),"SS")</f>
        <v>SS</v>
      </c>
      <c r="M117" s="28" t="b">
        <f t="shared" si="12"/>
        <v>0</v>
      </c>
      <c r="N117" s="29">
        <f>IF(AND(K117=L117,LEFT(E117,1)="T"),VLOOKUP(A117,'JOGOS BASE'!A:E,4,0),IF(K117=J117,VLOOKUP(J117,Substituicoes!J:R,6,0),IF(L117=J117,VLOOKUP(Escalacao!J117,Substituicoes!K:R,7,0),0)))</f>
        <v>0</v>
      </c>
      <c r="O117" s="28">
        <f>IF(AND(K117=L117,LEFT(E117,1)="T"),VLOOKUP(A117,'JOGOS BASE'!A:E,5,0),IF(K117=J117,VLOOKUP(J117,Substituicoes!J:R,7,0),IF(L117=J117,VLOOKUP(Escalacao!J117,Substituicoes!K:R,8,0),0)))</f>
        <v>15</v>
      </c>
      <c r="P117" s="28">
        <f t="shared" si="13"/>
        <v>15</v>
      </c>
      <c r="Q117" s="28" t="str">
        <f t="shared" si="14"/>
        <v>313Viana - MA</v>
      </c>
      <c r="R117" s="28" t="str">
        <f>VLOOKUP(A117,'JOGOS BASE'!A:H,8)</f>
        <v>12.01.2025 - Pinheiro - MA x Viana - MA</v>
      </c>
    </row>
    <row r="118" spans="1:18" ht="30.6">
      <c r="A118" s="15">
        <v>4</v>
      </c>
      <c r="B118" s="46">
        <v>1</v>
      </c>
      <c r="C118" s="45" t="s">
        <v>301</v>
      </c>
      <c r="D118" s="45" t="s">
        <v>302</v>
      </c>
      <c r="E118" s="47" t="s">
        <v>23</v>
      </c>
      <c r="F118" s="47" t="s">
        <v>24</v>
      </c>
      <c r="G118" s="46">
        <v>530809</v>
      </c>
      <c r="H118" s="18" t="s">
        <v>368</v>
      </c>
      <c r="I118" s="26" t="str">
        <f t="shared" ref="I118:I158" si="15">C118</f>
        <v>Mateus</v>
      </c>
      <c r="J118" s="26" t="str">
        <f t="shared" ref="J118:J158" si="16">A118&amp;H118&amp;B118</f>
        <v>4Pinheiro - MA1</v>
      </c>
      <c r="K118" s="27" t="str">
        <f>IFERROR(VLOOKUP(J118,Substituicoes!J:J,1,0),"SS")</f>
        <v>SS</v>
      </c>
      <c r="L118" s="27" t="str">
        <f>IFERROR(VLOOKUP(J118,Substituicoes!K:K,1,0),"SS")</f>
        <v>SS</v>
      </c>
      <c r="M118" s="28" t="b">
        <f t="shared" ref="M118:M158" si="17">K118=L118</f>
        <v>1</v>
      </c>
      <c r="N118" s="29">
        <f>IF(AND(K118=L118,LEFT(E118,1)="T"),VLOOKUP(A118,'JOGOS BASE'!A:E,4,0),IF(K118=J118,VLOOKUP(J118,Substituicoes!J:R,6,0),IF(L118=J118,VLOOKUP(Escalacao!J118,Substituicoes!K:R,7,0),0)))</f>
        <v>49</v>
      </c>
      <c r="O118" s="28">
        <f>IF(AND(K118=L118,LEFT(E118,1)="T"),VLOOKUP(A118,'JOGOS BASE'!A:E,5,0),IF(K118=J118,VLOOKUP(J118,Substituicoes!J:R,7,0),IF(L118=J118,VLOOKUP(Escalacao!J118,Substituicoes!K:R,8,0),0)))</f>
        <v>51</v>
      </c>
      <c r="P118" s="28">
        <f t="shared" ref="P118:P158" si="18">N118+O118</f>
        <v>100</v>
      </c>
      <c r="Q118" s="28" t="str">
        <f t="shared" ref="Q118:Q158" si="19">A118&amp;B118&amp;H118</f>
        <v>41Pinheiro - MA</v>
      </c>
      <c r="R118" s="28" t="str">
        <f>VLOOKUP(A118,'JOGOS BASE'!A:H,8)</f>
        <v>15.01.2025 - Pinheiro - MA x Maranhão - MA</v>
      </c>
    </row>
    <row r="119" spans="1:18" ht="20.399999999999999">
      <c r="A119" s="15">
        <v>4</v>
      </c>
      <c r="B119" s="46">
        <v>2</v>
      </c>
      <c r="C119" s="45" t="s">
        <v>303</v>
      </c>
      <c r="D119" s="45" t="s">
        <v>304</v>
      </c>
      <c r="E119" s="47" t="s">
        <v>26</v>
      </c>
      <c r="F119" s="47" t="s">
        <v>56</v>
      </c>
      <c r="G119" s="46">
        <v>748495</v>
      </c>
      <c r="H119" s="18" t="s">
        <v>368</v>
      </c>
      <c r="I119" s="26" t="str">
        <f t="shared" si="15"/>
        <v>Italo</v>
      </c>
      <c r="J119" s="26" t="str">
        <f t="shared" si="16"/>
        <v>4Pinheiro - MA2</v>
      </c>
      <c r="K119" s="27" t="str">
        <f>IFERROR(VLOOKUP(J119,Substituicoes!J:J,1,0),"SS")</f>
        <v>SS</v>
      </c>
      <c r="L119" s="27" t="str">
        <f>IFERROR(VLOOKUP(J119,Substituicoes!K:K,1,0),"SS")</f>
        <v>SS</v>
      </c>
      <c r="M119" s="28" t="b">
        <f t="shared" si="17"/>
        <v>1</v>
      </c>
      <c r="N119" s="29">
        <f>IF(AND(K119=L119,LEFT(E119,1)="T"),VLOOKUP(A119,'JOGOS BASE'!A:E,4,0),IF(K119=J119,VLOOKUP(J119,Substituicoes!J:R,6,0),IF(L119=J119,VLOOKUP(Escalacao!J119,Substituicoes!K:R,7,0),0)))</f>
        <v>49</v>
      </c>
      <c r="O119" s="28">
        <f>IF(AND(K119=L119,LEFT(E119,1)="T"),VLOOKUP(A119,'JOGOS BASE'!A:E,5,0),IF(K119=J119,VLOOKUP(J119,Substituicoes!J:R,7,0),IF(L119=J119,VLOOKUP(Escalacao!J119,Substituicoes!K:R,8,0),0)))</f>
        <v>51</v>
      </c>
      <c r="P119" s="28">
        <f t="shared" si="18"/>
        <v>100</v>
      </c>
      <c r="Q119" s="28" t="str">
        <f t="shared" si="19"/>
        <v>42Pinheiro - MA</v>
      </c>
      <c r="R119" s="28" t="str">
        <f>VLOOKUP(A119,'JOGOS BASE'!A:H,8)</f>
        <v>15.01.2025 - Pinheiro - MA x Maranhão - MA</v>
      </c>
    </row>
    <row r="120" spans="1:18" ht="30.6">
      <c r="A120" s="15">
        <v>4</v>
      </c>
      <c r="B120" s="46">
        <v>3</v>
      </c>
      <c r="C120" s="45" t="s">
        <v>305</v>
      </c>
      <c r="D120" s="45" t="s">
        <v>306</v>
      </c>
      <c r="E120" s="47" t="s">
        <v>26</v>
      </c>
      <c r="F120" s="47" t="s">
        <v>24</v>
      </c>
      <c r="G120" s="46">
        <v>619339</v>
      </c>
      <c r="H120" s="18" t="s">
        <v>368</v>
      </c>
      <c r="I120" s="26" t="str">
        <f t="shared" si="15"/>
        <v>Henrique</v>
      </c>
      <c r="J120" s="26" t="str">
        <f t="shared" si="16"/>
        <v>4Pinheiro - MA3</v>
      </c>
      <c r="K120" s="27" t="str">
        <f>IFERROR(VLOOKUP(J120,Substituicoes!J:J,1,0),"SS")</f>
        <v>SS</v>
      </c>
      <c r="L120" s="27" t="str">
        <f>IFERROR(VLOOKUP(J120,Substituicoes!K:K,1,0),"SS")</f>
        <v>SS</v>
      </c>
      <c r="M120" s="28" t="b">
        <f t="shared" si="17"/>
        <v>1</v>
      </c>
      <c r="N120" s="29">
        <f>IF(AND(K120=L120,LEFT(E120,1)="T"),VLOOKUP(A120,'JOGOS BASE'!A:E,4,0),IF(K120=J120,VLOOKUP(J120,Substituicoes!J:R,6,0),IF(L120=J120,VLOOKUP(Escalacao!J120,Substituicoes!K:R,7,0),0)))</f>
        <v>49</v>
      </c>
      <c r="O120" s="28">
        <f>IF(AND(K120=L120,LEFT(E120,1)="T"),VLOOKUP(A120,'JOGOS BASE'!A:E,5,0),IF(K120=J120,VLOOKUP(J120,Substituicoes!J:R,7,0),IF(L120=J120,VLOOKUP(Escalacao!J120,Substituicoes!K:R,8,0),0)))</f>
        <v>51</v>
      </c>
      <c r="P120" s="28">
        <f t="shared" si="18"/>
        <v>100</v>
      </c>
      <c r="Q120" s="28" t="str">
        <f t="shared" si="19"/>
        <v>43Pinheiro - MA</v>
      </c>
      <c r="R120" s="28" t="str">
        <f>VLOOKUP(A120,'JOGOS BASE'!A:H,8)</f>
        <v>15.01.2025 - Pinheiro - MA x Maranhão - MA</v>
      </c>
    </row>
    <row r="121" spans="1:18" ht="30.6">
      <c r="A121" s="15">
        <v>4</v>
      </c>
      <c r="B121" s="46">
        <v>4</v>
      </c>
      <c r="C121" s="45" t="s">
        <v>307</v>
      </c>
      <c r="D121" s="45" t="s">
        <v>308</v>
      </c>
      <c r="E121" s="47" t="s">
        <v>26</v>
      </c>
      <c r="F121" s="47" t="s">
        <v>24</v>
      </c>
      <c r="G121" s="46">
        <v>710616</v>
      </c>
      <c r="H121" s="18" t="s">
        <v>368</v>
      </c>
      <c r="I121" s="26" t="str">
        <f t="shared" si="15"/>
        <v>Rikelmmer</v>
      </c>
      <c r="J121" s="26" t="str">
        <f t="shared" si="16"/>
        <v>4Pinheiro - MA4</v>
      </c>
      <c r="K121" s="27" t="str">
        <f>IFERROR(VLOOKUP(J121,Substituicoes!J:J,1,0),"SS")</f>
        <v>SS</v>
      </c>
      <c r="L121" s="27" t="str">
        <f>IFERROR(VLOOKUP(J121,Substituicoes!K:K,1,0),"SS")</f>
        <v>SS</v>
      </c>
      <c r="M121" s="28" t="b">
        <f t="shared" si="17"/>
        <v>1</v>
      </c>
      <c r="N121" s="29">
        <f>IF(AND(K121=L121,LEFT(E121,1)="T"),VLOOKUP(A121,'JOGOS BASE'!A:E,4,0),IF(K121=J121,VLOOKUP(J121,Substituicoes!J:R,6,0),IF(L121=J121,VLOOKUP(Escalacao!J121,Substituicoes!K:R,7,0),0)))</f>
        <v>49</v>
      </c>
      <c r="O121" s="28">
        <f>IF(AND(K121=L121,LEFT(E121,1)="T"),VLOOKUP(A121,'JOGOS BASE'!A:E,5,0),IF(K121=J121,VLOOKUP(J121,Substituicoes!J:R,7,0),IF(L121=J121,VLOOKUP(Escalacao!J121,Substituicoes!K:R,8,0),0)))</f>
        <v>51</v>
      </c>
      <c r="P121" s="28">
        <f t="shared" si="18"/>
        <v>100</v>
      </c>
      <c r="Q121" s="28" t="str">
        <f t="shared" si="19"/>
        <v>44Pinheiro - MA</v>
      </c>
      <c r="R121" s="28" t="str">
        <f>VLOOKUP(A121,'JOGOS BASE'!A:H,8)</f>
        <v>15.01.2025 - Pinheiro - MA x Maranhão - MA</v>
      </c>
    </row>
    <row r="122" spans="1:18" ht="20.399999999999999">
      <c r="A122" s="15">
        <v>4</v>
      </c>
      <c r="B122" s="46">
        <v>5</v>
      </c>
      <c r="C122" s="45" t="s">
        <v>309</v>
      </c>
      <c r="D122" s="45" t="s">
        <v>310</v>
      </c>
      <c r="E122" s="47" t="s">
        <v>26</v>
      </c>
      <c r="F122" s="47" t="s">
        <v>24</v>
      </c>
      <c r="G122" s="46">
        <v>537343</v>
      </c>
      <c r="H122" s="18" t="s">
        <v>368</v>
      </c>
      <c r="I122" s="26" t="str">
        <f t="shared" si="15"/>
        <v>Rayandeson</v>
      </c>
      <c r="J122" s="26" t="str">
        <f t="shared" si="16"/>
        <v>4Pinheiro - MA5</v>
      </c>
      <c r="K122" s="27" t="str">
        <f>IFERROR(VLOOKUP(J122,Substituicoes!J:J,1,0),"SS")</f>
        <v>SS</v>
      </c>
      <c r="L122" s="27" t="str">
        <f>IFERROR(VLOOKUP(J122,Substituicoes!K:K,1,0),"SS")</f>
        <v>SS</v>
      </c>
      <c r="M122" s="28" t="b">
        <f t="shared" si="17"/>
        <v>1</v>
      </c>
      <c r="N122" s="29">
        <f>IF(AND(K122=L122,LEFT(E122,1)="T"),VLOOKUP(A122,'JOGOS BASE'!A:E,4,0),IF(K122=J122,VLOOKUP(J122,Substituicoes!J:R,6,0),IF(L122=J122,VLOOKUP(Escalacao!J122,Substituicoes!K:R,7,0),0)))</f>
        <v>49</v>
      </c>
      <c r="O122" s="28">
        <f>IF(AND(K122=L122,LEFT(E122,1)="T"),VLOOKUP(A122,'JOGOS BASE'!A:E,5,0),IF(K122=J122,VLOOKUP(J122,Substituicoes!J:R,7,0),IF(L122=J122,VLOOKUP(Escalacao!J122,Substituicoes!K:R,8,0),0)))</f>
        <v>51</v>
      </c>
      <c r="P122" s="28">
        <f t="shared" si="18"/>
        <v>100</v>
      </c>
      <c r="Q122" s="28" t="str">
        <f t="shared" si="19"/>
        <v>45Pinheiro - MA</v>
      </c>
      <c r="R122" s="28" t="str">
        <f>VLOOKUP(A122,'JOGOS BASE'!A:H,8)</f>
        <v>15.01.2025 - Pinheiro - MA x Maranhão - MA</v>
      </c>
    </row>
    <row r="123" spans="1:18" ht="20.399999999999999">
      <c r="A123" s="15">
        <v>4</v>
      </c>
      <c r="B123" s="46">
        <v>6</v>
      </c>
      <c r="C123" s="45" t="s">
        <v>246</v>
      </c>
      <c r="D123" s="45" t="s">
        <v>311</v>
      </c>
      <c r="E123" s="47" t="s">
        <v>26</v>
      </c>
      <c r="F123" s="47" t="s">
        <v>24</v>
      </c>
      <c r="G123" s="46">
        <v>637743</v>
      </c>
      <c r="H123" s="18" t="s">
        <v>368</v>
      </c>
      <c r="I123" s="26" t="str">
        <f t="shared" si="15"/>
        <v>Gabriel</v>
      </c>
      <c r="J123" s="26" t="str">
        <f t="shared" si="16"/>
        <v>4Pinheiro - MA6</v>
      </c>
      <c r="K123" s="27" t="str">
        <f>IFERROR(VLOOKUP(J123,Substituicoes!J:J,1,0),"SS")</f>
        <v>SS</v>
      </c>
      <c r="L123" s="27" t="str">
        <f>IFERROR(VLOOKUP(J123,Substituicoes!K:K,1,0),"SS")</f>
        <v>SS</v>
      </c>
      <c r="M123" s="28" t="b">
        <f t="shared" si="17"/>
        <v>1</v>
      </c>
      <c r="N123" s="29">
        <f>IF(AND(K123=L123,LEFT(E123,1)="T"),VLOOKUP(A123,'JOGOS BASE'!A:E,4,0),IF(K123=J123,VLOOKUP(J123,Substituicoes!J:R,6,0),IF(L123=J123,VLOOKUP(Escalacao!J123,Substituicoes!K:R,7,0),0)))</f>
        <v>49</v>
      </c>
      <c r="O123" s="28">
        <f>IF(AND(K123=L123,LEFT(E123,1)="T"),VLOOKUP(A123,'JOGOS BASE'!A:E,5,0),IF(K123=J123,VLOOKUP(J123,Substituicoes!J:R,7,0),IF(L123=J123,VLOOKUP(Escalacao!J123,Substituicoes!K:R,8,0),0)))</f>
        <v>51</v>
      </c>
      <c r="P123" s="28">
        <f t="shared" si="18"/>
        <v>100</v>
      </c>
      <c r="Q123" s="28" t="str">
        <f t="shared" si="19"/>
        <v>46Pinheiro - MA</v>
      </c>
      <c r="R123" s="28" t="str">
        <f>VLOOKUP(A123,'JOGOS BASE'!A:H,8)</f>
        <v>15.01.2025 - Pinheiro - MA x Maranhão - MA</v>
      </c>
    </row>
    <row r="124" spans="1:18" ht="20.399999999999999">
      <c r="A124" s="15">
        <v>4</v>
      </c>
      <c r="B124" s="46">
        <v>7</v>
      </c>
      <c r="C124" s="45" t="s">
        <v>312</v>
      </c>
      <c r="D124" s="45" t="s">
        <v>313</v>
      </c>
      <c r="E124" s="47" t="s">
        <v>26</v>
      </c>
      <c r="F124" s="47" t="s">
        <v>24</v>
      </c>
      <c r="G124" s="46">
        <v>738325</v>
      </c>
      <c r="H124" s="18" t="s">
        <v>368</v>
      </c>
      <c r="I124" s="26" t="str">
        <f t="shared" si="15"/>
        <v>FRANCISCO</v>
      </c>
      <c r="J124" s="26" t="str">
        <f t="shared" si="16"/>
        <v>4Pinheiro - MA7</v>
      </c>
      <c r="K124" s="27" t="str">
        <f>IFERROR(VLOOKUP(J124,Substituicoes!J:J,1,0),"SS")</f>
        <v>SS</v>
      </c>
      <c r="L124" s="27" t="str">
        <f>IFERROR(VLOOKUP(J124,Substituicoes!K:K,1,0),"SS")</f>
        <v>4Pinheiro - MA7</v>
      </c>
      <c r="M124" s="28" t="b">
        <f t="shared" si="17"/>
        <v>0</v>
      </c>
      <c r="N124" s="29">
        <f>IF(AND(K124=L124,LEFT(E124,1)="T"),VLOOKUP(A124,'JOGOS BASE'!A:E,4,0),IF(K124=J124,VLOOKUP(J124,Substituicoes!J:R,6,0),IF(L124=J124,VLOOKUP(Escalacao!J124,Substituicoes!K:R,7,0),0)))</f>
        <v>49</v>
      </c>
      <c r="O124" s="28">
        <f>IF(AND(K124=L124,LEFT(E124,1)="T"),VLOOKUP(A124,'JOGOS BASE'!A:E,5,0),IF(K124=J124,VLOOKUP(J124,Substituicoes!J:R,7,0),IF(L124=J124,VLOOKUP(Escalacao!J124,Substituicoes!K:R,8,0),0)))</f>
        <v>43</v>
      </c>
      <c r="P124" s="28">
        <f t="shared" si="18"/>
        <v>92</v>
      </c>
      <c r="Q124" s="28" t="str">
        <f t="shared" si="19"/>
        <v>47Pinheiro - MA</v>
      </c>
      <c r="R124" s="28" t="str">
        <f>VLOOKUP(A124,'JOGOS BASE'!A:H,8)</f>
        <v>15.01.2025 - Pinheiro - MA x Maranhão - MA</v>
      </c>
    </row>
    <row r="125" spans="1:18" ht="20.399999999999999">
      <c r="A125" s="15">
        <v>4</v>
      </c>
      <c r="B125" s="46">
        <v>8</v>
      </c>
      <c r="C125" s="45" t="s">
        <v>314</v>
      </c>
      <c r="D125" s="45" t="s">
        <v>315</v>
      </c>
      <c r="E125" s="47" t="s">
        <v>26</v>
      </c>
      <c r="F125" s="47" t="s">
        <v>24</v>
      </c>
      <c r="G125" s="46">
        <v>552300</v>
      </c>
      <c r="H125" s="18" t="s">
        <v>368</v>
      </c>
      <c r="I125" s="26" t="str">
        <f t="shared" si="15"/>
        <v>Tulio</v>
      </c>
      <c r="J125" s="26" t="str">
        <f t="shared" si="16"/>
        <v>4Pinheiro - MA8</v>
      </c>
      <c r="K125" s="27" t="str">
        <f>IFERROR(VLOOKUP(J125,Substituicoes!J:J,1,0),"SS")</f>
        <v>SS</v>
      </c>
      <c r="L125" s="27" t="str">
        <f>IFERROR(VLOOKUP(J125,Substituicoes!K:K,1,0),"SS")</f>
        <v>SS</v>
      </c>
      <c r="M125" s="28" t="b">
        <f t="shared" si="17"/>
        <v>1</v>
      </c>
      <c r="N125" s="29">
        <f>IF(AND(K125=L125,LEFT(E125,1)="T"),VLOOKUP(A125,'JOGOS BASE'!A:E,4,0),IF(K125=J125,VLOOKUP(J125,Substituicoes!J:R,6,0),IF(L125=J125,VLOOKUP(Escalacao!J125,Substituicoes!K:R,7,0),0)))</f>
        <v>49</v>
      </c>
      <c r="O125" s="28">
        <f>IF(AND(K125=L125,LEFT(E125,1)="T"),VLOOKUP(A125,'JOGOS BASE'!A:E,5,0),IF(K125=J125,VLOOKUP(J125,Substituicoes!J:R,7,0),IF(L125=J125,VLOOKUP(Escalacao!J125,Substituicoes!K:R,8,0),0)))</f>
        <v>51</v>
      </c>
      <c r="P125" s="28">
        <f t="shared" si="18"/>
        <v>100</v>
      </c>
      <c r="Q125" s="28" t="str">
        <f t="shared" si="19"/>
        <v>48Pinheiro - MA</v>
      </c>
      <c r="R125" s="28" t="str">
        <f>VLOOKUP(A125,'JOGOS BASE'!A:H,8)</f>
        <v>15.01.2025 - Pinheiro - MA x Maranhão - MA</v>
      </c>
    </row>
    <row r="126" spans="1:18" ht="30.6">
      <c r="A126" s="15">
        <v>4</v>
      </c>
      <c r="B126" s="46">
        <v>9</v>
      </c>
      <c r="C126" s="45" t="s">
        <v>316</v>
      </c>
      <c r="D126" s="45" t="s">
        <v>317</v>
      </c>
      <c r="E126" s="47" t="s">
        <v>26</v>
      </c>
      <c r="F126" s="47" t="s">
        <v>24</v>
      </c>
      <c r="G126" s="46">
        <v>464141</v>
      </c>
      <c r="H126" s="18" t="s">
        <v>368</v>
      </c>
      <c r="I126" s="26" t="str">
        <f t="shared" si="15"/>
        <v>Cleber</v>
      </c>
      <c r="J126" s="26" t="str">
        <f t="shared" si="16"/>
        <v>4Pinheiro - MA9</v>
      </c>
      <c r="K126" s="27" t="str">
        <f>IFERROR(VLOOKUP(J126,Substituicoes!J:J,1,0),"SS")</f>
        <v>SS</v>
      </c>
      <c r="L126" s="27" t="str">
        <f>IFERROR(VLOOKUP(J126,Substituicoes!K:K,1,0),"SS")</f>
        <v>4Pinheiro - MA9</v>
      </c>
      <c r="M126" s="28" t="b">
        <f t="shared" si="17"/>
        <v>0</v>
      </c>
      <c r="N126" s="29">
        <f>IF(AND(K126=L126,LEFT(E126,1)="T"),VLOOKUP(A126,'JOGOS BASE'!A:E,4,0),IF(K126=J126,VLOOKUP(J126,Substituicoes!J:R,6,0),IF(L126=J126,VLOOKUP(Escalacao!J126,Substituicoes!K:R,7,0),0)))</f>
        <v>49</v>
      </c>
      <c r="O126" s="28">
        <f>IF(AND(K126=L126,LEFT(E126,1)="T"),VLOOKUP(A126,'JOGOS BASE'!A:E,5,0),IF(K126=J126,VLOOKUP(J126,Substituicoes!J:R,7,0),IF(L126=J126,VLOOKUP(Escalacao!J126,Substituicoes!K:R,8,0),0)))</f>
        <v>24</v>
      </c>
      <c r="P126" s="28">
        <f t="shared" si="18"/>
        <v>73</v>
      </c>
      <c r="Q126" s="28" t="str">
        <f t="shared" si="19"/>
        <v>49Pinheiro - MA</v>
      </c>
      <c r="R126" s="28" t="str">
        <f>VLOOKUP(A126,'JOGOS BASE'!A:H,8)</f>
        <v>15.01.2025 - Pinheiro - MA x Maranhão - MA</v>
      </c>
    </row>
    <row r="127" spans="1:18" ht="20.399999999999999">
      <c r="A127" s="15">
        <v>4</v>
      </c>
      <c r="B127" s="46">
        <v>10</v>
      </c>
      <c r="C127" s="45" t="s">
        <v>318</v>
      </c>
      <c r="D127" s="45" t="s">
        <v>319</v>
      </c>
      <c r="E127" s="47" t="s">
        <v>26</v>
      </c>
      <c r="F127" s="47" t="s">
        <v>24</v>
      </c>
      <c r="G127" s="46">
        <v>554277</v>
      </c>
      <c r="H127" s="18" t="s">
        <v>368</v>
      </c>
      <c r="I127" s="26" t="str">
        <f t="shared" si="15"/>
        <v>Neto</v>
      </c>
      <c r="J127" s="26" t="str">
        <f t="shared" si="16"/>
        <v>4Pinheiro - MA10</v>
      </c>
      <c r="K127" s="27" t="str">
        <f>IFERROR(VLOOKUP(J127,Substituicoes!J:J,1,0),"SS")</f>
        <v>SS</v>
      </c>
      <c r="L127" s="27" t="str">
        <f>IFERROR(VLOOKUP(J127,Substituicoes!K:K,1,0),"SS")</f>
        <v>4Pinheiro - MA10</v>
      </c>
      <c r="M127" s="28" t="b">
        <f t="shared" si="17"/>
        <v>0</v>
      </c>
      <c r="N127" s="29">
        <f>IF(AND(K127=L127,LEFT(E127,1)="T"),VLOOKUP(A127,'JOGOS BASE'!A:E,4,0),IF(K127=J127,VLOOKUP(J127,Substituicoes!J:R,6,0),IF(L127=J127,VLOOKUP(Escalacao!J127,Substituicoes!K:R,7,0),0)))</f>
        <v>49</v>
      </c>
      <c r="O127" s="28">
        <f>IF(AND(K127=L127,LEFT(E127,1)="T"),VLOOKUP(A127,'JOGOS BASE'!A:E,5,0),IF(K127=J127,VLOOKUP(J127,Substituicoes!J:R,7,0),IF(L127=J127,VLOOKUP(Escalacao!J127,Substituicoes!K:R,8,0),0)))</f>
        <v>43</v>
      </c>
      <c r="P127" s="28">
        <f t="shared" si="18"/>
        <v>92</v>
      </c>
      <c r="Q127" s="28" t="str">
        <f t="shared" si="19"/>
        <v>410Pinheiro - MA</v>
      </c>
      <c r="R127" s="28" t="str">
        <f>VLOOKUP(A127,'JOGOS BASE'!A:H,8)</f>
        <v>15.01.2025 - Pinheiro - MA x Maranhão - MA</v>
      </c>
    </row>
    <row r="128" spans="1:18" ht="20.399999999999999">
      <c r="A128" s="15">
        <v>4</v>
      </c>
      <c r="B128" s="46">
        <v>11</v>
      </c>
      <c r="C128" s="45" t="s">
        <v>320</v>
      </c>
      <c r="D128" s="45" t="s">
        <v>321</v>
      </c>
      <c r="E128" s="47" t="s">
        <v>26</v>
      </c>
      <c r="F128" s="47" t="s">
        <v>24</v>
      </c>
      <c r="G128" s="46">
        <v>612866</v>
      </c>
      <c r="H128" s="18" t="s">
        <v>368</v>
      </c>
      <c r="I128" s="26" t="str">
        <f t="shared" si="15"/>
        <v>Joao Pedro</v>
      </c>
      <c r="J128" s="26" t="str">
        <f t="shared" si="16"/>
        <v>4Pinheiro - MA11</v>
      </c>
      <c r="K128" s="27" t="str">
        <f>IFERROR(VLOOKUP(J128,Substituicoes!J:J,1,0),"SS")</f>
        <v>SS</v>
      </c>
      <c r="L128" s="27" t="str">
        <f>IFERROR(VLOOKUP(J128,Substituicoes!K:K,1,0),"SS")</f>
        <v>4Pinheiro - MA11</v>
      </c>
      <c r="M128" s="28" t="b">
        <f t="shared" si="17"/>
        <v>0</v>
      </c>
      <c r="N128" s="29">
        <f>IF(AND(K128=L128,LEFT(E128,1)="T"),VLOOKUP(A128,'JOGOS BASE'!A:E,4,0),IF(K128=J128,VLOOKUP(J128,Substituicoes!J:R,6,0),IF(L128=J128,VLOOKUP(Escalacao!J128,Substituicoes!K:R,7,0),0)))</f>
        <v>49</v>
      </c>
      <c r="O128" s="28">
        <f>IF(AND(K128=L128,LEFT(E128,1)="T"),VLOOKUP(A128,'JOGOS BASE'!A:E,5,0),IF(K128=J128,VLOOKUP(J128,Substituicoes!J:R,7,0),IF(L128=J128,VLOOKUP(Escalacao!J128,Substituicoes!K:R,8,0),0)))</f>
        <v>17</v>
      </c>
      <c r="P128" s="28">
        <f t="shared" si="18"/>
        <v>66</v>
      </c>
      <c r="Q128" s="28" t="str">
        <f t="shared" si="19"/>
        <v>411Pinheiro - MA</v>
      </c>
      <c r="R128" s="28" t="str">
        <f>VLOOKUP(A128,'JOGOS BASE'!A:H,8)</f>
        <v>15.01.2025 - Pinheiro - MA x Maranhão - MA</v>
      </c>
    </row>
    <row r="129" spans="1:18" ht="20.399999999999999">
      <c r="A129" s="15">
        <v>4</v>
      </c>
      <c r="B129" s="46">
        <v>12</v>
      </c>
      <c r="C129" s="45" t="s">
        <v>322</v>
      </c>
      <c r="D129" s="45" t="s">
        <v>323</v>
      </c>
      <c r="E129" s="47" t="s">
        <v>40</v>
      </c>
      <c r="F129" s="47" t="s">
        <v>24</v>
      </c>
      <c r="G129" s="46">
        <v>637255</v>
      </c>
      <c r="H129" s="18" t="s">
        <v>368</v>
      </c>
      <c r="I129" s="26" t="str">
        <f t="shared" si="15"/>
        <v>LUAN</v>
      </c>
      <c r="J129" s="26" t="str">
        <f t="shared" si="16"/>
        <v>4Pinheiro - MA12</v>
      </c>
      <c r="K129" s="27" t="str">
        <f>IFERROR(VLOOKUP(J129,Substituicoes!J:J,1,0),"SS")</f>
        <v>SS</v>
      </c>
      <c r="L129" s="27" t="str">
        <f>IFERROR(VLOOKUP(J129,Substituicoes!K:K,1,0),"SS")</f>
        <v>SS</v>
      </c>
      <c r="M129" s="28" t="b">
        <f t="shared" si="17"/>
        <v>1</v>
      </c>
      <c r="N129" s="29">
        <f>IF(AND(K129=L129,LEFT(E129,1)="T"),VLOOKUP(A129,'JOGOS BASE'!A:E,4,0),IF(K129=J129,VLOOKUP(J129,Substituicoes!J:R,6,0),IF(L129=J129,VLOOKUP(Escalacao!J129,Substituicoes!K:R,7,0),0)))</f>
        <v>0</v>
      </c>
      <c r="O129" s="28">
        <f>IF(AND(K129=L129,LEFT(E129,1)="T"),VLOOKUP(A129,'JOGOS BASE'!A:E,5,0),IF(K129=J129,VLOOKUP(J129,Substituicoes!J:R,7,0),IF(L129=J129,VLOOKUP(Escalacao!J129,Substituicoes!K:R,8,0),0)))</f>
        <v>0</v>
      </c>
      <c r="P129" s="28">
        <f t="shared" si="18"/>
        <v>0</v>
      </c>
      <c r="Q129" s="28" t="str">
        <f t="shared" si="19"/>
        <v>412Pinheiro - MA</v>
      </c>
      <c r="R129" s="28" t="str">
        <f>VLOOKUP(A129,'JOGOS BASE'!A:H,8)</f>
        <v>15.01.2025 - Pinheiro - MA x Maranhão - MA</v>
      </c>
    </row>
    <row r="130" spans="1:18" ht="30.6">
      <c r="A130" s="15">
        <v>4</v>
      </c>
      <c r="B130" s="46">
        <v>13</v>
      </c>
      <c r="C130" s="45" t="s">
        <v>324</v>
      </c>
      <c r="D130" s="45" t="s">
        <v>325</v>
      </c>
      <c r="E130" s="47" t="s">
        <v>42</v>
      </c>
      <c r="F130" s="47" t="s">
        <v>24</v>
      </c>
      <c r="G130" s="46">
        <v>554265</v>
      </c>
      <c r="H130" s="18" t="s">
        <v>368</v>
      </c>
      <c r="I130" s="26" t="str">
        <f t="shared" si="15"/>
        <v>Aldomir</v>
      </c>
      <c r="J130" s="26" t="str">
        <f t="shared" si="16"/>
        <v>4Pinheiro - MA13</v>
      </c>
      <c r="K130" s="27" t="str">
        <f>IFERROR(VLOOKUP(J130,Substituicoes!J:J,1,0),"SS")</f>
        <v>4Pinheiro - MA13</v>
      </c>
      <c r="L130" s="27" t="str">
        <f>IFERROR(VLOOKUP(J130,Substituicoes!K:K,1,0),"SS")</f>
        <v>SS</v>
      </c>
      <c r="M130" s="28" t="b">
        <f t="shared" si="17"/>
        <v>0</v>
      </c>
      <c r="N130" s="29">
        <f>IF(AND(K130=L130,LEFT(E130,1)="T"),VLOOKUP(A130,'JOGOS BASE'!A:E,4,0),IF(K130=J130,VLOOKUP(J130,Substituicoes!J:R,6,0),IF(L130=J130,VLOOKUP(Escalacao!J130,Substituicoes!K:R,7,0),0)))</f>
        <v>0</v>
      </c>
      <c r="O130" s="28">
        <f>IF(AND(K130=L130,LEFT(E130,1)="T"),VLOOKUP(A130,'JOGOS BASE'!A:E,5,0),IF(K130=J130,VLOOKUP(J130,Substituicoes!J:R,7,0),IF(L130=J130,VLOOKUP(Escalacao!J130,Substituicoes!K:R,8,0),0)))</f>
        <v>27</v>
      </c>
      <c r="P130" s="28">
        <f t="shared" si="18"/>
        <v>27</v>
      </c>
      <c r="Q130" s="28" t="str">
        <f t="shared" si="19"/>
        <v>413Pinheiro - MA</v>
      </c>
      <c r="R130" s="28" t="str">
        <f>VLOOKUP(A130,'JOGOS BASE'!A:H,8)</f>
        <v>15.01.2025 - Pinheiro - MA x Maranhão - MA</v>
      </c>
    </row>
    <row r="131" spans="1:18" ht="20.399999999999999">
      <c r="A131" s="15">
        <v>4</v>
      </c>
      <c r="B131" s="46">
        <v>14</v>
      </c>
      <c r="C131" s="45" t="s">
        <v>326</v>
      </c>
      <c r="D131" s="45" t="s">
        <v>327</v>
      </c>
      <c r="E131" s="47" t="s">
        <v>42</v>
      </c>
      <c r="F131" s="47" t="s">
        <v>56</v>
      </c>
      <c r="G131" s="46">
        <v>804398</v>
      </c>
      <c r="H131" s="18" t="s">
        <v>368</v>
      </c>
      <c r="I131" s="26" t="str">
        <f t="shared" si="15"/>
        <v>Igor Mineiro</v>
      </c>
      <c r="J131" s="26" t="str">
        <f t="shared" si="16"/>
        <v>4Pinheiro - MA14</v>
      </c>
      <c r="K131" s="27" t="str">
        <f>IFERROR(VLOOKUP(J131,Substituicoes!J:J,1,0),"SS")</f>
        <v>4Pinheiro - MA14</v>
      </c>
      <c r="L131" s="27" t="str">
        <f>IFERROR(VLOOKUP(J131,Substituicoes!K:K,1,0),"SS")</f>
        <v>SS</v>
      </c>
      <c r="M131" s="28" t="b">
        <f t="shared" si="17"/>
        <v>0</v>
      </c>
      <c r="N131" s="29">
        <f>IF(AND(K131=L131,LEFT(E131,1)="T"),VLOOKUP(A131,'JOGOS BASE'!A:E,4,0),IF(K131=J131,VLOOKUP(J131,Substituicoes!J:R,6,0),IF(L131=J131,VLOOKUP(Escalacao!J131,Substituicoes!K:R,7,0),0)))</f>
        <v>0</v>
      </c>
      <c r="O131" s="28">
        <f>IF(AND(K131=L131,LEFT(E131,1)="T"),VLOOKUP(A131,'JOGOS BASE'!A:E,5,0),IF(K131=J131,VLOOKUP(J131,Substituicoes!J:R,7,0),IF(L131=J131,VLOOKUP(Escalacao!J131,Substituicoes!K:R,8,0),0)))</f>
        <v>8</v>
      </c>
      <c r="P131" s="28">
        <f t="shared" si="18"/>
        <v>8</v>
      </c>
      <c r="Q131" s="28" t="str">
        <f t="shared" si="19"/>
        <v>414Pinheiro - MA</v>
      </c>
      <c r="R131" s="28" t="str">
        <f>VLOOKUP(A131,'JOGOS BASE'!A:H,8)</f>
        <v>15.01.2025 - Pinheiro - MA x Maranhão - MA</v>
      </c>
    </row>
    <row r="132" spans="1:18" ht="30.6">
      <c r="A132" s="15">
        <v>4</v>
      </c>
      <c r="B132" s="46">
        <v>15</v>
      </c>
      <c r="C132" s="45" t="s">
        <v>328</v>
      </c>
      <c r="D132" s="45" t="s">
        <v>329</v>
      </c>
      <c r="E132" s="47" t="s">
        <v>42</v>
      </c>
      <c r="F132" s="47" t="s">
        <v>56</v>
      </c>
      <c r="G132" s="46">
        <v>779893</v>
      </c>
      <c r="H132" s="18" t="s">
        <v>368</v>
      </c>
      <c r="I132" s="26" t="str">
        <f t="shared" si="15"/>
        <v>George</v>
      </c>
      <c r="J132" s="26" t="str">
        <f t="shared" si="16"/>
        <v>4Pinheiro - MA15</v>
      </c>
      <c r="K132" s="27" t="str">
        <f>IFERROR(VLOOKUP(J132,Substituicoes!J:J,1,0),"SS")</f>
        <v>SS</v>
      </c>
      <c r="L132" s="27" t="str">
        <f>IFERROR(VLOOKUP(J132,Substituicoes!K:K,1,0),"SS")</f>
        <v>SS</v>
      </c>
      <c r="M132" s="28" t="b">
        <f t="shared" si="17"/>
        <v>1</v>
      </c>
      <c r="N132" s="29">
        <f>IF(AND(K132=L132,LEFT(E132,1)="T"),VLOOKUP(A132,'JOGOS BASE'!A:E,4,0),IF(K132=J132,VLOOKUP(J132,Substituicoes!J:R,6,0),IF(L132=J132,VLOOKUP(Escalacao!J132,Substituicoes!K:R,7,0),0)))</f>
        <v>0</v>
      </c>
      <c r="O132" s="28">
        <f>IF(AND(K132=L132,LEFT(E132,1)="T"),VLOOKUP(A132,'JOGOS BASE'!A:E,5,0),IF(K132=J132,VLOOKUP(J132,Substituicoes!J:R,7,0),IF(L132=J132,VLOOKUP(Escalacao!J132,Substituicoes!K:R,8,0),0)))</f>
        <v>0</v>
      </c>
      <c r="P132" s="28">
        <f t="shared" si="18"/>
        <v>0</v>
      </c>
      <c r="Q132" s="28" t="str">
        <f t="shared" si="19"/>
        <v>415Pinheiro - MA</v>
      </c>
      <c r="R132" s="28" t="str">
        <f>VLOOKUP(A132,'JOGOS BASE'!A:H,8)</f>
        <v>15.01.2025 - Pinheiro - MA x Maranhão - MA</v>
      </c>
    </row>
    <row r="133" spans="1:18" ht="20.399999999999999">
      <c r="A133" s="15">
        <v>4</v>
      </c>
      <c r="B133" s="46">
        <v>16</v>
      </c>
      <c r="C133" s="45" t="s">
        <v>214</v>
      </c>
      <c r="D133" s="45" t="s">
        <v>330</v>
      </c>
      <c r="E133" s="47" t="s">
        <v>42</v>
      </c>
      <c r="F133" s="47" t="s">
        <v>24</v>
      </c>
      <c r="G133" s="46">
        <v>559235</v>
      </c>
      <c r="H133" s="18" t="s">
        <v>368</v>
      </c>
      <c r="I133" s="26" t="str">
        <f t="shared" si="15"/>
        <v>Jean</v>
      </c>
      <c r="J133" s="26" t="str">
        <f t="shared" si="16"/>
        <v>4Pinheiro - MA16</v>
      </c>
      <c r="K133" s="27" t="str">
        <f>IFERROR(VLOOKUP(J133,Substituicoes!J:J,1,0),"SS")</f>
        <v>SS</v>
      </c>
      <c r="L133" s="27" t="str">
        <f>IFERROR(VLOOKUP(J133,Substituicoes!K:K,1,0),"SS")</f>
        <v>SS</v>
      </c>
      <c r="M133" s="28" t="b">
        <f t="shared" si="17"/>
        <v>1</v>
      </c>
      <c r="N133" s="29">
        <f>IF(AND(K133=L133,LEFT(E133,1)="T"),VLOOKUP(A133,'JOGOS BASE'!A:E,4,0),IF(K133=J133,VLOOKUP(J133,Substituicoes!J:R,6,0),IF(L133=J133,VLOOKUP(Escalacao!J133,Substituicoes!K:R,7,0),0)))</f>
        <v>0</v>
      </c>
      <c r="O133" s="28">
        <f>IF(AND(K133=L133,LEFT(E133,1)="T"),VLOOKUP(A133,'JOGOS BASE'!A:E,5,0),IF(K133=J133,VLOOKUP(J133,Substituicoes!J:R,7,0),IF(L133=J133,VLOOKUP(Escalacao!J133,Substituicoes!K:R,8,0),0)))</f>
        <v>0</v>
      </c>
      <c r="P133" s="28">
        <f t="shared" si="18"/>
        <v>0</v>
      </c>
      <c r="Q133" s="28" t="str">
        <f t="shared" si="19"/>
        <v>416Pinheiro - MA</v>
      </c>
      <c r="R133" s="28" t="str">
        <f>VLOOKUP(A133,'JOGOS BASE'!A:H,8)</f>
        <v>15.01.2025 - Pinheiro - MA x Maranhão - MA</v>
      </c>
    </row>
    <row r="134" spans="1:18" ht="30.6">
      <c r="A134" s="15">
        <v>4</v>
      </c>
      <c r="B134" s="46">
        <v>17</v>
      </c>
      <c r="C134" s="45" t="s">
        <v>331</v>
      </c>
      <c r="D134" s="45" t="s">
        <v>332</v>
      </c>
      <c r="E134" s="47" t="s">
        <v>42</v>
      </c>
      <c r="F134" s="47" t="s">
        <v>24</v>
      </c>
      <c r="G134" s="46">
        <v>816868</v>
      </c>
      <c r="H134" s="18" t="s">
        <v>368</v>
      </c>
      <c r="I134" s="26" t="str">
        <f t="shared" si="15"/>
        <v>KAYKY</v>
      </c>
      <c r="J134" s="26" t="str">
        <f t="shared" si="16"/>
        <v>4Pinheiro - MA17</v>
      </c>
      <c r="K134" s="27" t="str">
        <f>IFERROR(VLOOKUP(J134,Substituicoes!J:J,1,0),"SS")</f>
        <v>4Pinheiro - MA17</v>
      </c>
      <c r="L134" s="27" t="str">
        <f>IFERROR(VLOOKUP(J134,Substituicoes!K:K,1,0),"SS")</f>
        <v>SS</v>
      </c>
      <c r="M134" s="28" t="b">
        <f t="shared" si="17"/>
        <v>0</v>
      </c>
      <c r="N134" s="29">
        <f>IF(AND(K134=L134,LEFT(E134,1)="T"),VLOOKUP(A134,'JOGOS BASE'!A:E,4,0),IF(K134=J134,VLOOKUP(J134,Substituicoes!J:R,6,0),IF(L134=J134,VLOOKUP(Escalacao!J134,Substituicoes!K:R,7,0),0)))</f>
        <v>0</v>
      </c>
      <c r="O134" s="28">
        <f>IF(AND(K134=L134,LEFT(E134,1)="T"),VLOOKUP(A134,'JOGOS BASE'!A:E,5,0),IF(K134=J134,VLOOKUP(J134,Substituicoes!J:R,7,0),IF(L134=J134,VLOOKUP(Escalacao!J134,Substituicoes!K:R,8,0),0)))</f>
        <v>8</v>
      </c>
      <c r="P134" s="28">
        <f t="shared" si="18"/>
        <v>8</v>
      </c>
      <c r="Q134" s="28" t="str">
        <f t="shared" si="19"/>
        <v>417Pinheiro - MA</v>
      </c>
      <c r="R134" s="28" t="str">
        <f>VLOOKUP(A134,'JOGOS BASE'!A:H,8)</f>
        <v>15.01.2025 - Pinheiro - MA x Maranhão - MA</v>
      </c>
    </row>
    <row r="135" spans="1:18" ht="30.6">
      <c r="A135" s="15">
        <v>4</v>
      </c>
      <c r="B135" s="46">
        <v>18</v>
      </c>
      <c r="C135" s="45" t="s">
        <v>333</v>
      </c>
      <c r="D135" s="45" t="s">
        <v>334</v>
      </c>
      <c r="E135" s="47" t="s">
        <v>42</v>
      </c>
      <c r="F135" s="47" t="s">
        <v>24</v>
      </c>
      <c r="G135" s="46">
        <v>710709</v>
      </c>
      <c r="H135" s="18" t="s">
        <v>368</v>
      </c>
      <c r="I135" s="26" t="str">
        <f t="shared" si="15"/>
        <v>BASTICO</v>
      </c>
      <c r="J135" s="26" t="str">
        <f t="shared" si="16"/>
        <v>4Pinheiro - MA18</v>
      </c>
      <c r="K135" s="27" t="str">
        <f>IFERROR(VLOOKUP(J135,Substituicoes!J:J,1,0),"SS")</f>
        <v>4Pinheiro - MA18</v>
      </c>
      <c r="L135" s="27" t="str">
        <f>IFERROR(VLOOKUP(J135,Substituicoes!K:K,1,0),"SS")</f>
        <v>SS</v>
      </c>
      <c r="M135" s="28" t="b">
        <f t="shared" si="17"/>
        <v>0</v>
      </c>
      <c r="N135" s="29">
        <f>IF(AND(K135=L135,LEFT(E135,1)="T"),VLOOKUP(A135,'JOGOS BASE'!A:E,4,0),IF(K135=J135,VLOOKUP(J135,Substituicoes!J:R,6,0),IF(L135=J135,VLOOKUP(Escalacao!J135,Substituicoes!K:R,7,0),0)))</f>
        <v>0</v>
      </c>
      <c r="O135" s="28">
        <f>IF(AND(K135=L135,LEFT(E135,1)="T"),VLOOKUP(A135,'JOGOS BASE'!A:E,5,0),IF(K135=J135,VLOOKUP(J135,Substituicoes!J:R,7,0),IF(L135=J135,VLOOKUP(Escalacao!J135,Substituicoes!K:R,8,0),0)))</f>
        <v>34</v>
      </c>
      <c r="P135" s="28">
        <f t="shared" si="18"/>
        <v>34</v>
      </c>
      <c r="Q135" s="28" t="str">
        <f t="shared" si="19"/>
        <v>418Pinheiro - MA</v>
      </c>
      <c r="R135" s="28" t="str">
        <f>VLOOKUP(A135,'JOGOS BASE'!A:H,8)</f>
        <v>15.01.2025 - Pinheiro - MA x Maranhão - MA</v>
      </c>
    </row>
    <row r="136" spans="1:18" ht="30.6">
      <c r="A136" s="15">
        <v>4</v>
      </c>
      <c r="B136" s="46">
        <v>19</v>
      </c>
      <c r="C136" s="45" t="s">
        <v>390</v>
      </c>
      <c r="D136" s="45" t="s">
        <v>391</v>
      </c>
      <c r="E136" s="47" t="s">
        <v>42</v>
      </c>
      <c r="F136" s="47" t="s">
        <v>24</v>
      </c>
      <c r="G136" s="46">
        <v>740175</v>
      </c>
      <c r="H136" s="18" t="s">
        <v>368</v>
      </c>
      <c r="I136" s="26" t="str">
        <f t="shared" si="15"/>
        <v>DANILO</v>
      </c>
      <c r="J136" s="26" t="str">
        <f t="shared" si="16"/>
        <v>4Pinheiro - MA19</v>
      </c>
      <c r="K136" s="27" t="str">
        <f>IFERROR(VLOOKUP(J136,Substituicoes!J:J,1,0),"SS")</f>
        <v>SS</v>
      </c>
      <c r="L136" s="27" t="str">
        <f>IFERROR(VLOOKUP(J136,Substituicoes!K:K,1,0),"SS")</f>
        <v>SS</v>
      </c>
      <c r="M136" s="28" t="b">
        <f t="shared" si="17"/>
        <v>1</v>
      </c>
      <c r="N136" s="29">
        <f>IF(AND(K136=L136,LEFT(E136,1)="T"),VLOOKUP(A136,'JOGOS BASE'!A:E,4,0),IF(K136=J136,VLOOKUP(J136,Substituicoes!J:R,6,0),IF(L136=J136,VLOOKUP(Escalacao!J136,Substituicoes!K:R,7,0),0)))</f>
        <v>0</v>
      </c>
      <c r="O136" s="28">
        <f>IF(AND(K136=L136,LEFT(E136,1)="T"),VLOOKUP(A136,'JOGOS BASE'!A:E,5,0),IF(K136=J136,VLOOKUP(J136,Substituicoes!J:R,7,0),IF(L136=J136,VLOOKUP(Escalacao!J136,Substituicoes!K:R,8,0),0)))</f>
        <v>0</v>
      </c>
      <c r="P136" s="28">
        <f t="shared" si="18"/>
        <v>0</v>
      </c>
      <c r="Q136" s="28" t="str">
        <f t="shared" si="19"/>
        <v>419Pinheiro - MA</v>
      </c>
      <c r="R136" s="28" t="str">
        <f>VLOOKUP(A136,'JOGOS BASE'!A:H,8)</f>
        <v>15.01.2025 - Pinheiro - MA x Maranhão - MA</v>
      </c>
    </row>
    <row r="137" spans="1:18" ht="30.6">
      <c r="A137" s="15">
        <v>4</v>
      </c>
      <c r="B137" s="46">
        <v>20</v>
      </c>
      <c r="C137" s="45" t="s">
        <v>392</v>
      </c>
      <c r="D137" s="45" t="s">
        <v>393</v>
      </c>
      <c r="E137" s="47" t="s">
        <v>42</v>
      </c>
      <c r="F137" s="47" t="s">
        <v>56</v>
      </c>
      <c r="G137" s="46">
        <v>894254</v>
      </c>
      <c r="H137" s="18" t="s">
        <v>368</v>
      </c>
      <c r="I137" s="26" t="str">
        <f t="shared" si="15"/>
        <v>ANDERSON</v>
      </c>
      <c r="J137" s="26" t="str">
        <f t="shared" si="16"/>
        <v>4Pinheiro - MA20</v>
      </c>
      <c r="K137" s="27" t="str">
        <f>IFERROR(VLOOKUP(J137,Substituicoes!J:J,1,0),"SS")</f>
        <v>SS</v>
      </c>
      <c r="L137" s="27" t="str">
        <f>IFERROR(VLOOKUP(J137,Substituicoes!K:K,1,0),"SS")</f>
        <v>SS</v>
      </c>
      <c r="M137" s="28" t="b">
        <f t="shared" si="17"/>
        <v>1</v>
      </c>
      <c r="N137" s="29">
        <f>IF(AND(K137=L137,LEFT(E137,1)="T"),VLOOKUP(A137,'JOGOS BASE'!A:E,4,0),IF(K137=J137,VLOOKUP(J137,Substituicoes!J:R,6,0),IF(L137=J137,VLOOKUP(Escalacao!J137,Substituicoes!K:R,7,0),0)))</f>
        <v>0</v>
      </c>
      <c r="O137" s="28">
        <f>IF(AND(K137=L137,LEFT(E137,1)="T"),VLOOKUP(A137,'JOGOS BASE'!A:E,5,0),IF(K137=J137,VLOOKUP(J137,Substituicoes!J:R,7,0),IF(L137=J137,VLOOKUP(Escalacao!J137,Substituicoes!K:R,8,0),0)))</f>
        <v>0</v>
      </c>
      <c r="P137" s="28">
        <f t="shared" si="18"/>
        <v>0</v>
      </c>
      <c r="Q137" s="28" t="str">
        <f t="shared" si="19"/>
        <v>420Pinheiro - MA</v>
      </c>
      <c r="R137" s="28" t="str">
        <f>VLOOKUP(A137,'JOGOS BASE'!A:H,8)</f>
        <v>15.01.2025 - Pinheiro - MA x Maranhão - MA</v>
      </c>
    </row>
    <row r="138" spans="1:18" ht="20.399999999999999">
      <c r="A138" s="15">
        <v>4</v>
      </c>
      <c r="B138" s="46">
        <v>1</v>
      </c>
      <c r="C138" s="45" t="s">
        <v>214</v>
      </c>
      <c r="D138" s="45" t="s">
        <v>215</v>
      </c>
      <c r="E138" s="47" t="s">
        <v>23</v>
      </c>
      <c r="F138" s="47" t="s">
        <v>24</v>
      </c>
      <c r="G138" s="46">
        <v>343441</v>
      </c>
      <c r="H138" s="18" t="s">
        <v>260</v>
      </c>
      <c r="I138" s="26" t="str">
        <f t="shared" si="15"/>
        <v>Jean</v>
      </c>
      <c r="J138" s="26" t="str">
        <f t="shared" si="16"/>
        <v>4Maranhão - MA1</v>
      </c>
      <c r="K138" s="27" t="str">
        <f>IFERROR(VLOOKUP(J138,Substituicoes!J:J,1,0),"SS")</f>
        <v>SS</v>
      </c>
      <c r="L138" s="27" t="str">
        <f>IFERROR(VLOOKUP(J138,Substituicoes!K:K,1,0),"SS")</f>
        <v>SS</v>
      </c>
      <c r="M138" s="28" t="b">
        <f t="shared" si="17"/>
        <v>1</v>
      </c>
      <c r="N138" s="29">
        <f>IF(AND(K138=L138,LEFT(E138,1)="T"),VLOOKUP(A138,'JOGOS BASE'!A:E,4,0),IF(K138=J138,VLOOKUP(J138,Substituicoes!J:R,6,0),IF(L138=J138,VLOOKUP(Escalacao!J138,Substituicoes!K:R,7,0),0)))</f>
        <v>49</v>
      </c>
      <c r="O138" s="28">
        <f>IF(AND(K138=L138,LEFT(E138,1)="T"),VLOOKUP(A138,'JOGOS BASE'!A:E,5,0),IF(K138=J138,VLOOKUP(J138,Substituicoes!J:R,7,0),IF(L138=J138,VLOOKUP(Escalacao!J138,Substituicoes!K:R,8,0),0)))</f>
        <v>51</v>
      </c>
      <c r="P138" s="28">
        <f t="shared" si="18"/>
        <v>100</v>
      </c>
      <c r="Q138" s="28" t="str">
        <f t="shared" si="19"/>
        <v>41Maranhão - MA</v>
      </c>
      <c r="R138" s="28" t="str">
        <f>VLOOKUP(A138,'JOGOS BASE'!A:H,8)</f>
        <v>15.01.2025 - Pinheiro - MA x Maranhão - MA</v>
      </c>
    </row>
    <row r="139" spans="1:18" ht="30.6">
      <c r="A139" s="15">
        <v>4</v>
      </c>
      <c r="B139" s="46">
        <v>2</v>
      </c>
      <c r="C139" s="45" t="s">
        <v>216</v>
      </c>
      <c r="D139" s="45" t="s">
        <v>217</v>
      </c>
      <c r="E139" s="47" t="s">
        <v>26</v>
      </c>
      <c r="F139" s="47" t="s">
        <v>24</v>
      </c>
      <c r="G139" s="46">
        <v>359014</v>
      </c>
      <c r="H139" s="18" t="s">
        <v>260</v>
      </c>
      <c r="I139" s="26" t="str">
        <f t="shared" si="15"/>
        <v>Franklin</v>
      </c>
      <c r="J139" s="26" t="str">
        <f t="shared" si="16"/>
        <v>4Maranhão - MA2</v>
      </c>
      <c r="K139" s="27" t="str">
        <f>IFERROR(VLOOKUP(J139,Substituicoes!J:J,1,0),"SS")</f>
        <v>SS</v>
      </c>
      <c r="L139" s="27" t="str">
        <f>IFERROR(VLOOKUP(J139,Substituicoes!K:K,1,0),"SS")</f>
        <v>SS</v>
      </c>
      <c r="M139" s="28" t="b">
        <f t="shared" si="17"/>
        <v>1</v>
      </c>
      <c r="N139" s="29">
        <f>IF(AND(K139=L139,LEFT(E139,1)="T"),VLOOKUP(A139,'JOGOS BASE'!A:E,4,0),IF(K139=J139,VLOOKUP(J139,Substituicoes!J:R,6,0),IF(L139=J139,VLOOKUP(Escalacao!J139,Substituicoes!K:R,7,0),0)))</f>
        <v>49</v>
      </c>
      <c r="O139" s="28">
        <f>IF(AND(K139=L139,LEFT(E139,1)="T"),VLOOKUP(A139,'JOGOS BASE'!A:E,5,0),IF(K139=J139,VLOOKUP(J139,Substituicoes!J:R,7,0),IF(L139=J139,VLOOKUP(Escalacao!J139,Substituicoes!K:R,8,0),0)))</f>
        <v>51</v>
      </c>
      <c r="P139" s="28">
        <f t="shared" si="18"/>
        <v>100</v>
      </c>
      <c r="Q139" s="28" t="str">
        <f t="shared" si="19"/>
        <v>42Maranhão - MA</v>
      </c>
      <c r="R139" s="28" t="str">
        <f>VLOOKUP(A139,'JOGOS BASE'!A:H,8)</f>
        <v>15.01.2025 - Pinheiro - MA x Maranhão - MA</v>
      </c>
    </row>
    <row r="140" spans="1:18" ht="30.6">
      <c r="A140" s="15">
        <v>4</v>
      </c>
      <c r="B140" s="46">
        <v>3</v>
      </c>
      <c r="C140" s="45" t="s">
        <v>218</v>
      </c>
      <c r="D140" s="45" t="s">
        <v>219</v>
      </c>
      <c r="E140" s="47" t="s">
        <v>26</v>
      </c>
      <c r="F140" s="47" t="s">
        <v>24</v>
      </c>
      <c r="G140" s="46">
        <v>401846</v>
      </c>
      <c r="H140" s="18" t="s">
        <v>260</v>
      </c>
      <c r="I140" s="26" t="str">
        <f t="shared" si="15"/>
        <v>Luiz Fernando</v>
      </c>
      <c r="J140" s="26" t="str">
        <f t="shared" si="16"/>
        <v>4Maranhão - MA3</v>
      </c>
      <c r="K140" s="27" t="str">
        <f>IFERROR(VLOOKUP(J140,Substituicoes!J:J,1,0),"SS")</f>
        <v>SS</v>
      </c>
      <c r="L140" s="27" t="str">
        <f>IFERROR(VLOOKUP(J140,Substituicoes!K:K,1,0),"SS")</f>
        <v>SS</v>
      </c>
      <c r="M140" s="28" t="b">
        <f t="shared" si="17"/>
        <v>1</v>
      </c>
      <c r="N140" s="29">
        <f>IF(AND(K140=L140,LEFT(E140,1)="T"),VLOOKUP(A140,'JOGOS BASE'!A:E,4,0),IF(K140=J140,VLOOKUP(J140,Substituicoes!J:R,6,0),IF(L140=J140,VLOOKUP(Escalacao!J140,Substituicoes!K:R,7,0),0)))</f>
        <v>49</v>
      </c>
      <c r="O140" s="28">
        <f>IF(AND(K140=L140,LEFT(E140,1)="T"),VLOOKUP(A140,'JOGOS BASE'!A:E,5,0),IF(K140=J140,VLOOKUP(J140,Substituicoes!J:R,7,0),IF(L140=J140,VLOOKUP(Escalacao!J140,Substituicoes!K:R,8,0),0)))</f>
        <v>51</v>
      </c>
      <c r="P140" s="28">
        <f t="shared" si="18"/>
        <v>100</v>
      </c>
      <c r="Q140" s="28" t="str">
        <f t="shared" si="19"/>
        <v>43Maranhão - MA</v>
      </c>
      <c r="R140" s="28" t="str">
        <f>VLOOKUP(A140,'JOGOS BASE'!A:H,8)</f>
        <v>15.01.2025 - Pinheiro - MA x Maranhão - MA</v>
      </c>
    </row>
    <row r="141" spans="1:18" ht="30.6">
      <c r="A141" s="15">
        <v>4</v>
      </c>
      <c r="B141" s="46">
        <v>4</v>
      </c>
      <c r="C141" s="45" t="s">
        <v>220</v>
      </c>
      <c r="D141" s="45" t="s">
        <v>221</v>
      </c>
      <c r="E141" s="47" t="s">
        <v>26</v>
      </c>
      <c r="F141" s="47" t="s">
        <v>24</v>
      </c>
      <c r="G141" s="46">
        <v>465714</v>
      </c>
      <c r="H141" s="18" t="s">
        <v>260</v>
      </c>
      <c r="I141" s="26" t="str">
        <f t="shared" si="15"/>
        <v>Maicon</v>
      </c>
      <c r="J141" s="26" t="str">
        <f t="shared" si="16"/>
        <v>4Maranhão - MA4</v>
      </c>
      <c r="K141" s="27" t="str">
        <f>IFERROR(VLOOKUP(J141,Substituicoes!J:J,1,0),"SS")</f>
        <v>SS</v>
      </c>
      <c r="L141" s="27" t="str">
        <f>IFERROR(VLOOKUP(J141,Substituicoes!K:K,1,0),"SS")</f>
        <v>4Maranhão - MA4</v>
      </c>
      <c r="M141" s="28" t="b">
        <f t="shared" si="17"/>
        <v>0</v>
      </c>
      <c r="N141" s="29">
        <f>IF(AND(K141=L141,LEFT(E141,1)="T"),VLOOKUP(A141,'JOGOS BASE'!A:E,4,0),IF(K141=J141,VLOOKUP(J141,Substituicoes!J:R,6,0),IF(L141=J141,VLOOKUP(Escalacao!J141,Substituicoes!K:R,7,0),0)))</f>
        <v>49</v>
      </c>
      <c r="O141" s="28">
        <f>IF(AND(K141=L141,LEFT(E141,1)="T"),VLOOKUP(A141,'JOGOS BASE'!A:E,5,0),IF(K141=J141,VLOOKUP(J141,Substituicoes!J:R,7,0),IF(L141=J141,VLOOKUP(Escalacao!J141,Substituicoes!K:R,8,0),0)))</f>
        <v>24</v>
      </c>
      <c r="P141" s="28">
        <f t="shared" si="18"/>
        <v>73</v>
      </c>
      <c r="Q141" s="28" t="str">
        <f t="shared" si="19"/>
        <v>44Maranhão - MA</v>
      </c>
      <c r="R141" s="28" t="str">
        <f>VLOOKUP(A141,'JOGOS BASE'!A:H,8)</f>
        <v>15.01.2025 - Pinheiro - MA x Maranhão - MA</v>
      </c>
    </row>
    <row r="142" spans="1:18" ht="30.6">
      <c r="A142" s="15">
        <v>4</v>
      </c>
      <c r="B142" s="46">
        <v>5</v>
      </c>
      <c r="C142" s="45" t="s">
        <v>248</v>
      </c>
      <c r="D142" s="45" t="s">
        <v>249</v>
      </c>
      <c r="E142" s="47" t="s">
        <v>26</v>
      </c>
      <c r="F142" s="47" t="s">
        <v>24</v>
      </c>
      <c r="G142" s="46">
        <v>747375</v>
      </c>
      <c r="H142" s="18" t="s">
        <v>260</v>
      </c>
      <c r="I142" s="26" t="str">
        <f t="shared" si="15"/>
        <v>MARCOS</v>
      </c>
      <c r="J142" s="26" t="str">
        <f t="shared" si="16"/>
        <v>4Maranhão - MA5</v>
      </c>
      <c r="K142" s="27" t="str">
        <f>IFERROR(VLOOKUP(J142,Substituicoes!J:J,1,0),"SS")</f>
        <v>SS</v>
      </c>
      <c r="L142" s="27" t="str">
        <f>IFERROR(VLOOKUP(J142,Substituicoes!K:K,1,0),"SS")</f>
        <v>SS</v>
      </c>
      <c r="M142" s="28" t="b">
        <f t="shared" si="17"/>
        <v>1</v>
      </c>
      <c r="N142" s="29">
        <f>IF(AND(K142=L142,LEFT(E142,1)="T"),VLOOKUP(A142,'JOGOS BASE'!A:E,4,0),IF(K142=J142,VLOOKUP(J142,Substituicoes!J:R,6,0),IF(L142=J142,VLOOKUP(Escalacao!J142,Substituicoes!K:R,7,0),0)))</f>
        <v>49</v>
      </c>
      <c r="O142" s="28">
        <f>IF(AND(K142=L142,LEFT(E142,1)="T"),VLOOKUP(A142,'JOGOS BASE'!A:E,5,0),IF(K142=J142,VLOOKUP(J142,Substituicoes!J:R,7,0),IF(L142=J142,VLOOKUP(Escalacao!J142,Substituicoes!K:R,8,0),0)))</f>
        <v>51</v>
      </c>
      <c r="P142" s="28">
        <f t="shared" si="18"/>
        <v>100</v>
      </c>
      <c r="Q142" s="28" t="str">
        <f t="shared" si="19"/>
        <v>45Maranhão - MA</v>
      </c>
      <c r="R142" s="28" t="str">
        <f>VLOOKUP(A142,'JOGOS BASE'!A:H,8)</f>
        <v>15.01.2025 - Pinheiro - MA x Maranhão - MA</v>
      </c>
    </row>
    <row r="143" spans="1:18" ht="30.6">
      <c r="A143" s="15">
        <v>4</v>
      </c>
      <c r="B143" s="46">
        <v>6</v>
      </c>
      <c r="C143" s="45" t="s">
        <v>224</v>
      </c>
      <c r="D143" s="45" t="s">
        <v>225</v>
      </c>
      <c r="E143" s="47" t="s">
        <v>26</v>
      </c>
      <c r="F143" s="47" t="s">
        <v>24</v>
      </c>
      <c r="G143" s="46">
        <v>414464</v>
      </c>
      <c r="H143" s="18" t="s">
        <v>260</v>
      </c>
      <c r="I143" s="26" t="str">
        <f t="shared" si="15"/>
        <v>Andre</v>
      </c>
      <c r="J143" s="26" t="str">
        <f t="shared" si="16"/>
        <v>4Maranhão - MA6</v>
      </c>
      <c r="K143" s="27" t="str">
        <f>IFERROR(VLOOKUP(J143,Substituicoes!J:J,1,0),"SS")</f>
        <v>SS</v>
      </c>
      <c r="L143" s="27" t="str">
        <f>IFERROR(VLOOKUP(J143,Substituicoes!K:K,1,0),"SS")</f>
        <v>SS</v>
      </c>
      <c r="M143" s="28" t="b">
        <f t="shared" si="17"/>
        <v>1</v>
      </c>
      <c r="N143" s="29">
        <f>IF(AND(K143=L143,LEFT(E143,1)="T"),VLOOKUP(A143,'JOGOS BASE'!A:E,4,0),IF(K143=J143,VLOOKUP(J143,Substituicoes!J:R,6,0),IF(L143=J143,VLOOKUP(Escalacao!J143,Substituicoes!K:R,7,0),0)))</f>
        <v>49</v>
      </c>
      <c r="O143" s="28">
        <f>IF(AND(K143=L143,LEFT(E143,1)="T"),VLOOKUP(A143,'JOGOS BASE'!A:E,5,0),IF(K143=J143,VLOOKUP(J143,Substituicoes!J:R,7,0),IF(L143=J143,VLOOKUP(Escalacao!J143,Substituicoes!K:R,8,0),0)))</f>
        <v>51</v>
      </c>
      <c r="P143" s="28">
        <f t="shared" si="18"/>
        <v>100</v>
      </c>
      <c r="Q143" s="28" t="str">
        <f t="shared" si="19"/>
        <v>46Maranhão - MA</v>
      </c>
      <c r="R143" s="28" t="str">
        <f>VLOOKUP(A143,'JOGOS BASE'!A:H,8)</f>
        <v>15.01.2025 - Pinheiro - MA x Maranhão - MA</v>
      </c>
    </row>
    <row r="144" spans="1:18" ht="30.6">
      <c r="A144" s="15">
        <v>4</v>
      </c>
      <c r="B144" s="46">
        <v>8</v>
      </c>
      <c r="C144" s="45" t="s">
        <v>250</v>
      </c>
      <c r="D144" s="45" t="s">
        <v>251</v>
      </c>
      <c r="E144" s="47" t="s">
        <v>26</v>
      </c>
      <c r="F144" s="47" t="s">
        <v>24</v>
      </c>
      <c r="G144" s="46">
        <v>629226</v>
      </c>
      <c r="H144" s="18" t="s">
        <v>260</v>
      </c>
      <c r="I144" s="26" t="str">
        <f t="shared" si="15"/>
        <v>LUCAS</v>
      </c>
      <c r="J144" s="26" t="str">
        <f t="shared" si="16"/>
        <v>4Maranhão - MA8</v>
      </c>
      <c r="K144" s="27" t="str">
        <f>IFERROR(VLOOKUP(J144,Substituicoes!J:J,1,0),"SS")</f>
        <v>SS</v>
      </c>
      <c r="L144" s="27" t="str">
        <f>IFERROR(VLOOKUP(J144,Substituicoes!K:K,1,0),"SS")</f>
        <v>4Maranhão - MA8</v>
      </c>
      <c r="M144" s="28" t="b">
        <f t="shared" si="17"/>
        <v>0</v>
      </c>
      <c r="N144" s="29">
        <f>IF(AND(K144=L144,LEFT(E144,1)="T"),VLOOKUP(A144,'JOGOS BASE'!A:E,4,0),IF(K144=J144,VLOOKUP(J144,Substituicoes!J:R,6,0),IF(L144=J144,VLOOKUP(Escalacao!J144,Substituicoes!K:R,7,0),0)))</f>
        <v>49</v>
      </c>
      <c r="O144" s="28">
        <f>IF(AND(K144=L144,LEFT(E144,1)="T"),VLOOKUP(A144,'JOGOS BASE'!A:E,5,0),IF(K144=J144,VLOOKUP(J144,Substituicoes!J:R,7,0),IF(L144=J144,VLOOKUP(Escalacao!J144,Substituicoes!K:R,8,0),0)))</f>
        <v>17</v>
      </c>
      <c r="P144" s="28">
        <f t="shared" si="18"/>
        <v>66</v>
      </c>
      <c r="Q144" s="28" t="str">
        <f t="shared" si="19"/>
        <v>48Maranhão - MA</v>
      </c>
      <c r="R144" s="28" t="str">
        <f>VLOOKUP(A144,'JOGOS BASE'!A:H,8)</f>
        <v>15.01.2025 - Pinheiro - MA x Maranhão - MA</v>
      </c>
    </row>
    <row r="145" spans="1:18" ht="30.6">
      <c r="A145" s="15">
        <v>4</v>
      </c>
      <c r="B145" s="46">
        <v>9</v>
      </c>
      <c r="C145" s="45" t="s">
        <v>228</v>
      </c>
      <c r="D145" s="45" t="s">
        <v>229</v>
      </c>
      <c r="E145" s="47" t="s">
        <v>26</v>
      </c>
      <c r="F145" s="47" t="s">
        <v>24</v>
      </c>
      <c r="G145" s="46">
        <v>610235</v>
      </c>
      <c r="H145" s="18" t="s">
        <v>260</v>
      </c>
      <c r="I145" s="26" t="str">
        <f t="shared" si="15"/>
        <v>loro</v>
      </c>
      <c r="J145" s="26" t="str">
        <f t="shared" si="16"/>
        <v>4Maranhão - MA9</v>
      </c>
      <c r="K145" s="27" t="str">
        <f>IFERROR(VLOOKUP(J145,Substituicoes!J:J,1,0),"SS")</f>
        <v>SS</v>
      </c>
      <c r="L145" s="27" t="str">
        <f>IFERROR(VLOOKUP(J145,Substituicoes!K:K,1,0),"SS")</f>
        <v>SS</v>
      </c>
      <c r="M145" s="28" t="b">
        <f t="shared" si="17"/>
        <v>1</v>
      </c>
      <c r="N145" s="29">
        <f>IF(AND(K145=L145,LEFT(E145,1)="T"),VLOOKUP(A145,'JOGOS BASE'!A:E,4,0),IF(K145=J145,VLOOKUP(J145,Substituicoes!J:R,6,0),IF(L145=J145,VLOOKUP(Escalacao!J145,Substituicoes!K:R,7,0),0)))</f>
        <v>49</v>
      </c>
      <c r="O145" s="28">
        <f>IF(AND(K145=L145,LEFT(E145,1)="T"),VLOOKUP(A145,'JOGOS BASE'!A:E,5,0),IF(K145=J145,VLOOKUP(J145,Substituicoes!J:R,7,0),IF(L145=J145,VLOOKUP(Escalacao!J145,Substituicoes!K:R,8,0),0)))</f>
        <v>51</v>
      </c>
      <c r="P145" s="28">
        <f t="shared" si="18"/>
        <v>100</v>
      </c>
      <c r="Q145" s="28" t="str">
        <f t="shared" si="19"/>
        <v>49Maranhão - MA</v>
      </c>
      <c r="R145" s="28" t="str">
        <f>VLOOKUP(A145,'JOGOS BASE'!A:H,8)</f>
        <v>15.01.2025 - Pinheiro - MA x Maranhão - MA</v>
      </c>
    </row>
    <row r="146" spans="1:18" ht="30.6">
      <c r="A146" s="15">
        <v>4</v>
      </c>
      <c r="B146" s="46">
        <v>10</v>
      </c>
      <c r="C146" s="45" t="s">
        <v>252</v>
      </c>
      <c r="D146" s="45" t="s">
        <v>253</v>
      </c>
      <c r="E146" s="47" t="s">
        <v>26</v>
      </c>
      <c r="F146" s="47" t="s">
        <v>24</v>
      </c>
      <c r="G146" s="46">
        <v>543877</v>
      </c>
      <c r="H146" s="18" t="s">
        <v>260</v>
      </c>
      <c r="I146" s="26" t="str">
        <f t="shared" si="15"/>
        <v>Emerson Fr ...</v>
      </c>
      <c r="J146" s="26" t="str">
        <f t="shared" si="16"/>
        <v>4Maranhão - MA10</v>
      </c>
      <c r="K146" s="27" t="str">
        <f>IFERROR(VLOOKUP(J146,Substituicoes!J:J,1,0),"SS")</f>
        <v>SS</v>
      </c>
      <c r="L146" s="27" t="str">
        <f>IFERROR(VLOOKUP(J146,Substituicoes!K:K,1,0),"SS")</f>
        <v>4Maranhão - MA10</v>
      </c>
      <c r="M146" s="28" t="b">
        <f t="shared" si="17"/>
        <v>0</v>
      </c>
      <c r="N146" s="29">
        <f>IF(AND(K146=L146,LEFT(E146,1)="T"),VLOOKUP(A146,'JOGOS BASE'!A:E,4,0),IF(K146=J146,VLOOKUP(J146,Substituicoes!J:R,6,0),IF(L146=J146,VLOOKUP(Escalacao!J146,Substituicoes!K:R,7,0),0)))</f>
        <v>49</v>
      </c>
      <c r="O146" s="28">
        <f>IF(AND(K146=L146,LEFT(E146,1)="T"),VLOOKUP(A146,'JOGOS BASE'!A:E,5,0),IF(K146=J146,VLOOKUP(J146,Substituicoes!J:R,7,0),IF(L146=J146,VLOOKUP(Escalacao!J146,Substituicoes!K:R,8,0),0)))</f>
        <v>41</v>
      </c>
      <c r="P146" s="28">
        <f t="shared" si="18"/>
        <v>90</v>
      </c>
      <c r="Q146" s="28" t="str">
        <f t="shared" si="19"/>
        <v>410Maranhão - MA</v>
      </c>
      <c r="R146" s="28" t="str">
        <f>VLOOKUP(A146,'JOGOS BASE'!A:H,8)</f>
        <v>15.01.2025 - Pinheiro - MA x Maranhão - MA</v>
      </c>
    </row>
    <row r="147" spans="1:18" ht="30.6">
      <c r="A147" s="15">
        <v>4</v>
      </c>
      <c r="B147" s="46">
        <v>11</v>
      </c>
      <c r="C147" s="45" t="s">
        <v>232</v>
      </c>
      <c r="D147" s="45" t="s">
        <v>233</v>
      </c>
      <c r="E147" s="47" t="s">
        <v>26</v>
      </c>
      <c r="F147" s="47" t="s">
        <v>24</v>
      </c>
      <c r="G147" s="46">
        <v>618785</v>
      </c>
      <c r="H147" s="18" t="s">
        <v>260</v>
      </c>
      <c r="I147" s="26" t="str">
        <f t="shared" si="15"/>
        <v>Ryan</v>
      </c>
      <c r="J147" s="26" t="str">
        <f t="shared" si="16"/>
        <v>4Maranhão - MA11</v>
      </c>
      <c r="K147" s="27" t="str">
        <f>IFERROR(VLOOKUP(J147,Substituicoes!J:J,1,0),"SS")</f>
        <v>SS</v>
      </c>
      <c r="L147" s="27" t="str">
        <f>IFERROR(VLOOKUP(J147,Substituicoes!K:K,1,0),"SS")</f>
        <v>4Maranhão - MA11</v>
      </c>
      <c r="M147" s="28" t="b">
        <f t="shared" si="17"/>
        <v>0</v>
      </c>
      <c r="N147" s="29">
        <f>IF(AND(K147=L147,LEFT(E147,1)="T"),VLOOKUP(A147,'JOGOS BASE'!A:E,4,0),IF(K147=J147,VLOOKUP(J147,Substituicoes!J:R,6,0),IF(L147=J147,VLOOKUP(Escalacao!J147,Substituicoes!K:R,7,0),0)))</f>
        <v>49</v>
      </c>
      <c r="O147" s="28">
        <f>IF(AND(K147=L147,LEFT(E147,1)="T"),VLOOKUP(A147,'JOGOS BASE'!A:E,5,0),IF(K147=J147,VLOOKUP(J147,Substituicoes!J:R,7,0),IF(L147=J147,VLOOKUP(Escalacao!J147,Substituicoes!K:R,8,0),0)))</f>
        <v>17</v>
      </c>
      <c r="P147" s="28">
        <f t="shared" si="18"/>
        <v>66</v>
      </c>
      <c r="Q147" s="28" t="str">
        <f t="shared" si="19"/>
        <v>411Maranhão - MA</v>
      </c>
      <c r="R147" s="28" t="str">
        <f>VLOOKUP(A147,'JOGOS BASE'!A:H,8)</f>
        <v>15.01.2025 - Pinheiro - MA x Maranhão - MA</v>
      </c>
    </row>
    <row r="148" spans="1:18" ht="30.6">
      <c r="A148" s="15">
        <v>4</v>
      </c>
      <c r="B148" s="46">
        <v>20</v>
      </c>
      <c r="C148" s="45" t="s">
        <v>254</v>
      </c>
      <c r="D148" s="45" t="s">
        <v>255</v>
      </c>
      <c r="E148" s="47" t="s">
        <v>26</v>
      </c>
      <c r="F148" s="47" t="s">
        <v>24</v>
      </c>
      <c r="G148" s="46">
        <v>557892</v>
      </c>
      <c r="H148" s="18" t="s">
        <v>260</v>
      </c>
      <c r="I148" s="26" t="str">
        <f t="shared" si="15"/>
        <v>Mikeias</v>
      </c>
      <c r="J148" s="26" t="str">
        <f t="shared" si="16"/>
        <v>4Maranhão - MA20</v>
      </c>
      <c r="K148" s="27" t="str">
        <f>IFERROR(VLOOKUP(J148,Substituicoes!J:J,1,0),"SS")</f>
        <v>SS</v>
      </c>
      <c r="L148" s="27" t="str">
        <f>IFERROR(VLOOKUP(J148,Substituicoes!K:K,1,0),"SS")</f>
        <v>4Maranhão - MA20</v>
      </c>
      <c r="M148" s="28" t="b">
        <f t="shared" si="17"/>
        <v>0</v>
      </c>
      <c r="N148" s="29">
        <f>IF(AND(K148=L148,LEFT(E148,1)="T"),VLOOKUP(A148,'JOGOS BASE'!A:E,4,0),IF(K148=J148,VLOOKUP(J148,Substituicoes!J:R,6,0),IF(L148=J148,VLOOKUP(Escalacao!J148,Substituicoes!K:R,7,0),0)))</f>
        <v>49</v>
      </c>
      <c r="O148" s="28">
        <f>IF(AND(K148=L148,LEFT(E148,1)="T"),VLOOKUP(A148,'JOGOS BASE'!A:E,5,0),IF(K148=J148,VLOOKUP(J148,Substituicoes!J:R,7,0),IF(L148=J148,VLOOKUP(Escalacao!J148,Substituicoes!K:R,8,0),0)))</f>
        <v>17</v>
      </c>
      <c r="P148" s="28">
        <f t="shared" si="18"/>
        <v>66</v>
      </c>
      <c r="Q148" s="28" t="str">
        <f t="shared" si="19"/>
        <v>420Maranhão - MA</v>
      </c>
      <c r="R148" s="28" t="str">
        <f>VLOOKUP(A148,'JOGOS BASE'!A:H,8)</f>
        <v>15.01.2025 - Pinheiro - MA x Maranhão - MA</v>
      </c>
    </row>
    <row r="149" spans="1:18" ht="30.6">
      <c r="A149" s="15">
        <v>4</v>
      </c>
      <c r="B149" s="46">
        <v>12</v>
      </c>
      <c r="C149" s="45" t="s">
        <v>236</v>
      </c>
      <c r="D149" s="45" t="s">
        <v>237</v>
      </c>
      <c r="E149" s="47" t="s">
        <v>40</v>
      </c>
      <c r="F149" s="47" t="s">
        <v>24</v>
      </c>
      <c r="G149" s="46">
        <v>565480</v>
      </c>
      <c r="H149" s="18" t="s">
        <v>260</v>
      </c>
      <c r="I149" s="26" t="str">
        <f t="shared" si="15"/>
        <v>Victor</v>
      </c>
      <c r="J149" s="26" t="str">
        <f t="shared" si="16"/>
        <v>4Maranhão - MA12</v>
      </c>
      <c r="K149" s="27" t="str">
        <f>IFERROR(VLOOKUP(J149,Substituicoes!J:J,1,0),"SS")</f>
        <v>SS</v>
      </c>
      <c r="L149" s="27" t="str">
        <f>IFERROR(VLOOKUP(J149,Substituicoes!K:K,1,0),"SS")</f>
        <v>SS</v>
      </c>
      <c r="M149" s="28" t="b">
        <f t="shared" si="17"/>
        <v>1</v>
      </c>
      <c r="N149" s="29">
        <f>IF(AND(K149=L149,LEFT(E149,1)="T"),VLOOKUP(A149,'JOGOS BASE'!A:E,4,0),IF(K149=J149,VLOOKUP(J149,Substituicoes!J:R,6,0),IF(L149=J149,VLOOKUP(Escalacao!J149,Substituicoes!K:R,7,0),0)))</f>
        <v>0</v>
      </c>
      <c r="O149" s="28">
        <f>IF(AND(K149=L149,LEFT(E149,1)="T"),VLOOKUP(A149,'JOGOS BASE'!A:E,5,0),IF(K149=J149,VLOOKUP(J149,Substituicoes!J:R,7,0),IF(L149=J149,VLOOKUP(Escalacao!J149,Substituicoes!K:R,8,0),0)))</f>
        <v>0</v>
      </c>
      <c r="P149" s="28">
        <f t="shared" si="18"/>
        <v>0</v>
      </c>
      <c r="Q149" s="28" t="str">
        <f t="shared" si="19"/>
        <v>412Maranhão - MA</v>
      </c>
      <c r="R149" s="28" t="str">
        <f>VLOOKUP(A149,'JOGOS BASE'!A:H,8)</f>
        <v>15.01.2025 - Pinheiro - MA x Maranhão - MA</v>
      </c>
    </row>
    <row r="150" spans="1:18" ht="20.399999999999999">
      <c r="A150" s="15">
        <v>4</v>
      </c>
      <c r="B150" s="46">
        <v>7</v>
      </c>
      <c r="C150" s="45" t="s">
        <v>238</v>
      </c>
      <c r="D150" s="45" t="s">
        <v>239</v>
      </c>
      <c r="E150" s="47" t="s">
        <v>42</v>
      </c>
      <c r="F150" s="47" t="s">
        <v>24</v>
      </c>
      <c r="G150" s="46">
        <v>739934</v>
      </c>
      <c r="H150" s="18" t="s">
        <v>260</v>
      </c>
      <c r="I150" s="26" t="str">
        <f t="shared" si="15"/>
        <v>GUILHERME</v>
      </c>
      <c r="J150" s="26" t="str">
        <f t="shared" si="16"/>
        <v>4Maranhão - MA7</v>
      </c>
      <c r="K150" s="27" t="str">
        <f>IFERROR(VLOOKUP(J150,Substituicoes!J:J,1,0),"SS")</f>
        <v>4Maranhão - MA7</v>
      </c>
      <c r="L150" s="27" t="str">
        <f>IFERROR(VLOOKUP(J150,Substituicoes!K:K,1,0),"SS")</f>
        <v>SS</v>
      </c>
      <c r="M150" s="28" t="b">
        <f t="shared" si="17"/>
        <v>0</v>
      </c>
      <c r="N150" s="29">
        <f>IF(AND(K150=L150,LEFT(E150,1)="T"),VLOOKUP(A150,'JOGOS BASE'!A:E,4,0),IF(K150=J150,VLOOKUP(J150,Substituicoes!J:R,6,0),IF(L150=J150,VLOOKUP(Escalacao!J150,Substituicoes!K:R,7,0),0)))</f>
        <v>0</v>
      </c>
      <c r="O150" s="28">
        <f>IF(AND(K150=L150,LEFT(E150,1)="T"),VLOOKUP(A150,'JOGOS BASE'!A:E,5,0),IF(K150=J150,VLOOKUP(J150,Substituicoes!J:R,7,0),IF(L150=J150,VLOOKUP(Escalacao!J150,Substituicoes!K:R,8,0),0)))</f>
        <v>34</v>
      </c>
      <c r="P150" s="28">
        <f t="shared" si="18"/>
        <v>34</v>
      </c>
      <c r="Q150" s="28" t="str">
        <f t="shared" si="19"/>
        <v>47Maranhão - MA</v>
      </c>
      <c r="R150" s="28" t="str">
        <f>VLOOKUP(A150,'JOGOS BASE'!A:H,8)</f>
        <v>15.01.2025 - Pinheiro - MA x Maranhão - MA</v>
      </c>
    </row>
    <row r="151" spans="1:18" ht="20.399999999999999">
      <c r="A151" s="15">
        <v>4</v>
      </c>
      <c r="B151" s="46">
        <v>13</v>
      </c>
      <c r="C151" s="45" t="s">
        <v>240</v>
      </c>
      <c r="D151" s="45" t="s">
        <v>241</v>
      </c>
      <c r="E151" s="47" t="s">
        <v>42</v>
      </c>
      <c r="F151" s="47" t="s">
        <v>24</v>
      </c>
      <c r="G151" s="46">
        <v>454987</v>
      </c>
      <c r="H151" s="18" t="s">
        <v>260</v>
      </c>
      <c r="I151" s="26" t="str">
        <f t="shared" si="15"/>
        <v>IGOR</v>
      </c>
      <c r="J151" s="26" t="str">
        <f t="shared" si="16"/>
        <v>4Maranhão - MA13</v>
      </c>
      <c r="K151" s="27" t="str">
        <f>IFERROR(VLOOKUP(J151,Substituicoes!J:J,1,0),"SS")</f>
        <v>SS</v>
      </c>
      <c r="L151" s="27" t="str">
        <f>IFERROR(VLOOKUP(J151,Substituicoes!K:K,1,0),"SS")</f>
        <v>SS</v>
      </c>
      <c r="M151" s="28" t="b">
        <f t="shared" si="17"/>
        <v>1</v>
      </c>
      <c r="N151" s="29">
        <f>IF(AND(K151=L151,LEFT(E151,1)="T"),VLOOKUP(A151,'JOGOS BASE'!A:E,4,0),IF(K151=J151,VLOOKUP(J151,Substituicoes!J:R,6,0),IF(L151=J151,VLOOKUP(Escalacao!J151,Substituicoes!K:R,7,0),0)))</f>
        <v>0</v>
      </c>
      <c r="O151" s="28">
        <f>IF(AND(K151=L151,LEFT(E151,1)="T"),VLOOKUP(A151,'JOGOS BASE'!A:E,5,0),IF(K151=J151,VLOOKUP(J151,Substituicoes!J:R,7,0),IF(L151=J151,VLOOKUP(Escalacao!J151,Substituicoes!K:R,8,0),0)))</f>
        <v>0</v>
      </c>
      <c r="P151" s="28">
        <f t="shared" si="18"/>
        <v>0</v>
      </c>
      <c r="Q151" s="28" t="str">
        <f t="shared" si="19"/>
        <v>413Maranhão - MA</v>
      </c>
      <c r="R151" s="28" t="str">
        <f>VLOOKUP(A151,'JOGOS BASE'!A:H,8)</f>
        <v>15.01.2025 - Pinheiro - MA x Maranhão - MA</v>
      </c>
    </row>
    <row r="152" spans="1:18" ht="20.399999999999999">
      <c r="A152" s="15">
        <v>4</v>
      </c>
      <c r="B152" s="46">
        <v>14</v>
      </c>
      <c r="C152" s="45" t="s">
        <v>242</v>
      </c>
      <c r="D152" s="45" t="s">
        <v>243</v>
      </c>
      <c r="E152" s="47" t="s">
        <v>42</v>
      </c>
      <c r="F152" s="47" t="s">
        <v>24</v>
      </c>
      <c r="G152" s="46">
        <v>375673</v>
      </c>
      <c r="H152" s="18" t="s">
        <v>260</v>
      </c>
      <c r="I152" s="26" t="str">
        <f t="shared" si="15"/>
        <v>Julio Nasc ...</v>
      </c>
      <c r="J152" s="26" t="str">
        <f t="shared" si="16"/>
        <v>4Maranhão - MA14</v>
      </c>
      <c r="K152" s="27" t="str">
        <f>IFERROR(VLOOKUP(J152,Substituicoes!J:J,1,0),"SS")</f>
        <v>4Maranhão - MA14</v>
      </c>
      <c r="L152" s="27" t="str">
        <f>IFERROR(VLOOKUP(J152,Substituicoes!K:K,1,0),"SS")</f>
        <v>SS</v>
      </c>
      <c r="M152" s="28" t="b">
        <f t="shared" si="17"/>
        <v>0</v>
      </c>
      <c r="N152" s="29">
        <f>IF(AND(K152=L152,LEFT(E152,1)="T"),VLOOKUP(A152,'JOGOS BASE'!A:E,4,0),IF(K152=J152,VLOOKUP(J152,Substituicoes!J:R,6,0),IF(L152=J152,VLOOKUP(Escalacao!J152,Substituicoes!K:R,7,0),0)))</f>
        <v>0</v>
      </c>
      <c r="O152" s="28">
        <f>IF(AND(K152=L152,LEFT(E152,1)="T"),VLOOKUP(A152,'JOGOS BASE'!A:E,5,0),IF(K152=J152,VLOOKUP(J152,Substituicoes!J:R,7,0),IF(L152=J152,VLOOKUP(Escalacao!J152,Substituicoes!K:R,8,0),0)))</f>
        <v>27</v>
      </c>
      <c r="P152" s="28">
        <f t="shared" si="18"/>
        <v>27</v>
      </c>
      <c r="Q152" s="28" t="str">
        <f t="shared" si="19"/>
        <v>414Maranhão - MA</v>
      </c>
      <c r="R152" s="28" t="str">
        <f>VLOOKUP(A152,'JOGOS BASE'!A:H,8)</f>
        <v>15.01.2025 - Pinheiro - MA x Maranhão - MA</v>
      </c>
    </row>
    <row r="153" spans="1:18" ht="30.6">
      <c r="A153" s="15">
        <v>4</v>
      </c>
      <c r="B153" s="46">
        <v>15</v>
      </c>
      <c r="C153" s="45" t="s">
        <v>246</v>
      </c>
      <c r="D153" s="45" t="s">
        <v>247</v>
      </c>
      <c r="E153" s="47" t="s">
        <v>42</v>
      </c>
      <c r="F153" s="47" t="s">
        <v>24</v>
      </c>
      <c r="G153" s="46">
        <v>595323</v>
      </c>
      <c r="H153" s="18" t="s">
        <v>260</v>
      </c>
      <c r="I153" s="26" t="str">
        <f t="shared" si="15"/>
        <v>Gabriel</v>
      </c>
      <c r="J153" s="26" t="str">
        <f t="shared" si="16"/>
        <v>4Maranhão - MA15</v>
      </c>
      <c r="K153" s="27" t="str">
        <f>IFERROR(VLOOKUP(J153,Substituicoes!J:J,1,0),"SS")</f>
        <v>SS</v>
      </c>
      <c r="L153" s="27" t="str">
        <f>IFERROR(VLOOKUP(J153,Substituicoes!K:K,1,0),"SS")</f>
        <v>SS</v>
      </c>
      <c r="M153" s="28" t="b">
        <f t="shared" si="17"/>
        <v>1</v>
      </c>
      <c r="N153" s="29">
        <f>IF(AND(K153=L153,LEFT(E153,1)="T"),VLOOKUP(A153,'JOGOS BASE'!A:E,4,0),IF(K153=J153,VLOOKUP(J153,Substituicoes!J:R,6,0),IF(L153=J153,VLOOKUP(Escalacao!J153,Substituicoes!K:R,7,0),0)))</f>
        <v>0</v>
      </c>
      <c r="O153" s="28">
        <f>IF(AND(K153=L153,LEFT(E153,1)="T"),VLOOKUP(A153,'JOGOS BASE'!A:E,5,0),IF(K153=J153,VLOOKUP(J153,Substituicoes!J:R,7,0),IF(L153=J153,VLOOKUP(Escalacao!J153,Substituicoes!K:R,8,0),0)))</f>
        <v>0</v>
      </c>
      <c r="P153" s="28">
        <f t="shared" si="18"/>
        <v>0</v>
      </c>
      <c r="Q153" s="28" t="str">
        <f t="shared" si="19"/>
        <v>415Maranhão - MA</v>
      </c>
      <c r="R153" s="28" t="str">
        <f>VLOOKUP(A153,'JOGOS BASE'!A:H,8)</f>
        <v>15.01.2025 - Pinheiro - MA x Maranhão - MA</v>
      </c>
    </row>
    <row r="154" spans="1:18" ht="30.6">
      <c r="A154" s="15">
        <v>4</v>
      </c>
      <c r="B154" s="46">
        <v>16</v>
      </c>
      <c r="C154" s="45" t="s">
        <v>226</v>
      </c>
      <c r="D154" s="45" t="s">
        <v>227</v>
      </c>
      <c r="E154" s="47" t="s">
        <v>42</v>
      </c>
      <c r="F154" s="47" t="s">
        <v>24</v>
      </c>
      <c r="G154" s="46">
        <v>545796</v>
      </c>
      <c r="H154" s="18" t="s">
        <v>260</v>
      </c>
      <c r="I154" s="26" t="str">
        <f t="shared" si="15"/>
        <v>Railson</v>
      </c>
      <c r="J154" s="26" t="str">
        <f t="shared" si="16"/>
        <v>4Maranhão - MA16</v>
      </c>
      <c r="K154" s="27" t="str">
        <f>IFERROR(VLOOKUP(J154,Substituicoes!J:J,1,0),"SS")</f>
        <v>SS</v>
      </c>
      <c r="L154" s="27" t="str">
        <f>IFERROR(VLOOKUP(J154,Substituicoes!K:K,1,0),"SS")</f>
        <v>SS</v>
      </c>
      <c r="M154" s="28" t="b">
        <f t="shared" si="17"/>
        <v>1</v>
      </c>
      <c r="N154" s="29">
        <f>IF(AND(K154=L154,LEFT(E154,1)="T"),VLOOKUP(A154,'JOGOS BASE'!A:E,4,0),IF(K154=J154,VLOOKUP(J154,Substituicoes!J:R,6,0),IF(L154=J154,VLOOKUP(Escalacao!J154,Substituicoes!K:R,7,0),0)))</f>
        <v>0</v>
      </c>
      <c r="O154" s="28">
        <f>IF(AND(K154=L154,LEFT(E154,1)="T"),VLOOKUP(A154,'JOGOS BASE'!A:E,5,0),IF(K154=J154,VLOOKUP(J154,Substituicoes!J:R,7,0),IF(L154=J154,VLOOKUP(Escalacao!J154,Substituicoes!K:R,8,0),0)))</f>
        <v>0</v>
      </c>
      <c r="P154" s="28">
        <f t="shared" si="18"/>
        <v>0</v>
      </c>
      <c r="Q154" s="28" t="str">
        <f t="shared" si="19"/>
        <v>416Maranhão - MA</v>
      </c>
      <c r="R154" s="28" t="str">
        <f>VLOOKUP(A154,'JOGOS BASE'!A:H,8)</f>
        <v>15.01.2025 - Pinheiro - MA x Maranhão - MA</v>
      </c>
    </row>
    <row r="155" spans="1:18" ht="30.6">
      <c r="A155" s="15">
        <v>4</v>
      </c>
      <c r="B155" s="46">
        <v>17</v>
      </c>
      <c r="C155" s="45" t="s">
        <v>394</v>
      </c>
      <c r="D155" s="45" t="s">
        <v>395</v>
      </c>
      <c r="E155" s="47" t="s">
        <v>42</v>
      </c>
      <c r="F155" s="47" t="s">
        <v>24</v>
      </c>
      <c r="G155" s="46">
        <v>545501</v>
      </c>
      <c r="H155" s="18" t="s">
        <v>260</v>
      </c>
      <c r="I155" s="26" t="str">
        <f t="shared" si="15"/>
        <v>Vinicius</v>
      </c>
      <c r="J155" s="26" t="str">
        <f t="shared" si="16"/>
        <v>4Maranhão - MA17</v>
      </c>
      <c r="K155" s="27" t="str">
        <f>IFERROR(VLOOKUP(J155,Substituicoes!J:J,1,0),"SS")</f>
        <v>SS</v>
      </c>
      <c r="L155" s="27" t="str">
        <f>IFERROR(VLOOKUP(J155,Substituicoes!K:K,1,0),"SS")</f>
        <v>SS</v>
      </c>
      <c r="M155" s="28" t="b">
        <f t="shared" si="17"/>
        <v>1</v>
      </c>
      <c r="N155" s="29">
        <f>IF(AND(K155=L155,LEFT(E155,1)="T"),VLOOKUP(A155,'JOGOS BASE'!A:E,4,0),IF(K155=J155,VLOOKUP(J155,Substituicoes!J:R,6,0),IF(L155=J155,VLOOKUP(Escalacao!J155,Substituicoes!K:R,7,0),0)))</f>
        <v>0</v>
      </c>
      <c r="O155" s="28">
        <f>IF(AND(K155=L155,LEFT(E155,1)="T"),VLOOKUP(A155,'JOGOS BASE'!A:E,5,0),IF(K155=J155,VLOOKUP(J155,Substituicoes!J:R,7,0),IF(L155=J155,VLOOKUP(Escalacao!J155,Substituicoes!K:R,8,0),0)))</f>
        <v>0</v>
      </c>
      <c r="P155" s="28">
        <f t="shared" si="18"/>
        <v>0</v>
      </c>
      <c r="Q155" s="28" t="str">
        <f t="shared" si="19"/>
        <v>417Maranhão - MA</v>
      </c>
      <c r="R155" s="28" t="str">
        <f>VLOOKUP(A155,'JOGOS BASE'!A:H,8)</f>
        <v>15.01.2025 - Pinheiro - MA x Maranhão - MA</v>
      </c>
    </row>
    <row r="156" spans="1:18" ht="30.6">
      <c r="A156" s="15">
        <v>4</v>
      </c>
      <c r="B156" s="46">
        <v>18</v>
      </c>
      <c r="C156" s="45" t="s">
        <v>230</v>
      </c>
      <c r="D156" s="45" t="s">
        <v>231</v>
      </c>
      <c r="E156" s="47" t="s">
        <v>42</v>
      </c>
      <c r="F156" s="47" t="s">
        <v>24</v>
      </c>
      <c r="G156" s="46">
        <v>699185</v>
      </c>
      <c r="H156" s="18" t="s">
        <v>260</v>
      </c>
      <c r="I156" s="26" t="str">
        <f t="shared" si="15"/>
        <v>Jorge Rocha</v>
      </c>
      <c r="J156" s="26" t="str">
        <f t="shared" si="16"/>
        <v>4Maranhão - MA18</v>
      </c>
      <c r="K156" s="27" t="str">
        <f>IFERROR(VLOOKUP(J156,Substituicoes!J:J,1,0),"SS")</f>
        <v>4Maranhão - MA18</v>
      </c>
      <c r="L156" s="27" t="str">
        <f>IFERROR(VLOOKUP(J156,Substituicoes!K:K,1,0),"SS")</f>
        <v>SS</v>
      </c>
      <c r="M156" s="28" t="b">
        <f t="shared" si="17"/>
        <v>0</v>
      </c>
      <c r="N156" s="29">
        <f>IF(AND(K156=L156,LEFT(E156,1)="T"),VLOOKUP(A156,'JOGOS BASE'!A:E,4,0),IF(K156=J156,VLOOKUP(J156,Substituicoes!J:R,6,0),IF(L156=J156,VLOOKUP(Escalacao!J156,Substituicoes!K:R,7,0),0)))</f>
        <v>0</v>
      </c>
      <c r="O156" s="28">
        <f>IF(AND(K156=L156,LEFT(E156,1)="T"),VLOOKUP(A156,'JOGOS BASE'!A:E,5,0),IF(K156=J156,VLOOKUP(J156,Substituicoes!J:R,7,0),IF(L156=J156,VLOOKUP(Escalacao!J156,Substituicoes!K:R,8,0),0)))</f>
        <v>34</v>
      </c>
      <c r="P156" s="28">
        <f t="shared" si="18"/>
        <v>34</v>
      </c>
      <c r="Q156" s="28" t="str">
        <f t="shared" si="19"/>
        <v>418Maranhão - MA</v>
      </c>
      <c r="R156" s="28" t="str">
        <f>VLOOKUP(A156,'JOGOS BASE'!A:H,8)</f>
        <v>15.01.2025 - Pinheiro - MA x Maranhão - MA</v>
      </c>
    </row>
    <row r="157" spans="1:18" ht="30.6">
      <c r="A157" s="15">
        <v>4</v>
      </c>
      <c r="B157" s="46">
        <v>19</v>
      </c>
      <c r="C157" s="45" t="s">
        <v>256</v>
      </c>
      <c r="D157" s="45" t="s">
        <v>257</v>
      </c>
      <c r="E157" s="47" t="s">
        <v>42</v>
      </c>
      <c r="F157" s="47" t="s">
        <v>24</v>
      </c>
      <c r="G157" s="46">
        <v>673956</v>
      </c>
      <c r="H157" s="18" t="s">
        <v>260</v>
      </c>
      <c r="I157" s="26" t="str">
        <f t="shared" si="15"/>
        <v>Diego Cant ...</v>
      </c>
      <c r="J157" s="26" t="str">
        <f t="shared" si="16"/>
        <v>4Maranhão - MA19</v>
      </c>
      <c r="K157" s="27" t="str">
        <f>IFERROR(VLOOKUP(J157,Substituicoes!J:J,1,0),"SS")</f>
        <v>4Maranhão - MA19</v>
      </c>
      <c r="L157" s="27" t="str">
        <f>IFERROR(VLOOKUP(J157,Substituicoes!K:K,1,0),"SS")</f>
        <v>SS</v>
      </c>
      <c r="M157" s="28" t="b">
        <f t="shared" si="17"/>
        <v>0</v>
      </c>
      <c r="N157" s="29">
        <f>IF(AND(K157=L157,LEFT(E157,1)="T"),VLOOKUP(A157,'JOGOS BASE'!A:E,4,0),IF(K157=J157,VLOOKUP(J157,Substituicoes!J:R,6,0),IF(L157=J157,VLOOKUP(Escalacao!J157,Substituicoes!K:R,7,0),0)))</f>
        <v>0</v>
      </c>
      <c r="O157" s="28">
        <f>IF(AND(K157=L157,LEFT(E157,1)="T"),VLOOKUP(A157,'JOGOS BASE'!A:E,5,0),IF(K157=J157,VLOOKUP(J157,Substituicoes!J:R,7,0),IF(L157=J157,VLOOKUP(Escalacao!J157,Substituicoes!K:R,8,0),0)))</f>
        <v>10</v>
      </c>
      <c r="P157" s="28">
        <f t="shared" si="18"/>
        <v>10</v>
      </c>
      <c r="Q157" s="28" t="str">
        <f t="shared" si="19"/>
        <v>419Maranhão - MA</v>
      </c>
      <c r="R157" s="28" t="str">
        <f>VLOOKUP(A157,'JOGOS BASE'!A:H,8)</f>
        <v>15.01.2025 - Pinheiro - MA x Maranhão - MA</v>
      </c>
    </row>
    <row r="158" spans="1:18" ht="30.6">
      <c r="A158" s="15">
        <v>4</v>
      </c>
      <c r="B158" s="46">
        <v>22</v>
      </c>
      <c r="C158" s="45" t="s">
        <v>234</v>
      </c>
      <c r="D158" s="45" t="s">
        <v>235</v>
      </c>
      <c r="E158" s="47" t="s">
        <v>42</v>
      </c>
      <c r="F158" s="47" t="s">
        <v>24</v>
      </c>
      <c r="G158" s="46">
        <v>393714</v>
      </c>
      <c r="H158" s="18" t="s">
        <v>260</v>
      </c>
      <c r="I158" s="26" t="str">
        <f t="shared" si="15"/>
        <v>Jerry</v>
      </c>
      <c r="J158" s="26" t="str">
        <f t="shared" si="16"/>
        <v>4Maranhão - MA22</v>
      </c>
      <c r="K158" s="27" t="str">
        <f>IFERROR(VLOOKUP(J158,Substituicoes!J:J,1,0),"SS")</f>
        <v>4Maranhão - MA22</v>
      </c>
      <c r="L158" s="27" t="str">
        <f>IFERROR(VLOOKUP(J158,Substituicoes!K:K,1,0),"SS")</f>
        <v>SS</v>
      </c>
      <c r="M158" s="28" t="b">
        <f t="shared" si="17"/>
        <v>0</v>
      </c>
      <c r="N158" s="29">
        <f>IF(AND(K158=L158,LEFT(E158,1)="T"),VLOOKUP(A158,'JOGOS BASE'!A:E,4,0),IF(K158=J158,VLOOKUP(J158,Substituicoes!J:R,6,0),IF(L158=J158,VLOOKUP(Escalacao!J158,Substituicoes!K:R,7,0),0)))</f>
        <v>0</v>
      </c>
      <c r="O158" s="28">
        <f>IF(AND(K158=L158,LEFT(E158,1)="T"),VLOOKUP(A158,'JOGOS BASE'!A:E,5,0),IF(K158=J158,VLOOKUP(J158,Substituicoes!J:R,7,0),IF(L158=J158,VLOOKUP(Escalacao!J158,Substituicoes!K:R,8,0),0)))</f>
        <v>34</v>
      </c>
      <c r="P158" s="28">
        <f t="shared" si="18"/>
        <v>34</v>
      </c>
      <c r="Q158" s="28" t="str">
        <f t="shared" si="19"/>
        <v>422Maranhão - MA</v>
      </c>
      <c r="R158" s="28" t="str">
        <f>VLOOKUP(A158,'JOGOS BASE'!A:H,8)</f>
        <v>15.01.2025 - Pinheiro - MA x Maranhão - MA</v>
      </c>
    </row>
    <row r="159" spans="1:18" ht="20.399999999999999">
      <c r="A159" s="15">
        <v>5</v>
      </c>
      <c r="B159" s="46">
        <v>1</v>
      </c>
      <c r="C159" s="45" t="s">
        <v>432</v>
      </c>
      <c r="D159" s="45" t="s">
        <v>433</v>
      </c>
      <c r="E159" s="47" t="s">
        <v>23</v>
      </c>
      <c r="F159" s="47" t="s">
        <v>24</v>
      </c>
      <c r="G159" s="46">
        <v>559682</v>
      </c>
      <c r="H159" s="18" t="s">
        <v>386</v>
      </c>
      <c r="I159" s="26" t="str">
        <f t="shared" ref="I159:I204" si="20">C159</f>
        <v>Wenderson</v>
      </c>
      <c r="J159" s="26" t="str">
        <f t="shared" ref="J159:J204" si="21">A159&amp;H159&amp;B159</f>
        <v>5IAPE - MA1</v>
      </c>
      <c r="K159" s="27" t="str">
        <f>IFERROR(VLOOKUP(J159,Substituicoes!J:J,1,0),"SS")</f>
        <v>SS</v>
      </c>
      <c r="L159" s="27" t="str">
        <f>IFERROR(VLOOKUP(J159,Substituicoes!K:K,1,0),"SS")</f>
        <v>SS</v>
      </c>
      <c r="M159" s="28" t="b">
        <f t="shared" ref="M159:M204" si="22">K159=L159</f>
        <v>1</v>
      </c>
      <c r="N159" s="29">
        <f>IF(AND(K159=L159,LEFT(E159,1)="T"),VLOOKUP(A159,'JOGOS BASE'!A:E,4,0),IF(K159=J159,VLOOKUP(J159,Substituicoes!J:R,6,0),IF(L159=J159,VLOOKUP(Escalacao!J159,Substituicoes!K:R,7,0),0)))</f>
        <v>46</v>
      </c>
      <c r="O159" s="28">
        <f>IF(AND(K159=L159,LEFT(E159,1)="T"),VLOOKUP(A159,'JOGOS BASE'!A:E,5,0),IF(K159=J159,VLOOKUP(J159,Substituicoes!J:R,7,0),IF(L159=J159,VLOOKUP(Escalacao!J159,Substituicoes!K:R,8,0),0)))</f>
        <v>48</v>
      </c>
      <c r="P159" s="28">
        <f t="shared" ref="P159:P204" si="23">N159+O159</f>
        <v>94</v>
      </c>
      <c r="Q159" s="28" t="str">
        <f t="shared" ref="Q159:Q204" si="24">A159&amp;B159&amp;H159</f>
        <v>51IAPE - MA</v>
      </c>
      <c r="R159" s="28" t="str">
        <f>VLOOKUP(A159,'JOGOS BASE'!A:H,8)</f>
        <v>15.01.2025 - IAPE - MA x Sampaio Corrêa - MA</v>
      </c>
    </row>
    <row r="160" spans="1:18" ht="30.6">
      <c r="A160" s="15">
        <v>5</v>
      </c>
      <c r="B160" s="46">
        <v>3</v>
      </c>
      <c r="C160" s="45" t="s">
        <v>434</v>
      </c>
      <c r="D160" s="45" t="s">
        <v>435</v>
      </c>
      <c r="E160" s="47" t="s">
        <v>26</v>
      </c>
      <c r="F160" s="47" t="s">
        <v>24</v>
      </c>
      <c r="G160" s="46">
        <v>421460</v>
      </c>
      <c r="H160" s="18" t="s">
        <v>386</v>
      </c>
      <c r="I160" s="26" t="str">
        <f t="shared" si="20"/>
        <v>Patrick</v>
      </c>
      <c r="J160" s="26" t="str">
        <f t="shared" si="21"/>
        <v>5IAPE - MA3</v>
      </c>
      <c r="K160" s="27" t="str">
        <f>IFERROR(VLOOKUP(J160,Substituicoes!J:J,1,0),"SS")</f>
        <v>SS</v>
      </c>
      <c r="L160" s="27" t="str">
        <f>IFERROR(VLOOKUP(J160,Substituicoes!K:K,1,0),"SS")</f>
        <v>SS</v>
      </c>
      <c r="M160" s="28" t="b">
        <f t="shared" si="22"/>
        <v>1</v>
      </c>
      <c r="N160" s="29">
        <f>IF(AND(K160=L160,LEFT(E160,1)="T"),VLOOKUP(A160,'JOGOS BASE'!A:E,4,0),IF(K160=J160,VLOOKUP(J160,Substituicoes!J:R,6,0),IF(L160=J160,VLOOKUP(Escalacao!J160,Substituicoes!K:R,7,0),0)))</f>
        <v>46</v>
      </c>
      <c r="O160" s="28">
        <f>IF(AND(K160=L160,LEFT(E160,1)="T"),VLOOKUP(A160,'JOGOS BASE'!A:E,5,0),IF(K160=J160,VLOOKUP(J160,Substituicoes!J:R,7,0),IF(L160=J160,VLOOKUP(Escalacao!J160,Substituicoes!K:R,8,0),0)))</f>
        <v>48</v>
      </c>
      <c r="P160" s="28">
        <f t="shared" si="23"/>
        <v>94</v>
      </c>
      <c r="Q160" s="28" t="str">
        <f t="shared" si="24"/>
        <v>53IAPE - MA</v>
      </c>
      <c r="R160" s="28" t="str">
        <f>VLOOKUP(A160,'JOGOS BASE'!A:H,8)</f>
        <v>15.01.2025 - IAPE - MA x Sampaio Corrêa - MA</v>
      </c>
    </row>
    <row r="161" spans="1:18" ht="30.6">
      <c r="A161" s="15">
        <v>5</v>
      </c>
      <c r="B161" s="46">
        <v>4</v>
      </c>
      <c r="C161" s="45" t="s">
        <v>436</v>
      </c>
      <c r="D161" s="45" t="s">
        <v>437</v>
      </c>
      <c r="E161" s="47" t="s">
        <v>26</v>
      </c>
      <c r="F161" s="47" t="s">
        <v>24</v>
      </c>
      <c r="G161" s="46">
        <v>450022</v>
      </c>
      <c r="H161" s="18" t="s">
        <v>386</v>
      </c>
      <c r="I161" s="26" t="str">
        <f t="shared" si="20"/>
        <v>Denilson</v>
      </c>
      <c r="J161" s="26" t="str">
        <f t="shared" si="21"/>
        <v>5IAPE - MA4</v>
      </c>
      <c r="K161" s="27" t="str">
        <f>IFERROR(VLOOKUP(J161,Substituicoes!J:J,1,0),"SS")</f>
        <v>SS</v>
      </c>
      <c r="L161" s="27" t="str">
        <f>IFERROR(VLOOKUP(J161,Substituicoes!K:K,1,0),"SS")</f>
        <v>SS</v>
      </c>
      <c r="M161" s="28" t="b">
        <f t="shared" si="22"/>
        <v>1</v>
      </c>
      <c r="N161" s="29">
        <f>IF(AND(K161=L161,LEFT(E161,1)="T"),VLOOKUP(A161,'JOGOS BASE'!A:E,4,0),IF(K161=J161,VLOOKUP(J161,Substituicoes!J:R,6,0),IF(L161=J161,VLOOKUP(Escalacao!J161,Substituicoes!K:R,7,0),0)))</f>
        <v>46</v>
      </c>
      <c r="O161" s="28">
        <f>IF(AND(K161=L161,LEFT(E161,1)="T"),VLOOKUP(A161,'JOGOS BASE'!A:E,5,0),IF(K161=J161,VLOOKUP(J161,Substituicoes!J:R,7,0),IF(L161=J161,VLOOKUP(Escalacao!J161,Substituicoes!K:R,8,0),0)))</f>
        <v>48</v>
      </c>
      <c r="P161" s="28">
        <f t="shared" si="23"/>
        <v>94</v>
      </c>
      <c r="Q161" s="28" t="str">
        <f t="shared" si="24"/>
        <v>54IAPE - MA</v>
      </c>
      <c r="R161" s="28" t="str">
        <f>VLOOKUP(A161,'JOGOS BASE'!A:H,8)</f>
        <v>15.01.2025 - IAPE - MA x Sampaio Corrêa - MA</v>
      </c>
    </row>
    <row r="162" spans="1:18" ht="20.399999999999999">
      <c r="A162" s="15">
        <v>5</v>
      </c>
      <c r="B162" s="46">
        <v>5</v>
      </c>
      <c r="C162" s="45" t="s">
        <v>438</v>
      </c>
      <c r="D162" s="45" t="s">
        <v>439</v>
      </c>
      <c r="E162" s="47" t="s">
        <v>26</v>
      </c>
      <c r="F162" s="47" t="s">
        <v>24</v>
      </c>
      <c r="G162" s="46">
        <v>637155</v>
      </c>
      <c r="H162" s="18" t="s">
        <v>386</v>
      </c>
      <c r="I162" s="26" t="str">
        <f t="shared" si="20"/>
        <v>Iuri</v>
      </c>
      <c r="J162" s="26" t="str">
        <f t="shared" si="21"/>
        <v>5IAPE - MA5</v>
      </c>
      <c r="K162" s="27" t="str">
        <f>IFERROR(VLOOKUP(J162,Substituicoes!J:J,1,0),"SS")</f>
        <v>SS</v>
      </c>
      <c r="L162" s="27" t="str">
        <f>IFERROR(VLOOKUP(J162,Substituicoes!K:K,1,0),"SS")</f>
        <v>SS</v>
      </c>
      <c r="M162" s="28" t="b">
        <f t="shared" si="22"/>
        <v>1</v>
      </c>
      <c r="N162" s="29">
        <f>IF(AND(K162=L162,LEFT(E162,1)="T"),VLOOKUP(A162,'JOGOS BASE'!A:E,4,0),IF(K162=J162,VLOOKUP(J162,Substituicoes!J:R,6,0),IF(L162=J162,VLOOKUP(Escalacao!J162,Substituicoes!K:R,7,0),0)))</f>
        <v>46</v>
      </c>
      <c r="O162" s="28">
        <f>IF(AND(K162=L162,LEFT(E162,1)="T"),VLOOKUP(A162,'JOGOS BASE'!A:E,5,0),IF(K162=J162,VLOOKUP(J162,Substituicoes!J:R,7,0),IF(L162=J162,VLOOKUP(Escalacao!J162,Substituicoes!K:R,8,0),0)))</f>
        <v>48</v>
      </c>
      <c r="P162" s="28">
        <f t="shared" si="23"/>
        <v>94</v>
      </c>
      <c r="Q162" s="28" t="str">
        <f t="shared" si="24"/>
        <v>55IAPE - MA</v>
      </c>
      <c r="R162" s="28" t="str">
        <f>VLOOKUP(A162,'JOGOS BASE'!A:H,8)</f>
        <v>15.01.2025 - IAPE - MA x Sampaio Corrêa - MA</v>
      </c>
    </row>
    <row r="163" spans="1:18" ht="30.6">
      <c r="A163" s="15">
        <v>5</v>
      </c>
      <c r="B163" s="46">
        <v>6</v>
      </c>
      <c r="C163" s="45" t="s">
        <v>440</v>
      </c>
      <c r="D163" s="45" t="s">
        <v>441</v>
      </c>
      <c r="E163" s="47" t="s">
        <v>26</v>
      </c>
      <c r="F163" s="47" t="s">
        <v>24</v>
      </c>
      <c r="G163" s="46">
        <v>389895</v>
      </c>
      <c r="H163" s="18" t="s">
        <v>386</v>
      </c>
      <c r="I163" s="26" t="str">
        <f t="shared" si="20"/>
        <v>Carioca</v>
      </c>
      <c r="J163" s="26" t="str">
        <f t="shared" si="21"/>
        <v>5IAPE - MA6</v>
      </c>
      <c r="K163" s="27" t="str">
        <f>IFERROR(VLOOKUP(J163,Substituicoes!J:J,1,0),"SS")</f>
        <v>SS</v>
      </c>
      <c r="L163" s="27" t="str">
        <f>IFERROR(VLOOKUP(J163,Substituicoes!K:K,1,0),"SS")</f>
        <v>SS</v>
      </c>
      <c r="M163" s="28" t="b">
        <f t="shared" si="22"/>
        <v>1</v>
      </c>
      <c r="N163" s="29">
        <f>IF(AND(K163=L163,LEFT(E163,1)="T"),VLOOKUP(A163,'JOGOS BASE'!A:E,4,0),IF(K163=J163,VLOOKUP(J163,Substituicoes!J:R,6,0),IF(L163=J163,VLOOKUP(Escalacao!J163,Substituicoes!K:R,7,0),0)))</f>
        <v>46</v>
      </c>
      <c r="O163" s="28">
        <f>IF(AND(K163=L163,LEFT(E163,1)="T"),VLOOKUP(A163,'JOGOS BASE'!A:E,5,0),IF(K163=J163,VLOOKUP(J163,Substituicoes!J:R,7,0),IF(L163=J163,VLOOKUP(Escalacao!J163,Substituicoes!K:R,8,0),0)))</f>
        <v>48</v>
      </c>
      <c r="P163" s="28">
        <f t="shared" si="23"/>
        <v>94</v>
      </c>
      <c r="Q163" s="28" t="str">
        <f t="shared" si="24"/>
        <v>56IAPE - MA</v>
      </c>
      <c r="R163" s="28" t="str">
        <f>VLOOKUP(A163,'JOGOS BASE'!A:H,8)</f>
        <v>15.01.2025 - IAPE - MA x Sampaio Corrêa - MA</v>
      </c>
    </row>
    <row r="164" spans="1:18" ht="30.6">
      <c r="A164" s="15">
        <v>5</v>
      </c>
      <c r="B164" s="46">
        <v>7</v>
      </c>
      <c r="C164" s="45" t="s">
        <v>442</v>
      </c>
      <c r="D164" s="45" t="s">
        <v>443</v>
      </c>
      <c r="E164" s="47" t="s">
        <v>26</v>
      </c>
      <c r="F164" s="47" t="s">
        <v>24</v>
      </c>
      <c r="G164" s="46">
        <v>295956</v>
      </c>
      <c r="H164" s="18" t="s">
        <v>386</v>
      </c>
      <c r="I164" s="26" t="str">
        <f t="shared" si="20"/>
        <v>Jhonnatan</v>
      </c>
      <c r="J164" s="26" t="str">
        <f t="shared" si="21"/>
        <v>5IAPE - MA7</v>
      </c>
      <c r="K164" s="27" t="str">
        <f>IFERROR(VLOOKUP(J164,Substituicoes!J:J,1,0),"SS")</f>
        <v>SS</v>
      </c>
      <c r="L164" s="27" t="str">
        <f>IFERROR(VLOOKUP(J164,Substituicoes!K:K,1,0),"SS")</f>
        <v>5Iape - MA7</v>
      </c>
      <c r="M164" s="28" t="b">
        <f t="shared" si="22"/>
        <v>0</v>
      </c>
      <c r="N164" s="29">
        <f>IF(AND(K164=L164,LEFT(E164,1)="T"),VLOOKUP(A164,'JOGOS BASE'!A:E,4,0),IF(K164=J164,VLOOKUP(J164,Substituicoes!J:R,6,0),IF(L164=J164,VLOOKUP(Escalacao!J164,Substituicoes!K:R,7,0),0)))</f>
        <v>46</v>
      </c>
      <c r="O164" s="28">
        <f>IF(AND(K164=L164,LEFT(E164,1)="T"),VLOOKUP(A164,'JOGOS BASE'!A:E,5,0),IF(K164=J164,VLOOKUP(J164,Substituicoes!J:R,7,0),IF(L164=J164,VLOOKUP(Escalacao!J164,Substituicoes!K:R,8,0),0)))</f>
        <v>0</v>
      </c>
      <c r="P164" s="28">
        <f t="shared" si="23"/>
        <v>46</v>
      </c>
      <c r="Q164" s="28" t="str">
        <f t="shared" si="24"/>
        <v>57IAPE - MA</v>
      </c>
      <c r="R164" s="28" t="str">
        <f>VLOOKUP(A164,'JOGOS BASE'!A:H,8)</f>
        <v>15.01.2025 - IAPE - MA x Sampaio Corrêa - MA</v>
      </c>
    </row>
    <row r="165" spans="1:18" ht="30.6">
      <c r="A165" s="15">
        <v>5</v>
      </c>
      <c r="B165" s="46">
        <v>9</v>
      </c>
      <c r="C165" s="45" t="s">
        <v>444</v>
      </c>
      <c r="D165" s="45" t="s">
        <v>445</v>
      </c>
      <c r="E165" s="47" t="s">
        <v>26</v>
      </c>
      <c r="F165" s="47" t="s">
        <v>24</v>
      </c>
      <c r="G165" s="46">
        <v>531274</v>
      </c>
      <c r="H165" s="18" t="s">
        <v>386</v>
      </c>
      <c r="I165" s="26" t="str">
        <f t="shared" si="20"/>
        <v>Erivelton</v>
      </c>
      <c r="J165" s="26" t="str">
        <f t="shared" si="21"/>
        <v>5IAPE - MA9</v>
      </c>
      <c r="K165" s="27" t="str">
        <f>IFERROR(VLOOKUP(J165,Substituicoes!J:J,1,0),"SS")</f>
        <v>SS</v>
      </c>
      <c r="L165" s="27" t="str">
        <f>IFERROR(VLOOKUP(J165,Substituicoes!K:K,1,0),"SS")</f>
        <v>5Iape - MA9</v>
      </c>
      <c r="M165" s="28" t="b">
        <f t="shared" si="22"/>
        <v>0</v>
      </c>
      <c r="N165" s="29">
        <f>IF(AND(K165=L165,LEFT(E165,1)="T"),VLOOKUP(A165,'JOGOS BASE'!A:E,4,0),IF(K165=J165,VLOOKUP(J165,Substituicoes!J:R,6,0),IF(L165=J165,VLOOKUP(Escalacao!J165,Substituicoes!K:R,7,0),0)))</f>
        <v>46</v>
      </c>
      <c r="O165" s="28">
        <f>IF(AND(K165=L165,LEFT(E165,1)="T"),VLOOKUP(A165,'JOGOS BASE'!A:E,5,0),IF(K165=J165,VLOOKUP(J165,Substituicoes!J:R,7,0),IF(L165=J165,VLOOKUP(Escalacao!J165,Substituicoes!K:R,8,0),0)))</f>
        <v>16</v>
      </c>
      <c r="P165" s="28">
        <f t="shared" si="23"/>
        <v>62</v>
      </c>
      <c r="Q165" s="28" t="str">
        <f t="shared" si="24"/>
        <v>59IAPE - MA</v>
      </c>
      <c r="R165" s="28" t="str">
        <f>VLOOKUP(A165,'JOGOS BASE'!A:H,8)</f>
        <v>15.01.2025 - IAPE - MA x Sampaio Corrêa - MA</v>
      </c>
    </row>
    <row r="166" spans="1:18" ht="20.399999999999999">
      <c r="A166" s="15">
        <v>5</v>
      </c>
      <c r="B166" s="46">
        <v>10</v>
      </c>
      <c r="C166" s="45" t="s">
        <v>446</v>
      </c>
      <c r="D166" s="45" t="s">
        <v>447</v>
      </c>
      <c r="E166" s="47" t="s">
        <v>26</v>
      </c>
      <c r="F166" s="47" t="s">
        <v>24</v>
      </c>
      <c r="G166" s="46">
        <v>184656</v>
      </c>
      <c r="H166" s="18" t="s">
        <v>386</v>
      </c>
      <c r="I166" s="26" t="str">
        <f t="shared" si="20"/>
        <v>Eloir</v>
      </c>
      <c r="J166" s="26" t="str">
        <f t="shared" si="21"/>
        <v>5IAPE - MA10</v>
      </c>
      <c r="K166" s="27" t="str">
        <f>IFERROR(VLOOKUP(J166,Substituicoes!J:J,1,0),"SS")</f>
        <v>SS</v>
      </c>
      <c r="L166" s="27" t="str">
        <f>IFERROR(VLOOKUP(J166,Substituicoes!K:K,1,0),"SS")</f>
        <v>5Iape - MA10</v>
      </c>
      <c r="M166" s="28" t="b">
        <f t="shared" si="22"/>
        <v>0</v>
      </c>
      <c r="N166" s="29">
        <f>IF(AND(K166=L166,LEFT(E166,1)="T"),VLOOKUP(A166,'JOGOS BASE'!A:E,4,0),IF(K166=J166,VLOOKUP(J166,Substituicoes!J:R,6,0),IF(L166=J166,VLOOKUP(Escalacao!J166,Substituicoes!K:R,7,0),0)))</f>
        <v>46</v>
      </c>
      <c r="O166" s="28">
        <f>IF(AND(K166=L166,LEFT(E166,1)="T"),VLOOKUP(A166,'JOGOS BASE'!A:E,5,0),IF(K166=J166,VLOOKUP(J166,Substituicoes!J:R,7,0),IF(L166=J166,VLOOKUP(Escalacao!J166,Substituicoes!K:R,8,0),0)))</f>
        <v>24</v>
      </c>
      <c r="P166" s="28">
        <f t="shared" si="23"/>
        <v>70</v>
      </c>
      <c r="Q166" s="28" t="str">
        <f t="shared" si="24"/>
        <v>510IAPE - MA</v>
      </c>
      <c r="R166" s="28" t="str">
        <f>VLOOKUP(A166,'JOGOS BASE'!A:H,8)</f>
        <v>15.01.2025 - IAPE - MA x Sampaio Corrêa - MA</v>
      </c>
    </row>
    <row r="167" spans="1:18" ht="20.399999999999999">
      <c r="A167" s="15">
        <v>5</v>
      </c>
      <c r="B167" s="46">
        <v>11</v>
      </c>
      <c r="C167" s="45" t="s">
        <v>448</v>
      </c>
      <c r="D167" s="45" t="s">
        <v>449</v>
      </c>
      <c r="E167" s="47" t="s">
        <v>26</v>
      </c>
      <c r="F167" s="47" t="s">
        <v>24</v>
      </c>
      <c r="G167" s="46">
        <v>367629</v>
      </c>
      <c r="H167" s="18" t="s">
        <v>386</v>
      </c>
      <c r="I167" s="26" t="str">
        <f t="shared" si="20"/>
        <v>Gleyson</v>
      </c>
      <c r="J167" s="26" t="str">
        <f t="shared" si="21"/>
        <v>5IAPE - MA11</v>
      </c>
      <c r="K167" s="27" t="str">
        <f>IFERROR(VLOOKUP(J167,Substituicoes!J:J,1,0),"SS")</f>
        <v>SS</v>
      </c>
      <c r="L167" s="27" t="str">
        <f>IFERROR(VLOOKUP(J167,Substituicoes!K:K,1,0),"SS")</f>
        <v>5Iape - MA11</v>
      </c>
      <c r="M167" s="28" t="b">
        <f t="shared" si="22"/>
        <v>0</v>
      </c>
      <c r="N167" s="29">
        <f>IF(AND(K167=L167,LEFT(E167,1)="T"),VLOOKUP(A167,'JOGOS BASE'!A:E,4,0),IF(K167=J167,VLOOKUP(J167,Substituicoes!J:R,6,0),IF(L167=J167,VLOOKUP(Escalacao!J167,Substituicoes!K:R,7,0),0)))</f>
        <v>46</v>
      </c>
      <c r="O167" s="28">
        <f>IF(AND(K167=L167,LEFT(E167,1)="T"),VLOOKUP(A167,'JOGOS BASE'!A:E,5,0),IF(K167=J167,VLOOKUP(J167,Substituicoes!J:R,7,0),IF(L167=J167,VLOOKUP(Escalacao!J167,Substituicoes!K:R,8,0),0)))</f>
        <v>0</v>
      </c>
      <c r="P167" s="28">
        <f t="shared" si="23"/>
        <v>46</v>
      </c>
      <c r="Q167" s="28" t="str">
        <f t="shared" si="24"/>
        <v>511IAPE - MA</v>
      </c>
      <c r="R167" s="28" t="str">
        <f>VLOOKUP(A167,'JOGOS BASE'!A:H,8)</f>
        <v>15.01.2025 - IAPE - MA x Sampaio Corrêa - MA</v>
      </c>
    </row>
    <row r="168" spans="1:18" ht="30.6">
      <c r="A168" s="15">
        <v>5</v>
      </c>
      <c r="B168" s="46">
        <v>16</v>
      </c>
      <c r="C168" s="45" t="s">
        <v>450</v>
      </c>
      <c r="D168" s="45" t="s">
        <v>451</v>
      </c>
      <c r="E168" s="47" t="s">
        <v>26</v>
      </c>
      <c r="F168" s="47" t="s">
        <v>24</v>
      </c>
      <c r="G168" s="46">
        <v>419381</v>
      </c>
      <c r="H168" s="18" t="s">
        <v>386</v>
      </c>
      <c r="I168" s="26" t="str">
        <f t="shared" si="20"/>
        <v>Guilherme</v>
      </c>
      <c r="J168" s="26" t="str">
        <f t="shared" si="21"/>
        <v>5IAPE - MA16</v>
      </c>
      <c r="K168" s="27" t="str">
        <f>IFERROR(VLOOKUP(J168,Substituicoes!J:J,1,0),"SS")</f>
        <v>SS</v>
      </c>
      <c r="L168" s="27" t="str">
        <f>IFERROR(VLOOKUP(J168,Substituicoes!K:K,1,0),"SS")</f>
        <v>SS</v>
      </c>
      <c r="M168" s="28" t="b">
        <f t="shared" si="22"/>
        <v>1</v>
      </c>
      <c r="N168" s="29">
        <f>IF(AND(K168=L168,LEFT(E168,1)="T"),VLOOKUP(A168,'JOGOS BASE'!A:E,4,0),IF(K168=J168,VLOOKUP(J168,Substituicoes!J:R,6,0),IF(L168=J168,VLOOKUP(Escalacao!J168,Substituicoes!K:R,7,0),0)))</f>
        <v>46</v>
      </c>
      <c r="O168" s="28">
        <f>IF(AND(K168=L168,LEFT(E168,1)="T"),VLOOKUP(A168,'JOGOS BASE'!A:E,5,0),IF(K168=J168,VLOOKUP(J168,Substituicoes!J:R,7,0),IF(L168=J168,VLOOKUP(Escalacao!J168,Substituicoes!K:R,8,0),0)))</f>
        <v>48</v>
      </c>
      <c r="P168" s="28">
        <f t="shared" si="23"/>
        <v>94</v>
      </c>
      <c r="Q168" s="28" t="str">
        <f t="shared" si="24"/>
        <v>516IAPE - MA</v>
      </c>
      <c r="R168" s="28" t="str">
        <f>VLOOKUP(A168,'JOGOS BASE'!A:H,8)</f>
        <v>15.01.2025 - IAPE - MA x Sampaio Corrêa - MA</v>
      </c>
    </row>
    <row r="169" spans="1:18" ht="30.6">
      <c r="A169" s="15">
        <v>5</v>
      </c>
      <c r="B169" s="46">
        <v>25</v>
      </c>
      <c r="C169" s="45" t="s">
        <v>305</v>
      </c>
      <c r="D169" s="45" t="s">
        <v>452</v>
      </c>
      <c r="E169" s="47" t="s">
        <v>26</v>
      </c>
      <c r="F169" s="47" t="s">
        <v>24</v>
      </c>
      <c r="G169" s="46">
        <v>430582</v>
      </c>
      <c r="H169" s="18" t="s">
        <v>386</v>
      </c>
      <c r="I169" s="26" t="str">
        <f t="shared" si="20"/>
        <v>Henrique</v>
      </c>
      <c r="J169" s="26" t="str">
        <f t="shared" si="21"/>
        <v>5IAPE - MA25</v>
      </c>
      <c r="K169" s="27" t="str">
        <f>IFERROR(VLOOKUP(J169,Substituicoes!J:J,1,0),"SS")</f>
        <v>SS</v>
      </c>
      <c r="L169" s="27" t="str">
        <f>IFERROR(VLOOKUP(J169,Substituicoes!K:K,1,0),"SS")</f>
        <v>5Iape - MA25</v>
      </c>
      <c r="M169" s="28" t="b">
        <f t="shared" si="22"/>
        <v>0</v>
      </c>
      <c r="N169" s="29">
        <f>IF(AND(K169=L169,LEFT(E169,1)="T"),VLOOKUP(A169,'JOGOS BASE'!A:E,4,0),IF(K169=J169,VLOOKUP(J169,Substituicoes!J:R,6,0),IF(L169=J169,VLOOKUP(Escalacao!J169,Substituicoes!K:R,7,0),0)))</f>
        <v>46</v>
      </c>
      <c r="O169" s="28">
        <f>IF(AND(K169=L169,LEFT(E169,1)="T"),VLOOKUP(A169,'JOGOS BASE'!A:E,5,0),IF(K169=J169,VLOOKUP(J169,Substituicoes!J:R,7,0),IF(L169=J169,VLOOKUP(Escalacao!J169,Substituicoes!K:R,8,0),0)))</f>
        <v>10</v>
      </c>
      <c r="P169" s="28">
        <f t="shared" si="23"/>
        <v>56</v>
      </c>
      <c r="Q169" s="28" t="str">
        <f t="shared" si="24"/>
        <v>525IAPE - MA</v>
      </c>
      <c r="R169" s="28" t="str">
        <f>VLOOKUP(A169,'JOGOS BASE'!A:H,8)</f>
        <v>15.01.2025 - IAPE - MA x Sampaio Corrêa - MA</v>
      </c>
    </row>
    <row r="170" spans="1:18" ht="30.6">
      <c r="A170" s="15">
        <v>5</v>
      </c>
      <c r="B170" s="46">
        <v>12</v>
      </c>
      <c r="C170" s="45" t="s">
        <v>453</v>
      </c>
      <c r="D170" s="45" t="s">
        <v>454</v>
      </c>
      <c r="E170" s="47" t="s">
        <v>40</v>
      </c>
      <c r="F170" s="47" t="s">
        <v>56</v>
      </c>
      <c r="G170" s="46">
        <v>686771</v>
      </c>
      <c r="H170" s="18" t="s">
        <v>386</v>
      </c>
      <c r="I170" s="26" t="str">
        <f t="shared" si="20"/>
        <v>KENNEDY</v>
      </c>
      <c r="J170" s="26" t="str">
        <f t="shared" si="21"/>
        <v>5IAPE - MA12</v>
      </c>
      <c r="K170" s="27" t="str">
        <f>IFERROR(VLOOKUP(J170,Substituicoes!J:J,1,0),"SS")</f>
        <v>SS</v>
      </c>
      <c r="L170" s="27" t="str">
        <f>IFERROR(VLOOKUP(J170,Substituicoes!K:K,1,0),"SS")</f>
        <v>SS</v>
      </c>
      <c r="M170" s="28" t="b">
        <f t="shared" si="22"/>
        <v>1</v>
      </c>
      <c r="N170" s="29">
        <f>IF(AND(K170=L170,LEFT(E170,1)="T"),VLOOKUP(A170,'JOGOS BASE'!A:E,4,0),IF(K170=J170,VLOOKUP(J170,Substituicoes!J:R,6,0),IF(L170=J170,VLOOKUP(Escalacao!J170,Substituicoes!K:R,7,0),0)))</f>
        <v>0</v>
      </c>
      <c r="O170" s="28">
        <f>IF(AND(K170=L170,LEFT(E170,1)="T"),VLOOKUP(A170,'JOGOS BASE'!A:E,5,0),IF(K170=J170,VLOOKUP(J170,Substituicoes!J:R,7,0),IF(L170=J170,VLOOKUP(Escalacao!J170,Substituicoes!K:R,8,0),0)))</f>
        <v>0</v>
      </c>
      <c r="P170" s="28">
        <f t="shared" si="23"/>
        <v>0</v>
      </c>
      <c r="Q170" s="28" t="str">
        <f t="shared" si="24"/>
        <v>512IAPE - MA</v>
      </c>
      <c r="R170" s="28" t="str">
        <f>VLOOKUP(A170,'JOGOS BASE'!A:H,8)</f>
        <v>15.01.2025 - IAPE - MA x Sampaio Corrêa - MA</v>
      </c>
    </row>
    <row r="171" spans="1:18" ht="30.6">
      <c r="A171" s="15">
        <v>5</v>
      </c>
      <c r="B171" s="46">
        <v>2</v>
      </c>
      <c r="C171" s="45" t="s">
        <v>455</v>
      </c>
      <c r="D171" s="45" t="s">
        <v>456</v>
      </c>
      <c r="E171" s="47" t="s">
        <v>42</v>
      </c>
      <c r="F171" s="47" t="s">
        <v>24</v>
      </c>
      <c r="G171" s="46">
        <v>541756</v>
      </c>
      <c r="H171" s="18" t="s">
        <v>386</v>
      </c>
      <c r="I171" s="26" t="str">
        <f t="shared" si="20"/>
        <v>Pablo</v>
      </c>
      <c r="J171" s="26" t="str">
        <f t="shared" si="21"/>
        <v>5IAPE - MA2</v>
      </c>
      <c r="K171" s="27" t="str">
        <f>IFERROR(VLOOKUP(J171,Substituicoes!J:J,1,0),"SS")</f>
        <v>SS</v>
      </c>
      <c r="L171" s="27" t="str">
        <f>IFERROR(VLOOKUP(J171,Substituicoes!K:K,1,0),"SS")</f>
        <v>SS</v>
      </c>
      <c r="M171" s="28" t="b">
        <f t="shared" si="22"/>
        <v>1</v>
      </c>
      <c r="N171" s="29">
        <f>IF(AND(K171=L171,LEFT(E171,1)="T"),VLOOKUP(A171,'JOGOS BASE'!A:E,4,0),IF(K171=J171,VLOOKUP(J171,Substituicoes!J:R,6,0),IF(L171=J171,VLOOKUP(Escalacao!J171,Substituicoes!K:R,7,0),0)))</f>
        <v>0</v>
      </c>
      <c r="O171" s="28">
        <f>IF(AND(K171=L171,LEFT(E171,1)="T"),VLOOKUP(A171,'JOGOS BASE'!A:E,5,0),IF(K171=J171,VLOOKUP(J171,Substituicoes!J:R,7,0),IF(L171=J171,VLOOKUP(Escalacao!J171,Substituicoes!K:R,8,0),0)))</f>
        <v>0</v>
      </c>
      <c r="P171" s="28">
        <f t="shared" si="23"/>
        <v>0</v>
      </c>
      <c r="Q171" s="28" t="str">
        <f t="shared" si="24"/>
        <v>52IAPE - MA</v>
      </c>
      <c r="R171" s="28" t="str">
        <f>VLOOKUP(A171,'JOGOS BASE'!A:H,8)</f>
        <v>15.01.2025 - IAPE - MA x Sampaio Corrêa - MA</v>
      </c>
    </row>
    <row r="172" spans="1:18" ht="30.6">
      <c r="A172" s="15">
        <v>5</v>
      </c>
      <c r="B172" s="46">
        <v>8</v>
      </c>
      <c r="C172" s="45" t="s">
        <v>457</v>
      </c>
      <c r="D172" s="45" t="s">
        <v>458</v>
      </c>
      <c r="E172" s="47" t="s">
        <v>42</v>
      </c>
      <c r="F172" s="47" t="s">
        <v>24</v>
      </c>
      <c r="G172" s="46">
        <v>709062</v>
      </c>
      <c r="H172" s="18" t="s">
        <v>386</v>
      </c>
      <c r="I172" s="26" t="str">
        <f t="shared" si="20"/>
        <v>Maykon</v>
      </c>
      <c r="J172" s="26" t="str">
        <f t="shared" si="21"/>
        <v>5IAPE - MA8</v>
      </c>
      <c r="K172" s="27" t="str">
        <f>IFERROR(VLOOKUP(J172,Substituicoes!J:J,1,0),"SS")</f>
        <v>5Iape - MA8</v>
      </c>
      <c r="L172" s="27" t="str">
        <f>IFERROR(VLOOKUP(J172,Substituicoes!K:K,1,0),"SS")</f>
        <v>SS</v>
      </c>
      <c r="M172" s="28" t="b">
        <f t="shared" si="22"/>
        <v>0</v>
      </c>
      <c r="N172" s="29">
        <f>IF(AND(K172=L172,LEFT(E172,1)="T"),VLOOKUP(A172,'JOGOS BASE'!A:E,4,0),IF(K172=J172,VLOOKUP(J172,Substituicoes!J:R,6,0),IF(L172=J172,VLOOKUP(Escalacao!J172,Substituicoes!K:R,7,0),0)))</f>
        <v>0</v>
      </c>
      <c r="O172" s="28">
        <f>IF(AND(K172=L172,LEFT(E172,1)="T"),VLOOKUP(A172,'JOGOS BASE'!A:E,5,0),IF(K172=J172,VLOOKUP(J172,Substituicoes!J:R,7,0),IF(L172=J172,VLOOKUP(Escalacao!J172,Substituicoes!K:R,8,0),0)))</f>
        <v>48</v>
      </c>
      <c r="P172" s="28">
        <f t="shared" si="23"/>
        <v>48</v>
      </c>
      <c r="Q172" s="28" t="str">
        <f t="shared" si="24"/>
        <v>58IAPE - MA</v>
      </c>
      <c r="R172" s="28" t="str">
        <f>VLOOKUP(A172,'JOGOS BASE'!A:H,8)</f>
        <v>15.01.2025 - IAPE - MA x Sampaio Corrêa - MA</v>
      </c>
    </row>
    <row r="173" spans="1:18" ht="30.6">
      <c r="A173" s="15">
        <v>5</v>
      </c>
      <c r="B173" s="46">
        <v>13</v>
      </c>
      <c r="C173" s="45" t="s">
        <v>459</v>
      </c>
      <c r="D173" s="45" t="s">
        <v>460</v>
      </c>
      <c r="E173" s="47" t="s">
        <v>42</v>
      </c>
      <c r="F173" s="47" t="s">
        <v>56</v>
      </c>
      <c r="G173" s="46">
        <v>767170</v>
      </c>
      <c r="H173" s="18" t="s">
        <v>386</v>
      </c>
      <c r="I173" s="26" t="str">
        <f t="shared" si="20"/>
        <v>Emerson</v>
      </c>
      <c r="J173" s="26" t="str">
        <f t="shared" si="21"/>
        <v>5IAPE - MA13</v>
      </c>
      <c r="K173" s="27" t="str">
        <f>IFERROR(VLOOKUP(J173,Substituicoes!J:J,1,0),"SS")</f>
        <v>SS</v>
      </c>
      <c r="L173" s="27" t="str">
        <f>IFERROR(VLOOKUP(J173,Substituicoes!K:K,1,0),"SS")</f>
        <v>SS</v>
      </c>
      <c r="M173" s="28" t="b">
        <f t="shared" si="22"/>
        <v>1</v>
      </c>
      <c r="N173" s="29">
        <f>IF(AND(K173=L173,LEFT(E173,1)="T"),VLOOKUP(A173,'JOGOS BASE'!A:E,4,0),IF(K173=J173,VLOOKUP(J173,Substituicoes!J:R,6,0),IF(L173=J173,VLOOKUP(Escalacao!J173,Substituicoes!K:R,7,0),0)))</f>
        <v>0</v>
      </c>
      <c r="O173" s="28">
        <f>IF(AND(K173=L173,LEFT(E173,1)="T"),VLOOKUP(A173,'JOGOS BASE'!A:E,5,0),IF(K173=J173,VLOOKUP(J173,Substituicoes!J:R,7,0),IF(L173=J173,VLOOKUP(Escalacao!J173,Substituicoes!K:R,8,0),0)))</f>
        <v>0</v>
      </c>
      <c r="P173" s="28">
        <f t="shared" si="23"/>
        <v>0</v>
      </c>
      <c r="Q173" s="28" t="str">
        <f t="shared" si="24"/>
        <v>513IAPE - MA</v>
      </c>
      <c r="R173" s="28" t="str">
        <f>VLOOKUP(A173,'JOGOS BASE'!A:H,8)</f>
        <v>15.01.2025 - IAPE - MA x Sampaio Corrêa - MA</v>
      </c>
    </row>
    <row r="174" spans="1:18" ht="30.6">
      <c r="A174" s="15">
        <v>5</v>
      </c>
      <c r="B174" s="46">
        <v>14</v>
      </c>
      <c r="C174" s="45" t="s">
        <v>461</v>
      </c>
      <c r="D174" s="45" t="s">
        <v>462</v>
      </c>
      <c r="E174" s="47" t="s">
        <v>42</v>
      </c>
      <c r="F174" s="47" t="s">
        <v>24</v>
      </c>
      <c r="G174" s="46">
        <v>505180</v>
      </c>
      <c r="H174" s="18" t="s">
        <v>386</v>
      </c>
      <c r="I174" s="26" t="str">
        <f t="shared" si="20"/>
        <v>VITAO</v>
      </c>
      <c r="J174" s="26" t="str">
        <f t="shared" si="21"/>
        <v>5IAPE - MA14</v>
      </c>
      <c r="K174" s="27" t="str">
        <f>IFERROR(VLOOKUP(J174,Substituicoes!J:J,1,0),"SS")</f>
        <v>5Iape - MA14</v>
      </c>
      <c r="L174" s="27" t="str">
        <f>IFERROR(VLOOKUP(J174,Substituicoes!K:K,1,0),"SS")</f>
        <v>SS</v>
      </c>
      <c r="M174" s="28" t="b">
        <f t="shared" si="22"/>
        <v>0</v>
      </c>
      <c r="N174" s="29">
        <f>IF(AND(K174=L174,LEFT(E174,1)="T"),VLOOKUP(A174,'JOGOS BASE'!A:E,4,0),IF(K174=J174,VLOOKUP(J174,Substituicoes!J:R,6,0),IF(L174=J174,VLOOKUP(Escalacao!J174,Substituicoes!K:R,7,0),0)))</f>
        <v>0</v>
      </c>
      <c r="O174" s="28">
        <f>IF(AND(K174=L174,LEFT(E174,1)="T"),VLOOKUP(A174,'JOGOS BASE'!A:E,5,0),IF(K174=J174,VLOOKUP(J174,Substituicoes!J:R,7,0),IF(L174=J174,VLOOKUP(Escalacao!J174,Substituicoes!K:R,8,0),0)))</f>
        <v>48</v>
      </c>
      <c r="P174" s="28">
        <f t="shared" si="23"/>
        <v>48</v>
      </c>
      <c r="Q174" s="28" t="str">
        <f t="shared" si="24"/>
        <v>514IAPE - MA</v>
      </c>
      <c r="R174" s="28" t="str">
        <f>VLOOKUP(A174,'JOGOS BASE'!A:H,8)</f>
        <v>15.01.2025 - IAPE - MA x Sampaio Corrêa - MA</v>
      </c>
    </row>
    <row r="175" spans="1:18" ht="30.6">
      <c r="A175" s="15">
        <v>5</v>
      </c>
      <c r="B175" s="46">
        <v>15</v>
      </c>
      <c r="C175" s="45" t="s">
        <v>463</v>
      </c>
      <c r="D175" s="45" t="s">
        <v>464</v>
      </c>
      <c r="E175" s="47" t="s">
        <v>42</v>
      </c>
      <c r="F175" s="47" t="s">
        <v>24</v>
      </c>
      <c r="G175" s="46">
        <v>608948</v>
      </c>
      <c r="H175" s="18" t="s">
        <v>386</v>
      </c>
      <c r="I175" s="26" t="str">
        <f t="shared" si="20"/>
        <v>Nathan</v>
      </c>
      <c r="J175" s="26" t="str">
        <f t="shared" si="21"/>
        <v>5IAPE - MA15</v>
      </c>
      <c r="K175" s="27" t="str">
        <f>IFERROR(VLOOKUP(J175,Substituicoes!J:J,1,0),"SS")</f>
        <v>SS</v>
      </c>
      <c r="L175" s="27" t="str">
        <f>IFERROR(VLOOKUP(J175,Substituicoes!K:K,1,0),"SS")</f>
        <v>SS</v>
      </c>
      <c r="M175" s="28" t="b">
        <f t="shared" si="22"/>
        <v>1</v>
      </c>
      <c r="N175" s="29">
        <f>IF(AND(K175=L175,LEFT(E175,1)="T"),VLOOKUP(A175,'JOGOS BASE'!A:E,4,0),IF(K175=J175,VLOOKUP(J175,Substituicoes!J:R,6,0),IF(L175=J175,VLOOKUP(Escalacao!J175,Substituicoes!K:R,7,0),0)))</f>
        <v>0</v>
      </c>
      <c r="O175" s="28">
        <f>IF(AND(K175=L175,LEFT(E175,1)="T"),VLOOKUP(A175,'JOGOS BASE'!A:E,5,0),IF(K175=J175,VLOOKUP(J175,Substituicoes!J:R,7,0),IF(L175=J175,VLOOKUP(Escalacao!J175,Substituicoes!K:R,8,0),0)))</f>
        <v>0</v>
      </c>
      <c r="P175" s="28">
        <f t="shared" si="23"/>
        <v>0</v>
      </c>
      <c r="Q175" s="28" t="str">
        <f t="shared" si="24"/>
        <v>515IAPE - MA</v>
      </c>
      <c r="R175" s="28" t="str">
        <f>VLOOKUP(A175,'JOGOS BASE'!A:H,8)</f>
        <v>15.01.2025 - IAPE - MA x Sampaio Corrêa - MA</v>
      </c>
    </row>
    <row r="176" spans="1:18" ht="30.6">
      <c r="A176" s="15">
        <v>5</v>
      </c>
      <c r="B176" s="46">
        <v>17</v>
      </c>
      <c r="C176" s="45" t="s">
        <v>465</v>
      </c>
      <c r="D176" s="45" t="s">
        <v>466</v>
      </c>
      <c r="E176" s="47" t="s">
        <v>42</v>
      </c>
      <c r="F176" s="47" t="s">
        <v>24</v>
      </c>
      <c r="G176" s="46">
        <v>565551</v>
      </c>
      <c r="H176" s="18" t="s">
        <v>386</v>
      </c>
      <c r="I176" s="26" t="str">
        <f t="shared" si="20"/>
        <v>Jojo</v>
      </c>
      <c r="J176" s="26" t="str">
        <f t="shared" si="21"/>
        <v>5IAPE - MA17</v>
      </c>
      <c r="K176" s="27" t="str">
        <f>IFERROR(VLOOKUP(J176,Substituicoes!J:J,1,0),"SS")</f>
        <v>5Iape - MA17</v>
      </c>
      <c r="L176" s="27" t="str">
        <f>IFERROR(VLOOKUP(J176,Substituicoes!K:K,1,0),"SS")</f>
        <v>SS</v>
      </c>
      <c r="M176" s="28" t="b">
        <f t="shared" si="22"/>
        <v>0</v>
      </c>
      <c r="N176" s="29">
        <f>IF(AND(K176=L176,LEFT(E176,1)="T"),VLOOKUP(A176,'JOGOS BASE'!A:E,4,0),IF(K176=J176,VLOOKUP(J176,Substituicoes!J:R,6,0),IF(L176=J176,VLOOKUP(Escalacao!J176,Substituicoes!K:R,7,0),0)))</f>
        <v>0</v>
      </c>
      <c r="O176" s="28">
        <f>IF(AND(K176=L176,LEFT(E176,1)="T"),VLOOKUP(A176,'JOGOS BASE'!A:E,5,0),IF(K176=J176,VLOOKUP(J176,Substituicoes!J:R,7,0),IF(L176=J176,VLOOKUP(Escalacao!J176,Substituicoes!K:R,8,0),0)))</f>
        <v>32</v>
      </c>
      <c r="P176" s="28">
        <f t="shared" si="23"/>
        <v>32</v>
      </c>
      <c r="Q176" s="28" t="str">
        <f t="shared" si="24"/>
        <v>517IAPE - MA</v>
      </c>
      <c r="R176" s="28" t="str">
        <f>VLOOKUP(A176,'JOGOS BASE'!A:H,8)</f>
        <v>15.01.2025 - IAPE - MA x Sampaio Corrêa - MA</v>
      </c>
    </row>
    <row r="177" spans="1:18" ht="20.399999999999999">
      <c r="A177" s="15">
        <v>5</v>
      </c>
      <c r="B177" s="46">
        <v>18</v>
      </c>
      <c r="C177" s="45" t="s">
        <v>467</v>
      </c>
      <c r="D177" s="45" t="s">
        <v>468</v>
      </c>
      <c r="E177" s="47" t="s">
        <v>42</v>
      </c>
      <c r="F177" s="47" t="s">
        <v>56</v>
      </c>
      <c r="G177" s="46">
        <v>748771</v>
      </c>
      <c r="H177" s="18" t="s">
        <v>386</v>
      </c>
      <c r="I177" s="26" t="str">
        <f t="shared" si="20"/>
        <v>EDU</v>
      </c>
      <c r="J177" s="26" t="str">
        <f t="shared" si="21"/>
        <v>5IAPE - MA18</v>
      </c>
      <c r="K177" s="27" t="str">
        <f>IFERROR(VLOOKUP(J177,Substituicoes!J:J,1,0),"SS")</f>
        <v>SS</v>
      </c>
      <c r="L177" s="27" t="str">
        <f>IFERROR(VLOOKUP(J177,Substituicoes!K:K,1,0),"SS")</f>
        <v>SS</v>
      </c>
      <c r="M177" s="28" t="b">
        <f t="shared" si="22"/>
        <v>1</v>
      </c>
      <c r="N177" s="29">
        <f>IF(AND(K177=L177,LEFT(E177,1)="T"),VLOOKUP(A177,'JOGOS BASE'!A:E,4,0),IF(K177=J177,VLOOKUP(J177,Substituicoes!J:R,6,0),IF(L177=J177,VLOOKUP(Escalacao!J177,Substituicoes!K:R,7,0),0)))</f>
        <v>0</v>
      </c>
      <c r="O177" s="28">
        <f>IF(AND(K177=L177,LEFT(E177,1)="T"),VLOOKUP(A177,'JOGOS BASE'!A:E,5,0),IF(K177=J177,VLOOKUP(J177,Substituicoes!J:R,7,0),IF(L177=J177,VLOOKUP(Escalacao!J177,Substituicoes!K:R,8,0),0)))</f>
        <v>0</v>
      </c>
      <c r="P177" s="28">
        <f t="shared" si="23"/>
        <v>0</v>
      </c>
      <c r="Q177" s="28" t="str">
        <f t="shared" si="24"/>
        <v>518IAPE - MA</v>
      </c>
      <c r="R177" s="28" t="str">
        <f>VLOOKUP(A177,'JOGOS BASE'!A:H,8)</f>
        <v>15.01.2025 - IAPE - MA x Sampaio Corrêa - MA</v>
      </c>
    </row>
    <row r="178" spans="1:18" ht="30.6">
      <c r="A178" s="15">
        <v>5</v>
      </c>
      <c r="B178" s="46">
        <v>19</v>
      </c>
      <c r="C178" s="45" t="s">
        <v>469</v>
      </c>
      <c r="D178" s="45" t="s">
        <v>470</v>
      </c>
      <c r="E178" s="47" t="s">
        <v>42</v>
      </c>
      <c r="F178" s="47" t="s">
        <v>56</v>
      </c>
      <c r="G178" s="46">
        <v>865525</v>
      </c>
      <c r="H178" s="18" t="s">
        <v>386</v>
      </c>
      <c r="I178" s="26" t="str">
        <f t="shared" si="20"/>
        <v>ESQUERDIN</v>
      </c>
      <c r="J178" s="26" t="str">
        <f t="shared" si="21"/>
        <v>5IAPE - MA19</v>
      </c>
      <c r="K178" s="27" t="str">
        <f>IFERROR(VLOOKUP(J178,Substituicoes!J:J,1,0),"SS")</f>
        <v>SS</v>
      </c>
      <c r="L178" s="27" t="str">
        <f>IFERROR(VLOOKUP(J178,Substituicoes!K:K,1,0),"SS")</f>
        <v>SS</v>
      </c>
      <c r="M178" s="28" t="b">
        <f t="shared" si="22"/>
        <v>1</v>
      </c>
      <c r="N178" s="29">
        <f>IF(AND(K178=L178,LEFT(E178,1)="T"),VLOOKUP(A178,'JOGOS BASE'!A:E,4,0),IF(K178=J178,VLOOKUP(J178,Substituicoes!J:R,6,0),IF(L178=J178,VLOOKUP(Escalacao!J178,Substituicoes!K:R,7,0),0)))</f>
        <v>0</v>
      </c>
      <c r="O178" s="28">
        <f>IF(AND(K178=L178,LEFT(E178,1)="T"),VLOOKUP(A178,'JOGOS BASE'!A:E,5,0),IF(K178=J178,VLOOKUP(J178,Substituicoes!J:R,7,0),IF(L178=J178,VLOOKUP(Escalacao!J178,Substituicoes!K:R,8,0),0)))</f>
        <v>0</v>
      </c>
      <c r="P178" s="28">
        <f t="shared" si="23"/>
        <v>0</v>
      </c>
      <c r="Q178" s="28" t="str">
        <f t="shared" si="24"/>
        <v>519IAPE - MA</v>
      </c>
      <c r="R178" s="28" t="str">
        <f>VLOOKUP(A178,'JOGOS BASE'!A:H,8)</f>
        <v>15.01.2025 - IAPE - MA x Sampaio Corrêa - MA</v>
      </c>
    </row>
    <row r="179" spans="1:18" ht="20.399999999999999">
      <c r="A179" s="15">
        <v>5</v>
      </c>
      <c r="B179" s="46">
        <v>20</v>
      </c>
      <c r="C179" s="45" t="s">
        <v>471</v>
      </c>
      <c r="D179" s="45" t="s">
        <v>472</v>
      </c>
      <c r="E179" s="47" t="s">
        <v>42</v>
      </c>
      <c r="F179" s="47" t="s">
        <v>24</v>
      </c>
      <c r="G179" s="46">
        <v>538940</v>
      </c>
      <c r="H179" s="18" t="s">
        <v>386</v>
      </c>
      <c r="I179" s="26" t="str">
        <f t="shared" si="20"/>
        <v>Paulo Victor</v>
      </c>
      <c r="J179" s="26" t="str">
        <f t="shared" si="21"/>
        <v>5IAPE - MA20</v>
      </c>
      <c r="K179" s="27" t="str">
        <f>IFERROR(VLOOKUP(J179,Substituicoes!J:J,1,0),"SS")</f>
        <v>5Iape - MA20</v>
      </c>
      <c r="L179" s="27" t="str">
        <f>IFERROR(VLOOKUP(J179,Substituicoes!K:K,1,0),"SS")</f>
        <v>SS</v>
      </c>
      <c r="M179" s="28" t="b">
        <f t="shared" si="22"/>
        <v>0</v>
      </c>
      <c r="N179" s="29">
        <f>IF(AND(K179=L179,LEFT(E179,1)="T"),VLOOKUP(A179,'JOGOS BASE'!A:E,4,0),IF(K179=J179,VLOOKUP(J179,Substituicoes!J:R,6,0),IF(L179=J179,VLOOKUP(Escalacao!J179,Substituicoes!K:R,7,0),0)))</f>
        <v>0</v>
      </c>
      <c r="O179" s="28">
        <f>IF(AND(K179=L179,LEFT(E179,1)="T"),VLOOKUP(A179,'JOGOS BASE'!A:E,5,0),IF(K179=J179,VLOOKUP(J179,Substituicoes!J:R,7,0),IF(L179=J179,VLOOKUP(Escalacao!J179,Substituicoes!K:R,8,0),0)))</f>
        <v>24</v>
      </c>
      <c r="P179" s="28">
        <f t="shared" si="23"/>
        <v>24</v>
      </c>
      <c r="Q179" s="28" t="str">
        <f t="shared" si="24"/>
        <v>520IAPE - MA</v>
      </c>
      <c r="R179" s="28" t="str">
        <f>VLOOKUP(A179,'JOGOS BASE'!A:H,8)</f>
        <v>15.01.2025 - IAPE - MA x Sampaio Corrêa - MA</v>
      </c>
    </row>
    <row r="180" spans="1:18" ht="30.6">
      <c r="A180" s="15">
        <v>5</v>
      </c>
      <c r="B180" s="46">
        <v>21</v>
      </c>
      <c r="C180" s="45" t="s">
        <v>473</v>
      </c>
      <c r="D180" s="45" t="s">
        <v>474</v>
      </c>
      <c r="E180" s="47" t="s">
        <v>42</v>
      </c>
      <c r="F180" s="47" t="s">
        <v>56</v>
      </c>
      <c r="G180" s="46">
        <v>789699</v>
      </c>
      <c r="H180" s="18" t="s">
        <v>386</v>
      </c>
      <c r="I180" s="26" t="str">
        <f t="shared" si="20"/>
        <v>Kaio Camara</v>
      </c>
      <c r="J180" s="26" t="str">
        <f t="shared" si="21"/>
        <v>5IAPE - MA21</v>
      </c>
      <c r="K180" s="27" t="str">
        <f>IFERROR(VLOOKUP(J180,Substituicoes!J:J,1,0),"SS")</f>
        <v>SS</v>
      </c>
      <c r="L180" s="27" t="str">
        <f>IFERROR(VLOOKUP(J180,Substituicoes!K:K,1,0),"SS")</f>
        <v>SS</v>
      </c>
      <c r="M180" s="28" t="b">
        <f t="shared" si="22"/>
        <v>1</v>
      </c>
      <c r="N180" s="29">
        <f>IF(AND(K180=L180,LEFT(E180,1)="T"),VLOOKUP(A180,'JOGOS BASE'!A:E,4,0),IF(K180=J180,VLOOKUP(J180,Substituicoes!J:R,6,0),IF(L180=J180,VLOOKUP(Escalacao!J180,Substituicoes!K:R,7,0),0)))</f>
        <v>0</v>
      </c>
      <c r="O180" s="28">
        <f>IF(AND(K180=L180,LEFT(E180,1)="T"),VLOOKUP(A180,'JOGOS BASE'!A:E,5,0),IF(K180=J180,VLOOKUP(J180,Substituicoes!J:R,7,0),IF(L180=J180,VLOOKUP(Escalacao!J180,Substituicoes!K:R,8,0),0)))</f>
        <v>0</v>
      </c>
      <c r="P180" s="28">
        <f t="shared" si="23"/>
        <v>0</v>
      </c>
      <c r="Q180" s="28" t="str">
        <f t="shared" si="24"/>
        <v>521IAPE - MA</v>
      </c>
      <c r="R180" s="28" t="str">
        <f>VLOOKUP(A180,'JOGOS BASE'!A:H,8)</f>
        <v>15.01.2025 - IAPE - MA x Sampaio Corrêa - MA</v>
      </c>
    </row>
    <row r="181" spans="1:18" ht="20.399999999999999">
      <c r="A181" s="15">
        <v>5</v>
      </c>
      <c r="B181" s="46">
        <v>22</v>
      </c>
      <c r="C181" s="45" t="s">
        <v>471</v>
      </c>
      <c r="D181" s="45" t="s">
        <v>475</v>
      </c>
      <c r="E181" s="47" t="s">
        <v>42</v>
      </c>
      <c r="F181" s="47" t="s">
        <v>24</v>
      </c>
      <c r="G181" s="46">
        <v>533063</v>
      </c>
      <c r="H181" s="18" t="s">
        <v>386</v>
      </c>
      <c r="I181" s="26" t="str">
        <f t="shared" si="20"/>
        <v>Paulo Victor</v>
      </c>
      <c r="J181" s="26" t="str">
        <f t="shared" si="21"/>
        <v>5IAPE - MA22</v>
      </c>
      <c r="K181" s="27" t="str">
        <f>IFERROR(VLOOKUP(J181,Substituicoes!J:J,1,0),"SS")</f>
        <v>5Iape - MA22</v>
      </c>
      <c r="L181" s="27" t="str">
        <f>IFERROR(VLOOKUP(J181,Substituicoes!K:K,1,0),"SS")</f>
        <v>SS</v>
      </c>
      <c r="M181" s="28" t="b">
        <f t="shared" si="22"/>
        <v>0</v>
      </c>
      <c r="N181" s="29">
        <f>IF(AND(K181=L181,LEFT(E181,1)="T"),VLOOKUP(A181,'JOGOS BASE'!A:E,4,0),IF(K181=J181,VLOOKUP(J181,Substituicoes!J:R,6,0),IF(L181=J181,VLOOKUP(Escalacao!J181,Substituicoes!K:R,7,0),0)))</f>
        <v>0</v>
      </c>
      <c r="O181" s="28">
        <f>IF(AND(K181=L181,LEFT(E181,1)="T"),VLOOKUP(A181,'JOGOS BASE'!A:E,5,0),IF(K181=J181,VLOOKUP(J181,Substituicoes!J:R,7,0),IF(L181=J181,VLOOKUP(Escalacao!J181,Substituicoes!K:R,8,0),0)))</f>
        <v>38</v>
      </c>
      <c r="P181" s="28">
        <f t="shared" si="23"/>
        <v>38</v>
      </c>
      <c r="Q181" s="28" t="str">
        <f t="shared" si="24"/>
        <v>522IAPE - MA</v>
      </c>
      <c r="R181" s="28" t="str">
        <f>VLOOKUP(A181,'JOGOS BASE'!A:H,8)</f>
        <v>15.01.2025 - IAPE - MA x Sampaio Corrêa - MA</v>
      </c>
    </row>
    <row r="182" spans="1:18" ht="30.6">
      <c r="A182" s="15">
        <v>5</v>
      </c>
      <c r="B182" s="46">
        <v>1</v>
      </c>
      <c r="C182" s="45" t="s">
        <v>59</v>
      </c>
      <c r="D182" s="45" t="s">
        <v>60</v>
      </c>
      <c r="E182" s="47" t="s">
        <v>23</v>
      </c>
      <c r="F182" s="47" t="s">
        <v>24</v>
      </c>
      <c r="G182" s="46">
        <v>639922</v>
      </c>
      <c r="H182" s="15" t="s">
        <v>122</v>
      </c>
      <c r="I182" s="26" t="str">
        <f t="shared" si="20"/>
        <v>ALAN</v>
      </c>
      <c r="J182" s="26" t="str">
        <f t="shared" si="21"/>
        <v>5Sampaio Corrêa - MA1</v>
      </c>
      <c r="K182" s="27" t="str">
        <f>IFERROR(VLOOKUP(J182,Substituicoes!J:J,1,0),"SS")</f>
        <v>SS</v>
      </c>
      <c r="L182" s="27" t="str">
        <f>IFERROR(VLOOKUP(J182,Substituicoes!K:K,1,0),"SS")</f>
        <v>SS</v>
      </c>
      <c r="M182" s="28" t="b">
        <f t="shared" si="22"/>
        <v>1</v>
      </c>
      <c r="N182" s="29">
        <f>IF(AND(K182=L182,LEFT(E182,1)="T"),VLOOKUP(A182,'JOGOS BASE'!A:E,4,0),IF(K182=J182,VLOOKUP(J182,Substituicoes!J:R,6,0),IF(L182=J182,VLOOKUP(Escalacao!J182,Substituicoes!K:R,7,0),0)))</f>
        <v>46</v>
      </c>
      <c r="O182" s="28">
        <f>IF(AND(K182=L182,LEFT(E182,1)="T"),VLOOKUP(A182,'JOGOS BASE'!A:E,5,0),IF(K182=J182,VLOOKUP(J182,Substituicoes!J:R,7,0),IF(L182=J182,VLOOKUP(Escalacao!J182,Substituicoes!K:R,8,0),0)))</f>
        <v>48</v>
      </c>
      <c r="P182" s="28">
        <f t="shared" si="23"/>
        <v>94</v>
      </c>
      <c r="Q182" s="28" t="str">
        <f t="shared" si="24"/>
        <v>51Sampaio Corrêa - MA</v>
      </c>
      <c r="R182" s="28" t="str">
        <f>VLOOKUP(A182,'JOGOS BASE'!A:H,8)</f>
        <v>15.01.2025 - IAPE - MA x Sampaio Corrêa - MA</v>
      </c>
    </row>
    <row r="183" spans="1:18" ht="30.6">
      <c r="A183" s="15">
        <v>5</v>
      </c>
      <c r="B183" s="46">
        <v>2</v>
      </c>
      <c r="C183" s="45" t="s">
        <v>61</v>
      </c>
      <c r="D183" s="45" t="s">
        <v>62</v>
      </c>
      <c r="E183" s="47" t="s">
        <v>26</v>
      </c>
      <c r="F183" s="47" t="s">
        <v>24</v>
      </c>
      <c r="G183" s="46">
        <v>400878</v>
      </c>
      <c r="H183" s="15" t="s">
        <v>122</v>
      </c>
      <c r="I183" s="26" t="str">
        <f t="shared" si="20"/>
        <v>JÔ</v>
      </c>
      <c r="J183" s="26" t="str">
        <f t="shared" si="21"/>
        <v>5Sampaio Corrêa - MA2</v>
      </c>
      <c r="K183" s="27" t="str">
        <f>IFERROR(VLOOKUP(J183,Substituicoes!J:J,1,0),"SS")</f>
        <v>SS</v>
      </c>
      <c r="L183" s="27" t="str">
        <f>IFERROR(VLOOKUP(J183,Substituicoes!K:K,1,0),"SS")</f>
        <v>SS</v>
      </c>
      <c r="M183" s="28" t="b">
        <f t="shared" si="22"/>
        <v>1</v>
      </c>
      <c r="N183" s="29">
        <f>IF(AND(K183=L183,LEFT(E183,1)="T"),VLOOKUP(A183,'JOGOS BASE'!A:E,4,0),IF(K183=J183,VLOOKUP(J183,Substituicoes!J:R,6,0),IF(L183=J183,VLOOKUP(Escalacao!J183,Substituicoes!K:R,7,0),0)))</f>
        <v>46</v>
      </c>
      <c r="O183" s="28">
        <f>IF(AND(K183=L183,LEFT(E183,1)="T"),VLOOKUP(A183,'JOGOS BASE'!A:E,5,0),IF(K183=J183,VLOOKUP(J183,Substituicoes!J:R,7,0),IF(L183=J183,VLOOKUP(Escalacao!J183,Substituicoes!K:R,8,0),0)))</f>
        <v>48</v>
      </c>
      <c r="P183" s="28">
        <f t="shared" si="23"/>
        <v>94</v>
      </c>
      <c r="Q183" s="28" t="str">
        <f t="shared" si="24"/>
        <v>52Sampaio Corrêa - MA</v>
      </c>
      <c r="R183" s="28" t="str">
        <f>VLOOKUP(A183,'JOGOS BASE'!A:H,8)</f>
        <v>15.01.2025 - IAPE - MA x Sampaio Corrêa - MA</v>
      </c>
    </row>
    <row r="184" spans="1:18" ht="30.6">
      <c r="A184" s="15">
        <v>5</v>
      </c>
      <c r="B184" s="46">
        <v>3</v>
      </c>
      <c r="C184" s="45" t="s">
        <v>13</v>
      </c>
      <c r="D184" s="45" t="s">
        <v>63</v>
      </c>
      <c r="E184" s="47" t="s">
        <v>26</v>
      </c>
      <c r="F184" s="47" t="s">
        <v>24</v>
      </c>
      <c r="G184" s="46">
        <v>657429</v>
      </c>
      <c r="H184" s="15" t="s">
        <v>122</v>
      </c>
      <c r="I184" s="26" t="str">
        <f t="shared" si="20"/>
        <v>Eduardo</v>
      </c>
      <c r="J184" s="26" t="str">
        <f t="shared" si="21"/>
        <v>5Sampaio Corrêa - MA3</v>
      </c>
      <c r="K184" s="27" t="str">
        <f>IFERROR(VLOOKUP(J184,Substituicoes!J:J,1,0),"SS")</f>
        <v>SS</v>
      </c>
      <c r="L184" s="27" t="str">
        <f>IFERROR(VLOOKUP(J184,Substituicoes!K:K,1,0),"SS")</f>
        <v>SS</v>
      </c>
      <c r="M184" s="28" t="b">
        <f t="shared" si="22"/>
        <v>1</v>
      </c>
      <c r="N184" s="29">
        <f>IF(AND(K184=L184,LEFT(E184,1)="T"),VLOOKUP(A184,'JOGOS BASE'!A:E,4,0),IF(K184=J184,VLOOKUP(J184,Substituicoes!J:R,6,0),IF(L184=J184,VLOOKUP(Escalacao!J184,Substituicoes!K:R,7,0),0)))</f>
        <v>46</v>
      </c>
      <c r="O184" s="28">
        <f>IF(AND(K184=L184,LEFT(E184,1)="T"),VLOOKUP(A184,'JOGOS BASE'!A:E,5,0),IF(K184=J184,VLOOKUP(J184,Substituicoes!J:R,7,0),IF(L184=J184,VLOOKUP(Escalacao!J184,Substituicoes!K:R,8,0),0)))</f>
        <v>48</v>
      </c>
      <c r="P184" s="28">
        <f t="shared" si="23"/>
        <v>94</v>
      </c>
      <c r="Q184" s="28" t="str">
        <f t="shared" si="24"/>
        <v>53Sampaio Corrêa - MA</v>
      </c>
      <c r="R184" s="28" t="str">
        <f>VLOOKUP(A184,'JOGOS BASE'!A:H,8)</f>
        <v>15.01.2025 - IAPE - MA x Sampaio Corrêa - MA</v>
      </c>
    </row>
    <row r="185" spans="1:18" ht="30.6">
      <c r="A185" s="15">
        <v>5</v>
      </c>
      <c r="B185" s="46">
        <v>4</v>
      </c>
      <c r="C185" s="45" t="s">
        <v>14</v>
      </c>
      <c r="D185" s="45" t="s">
        <v>64</v>
      </c>
      <c r="E185" s="47" t="s">
        <v>26</v>
      </c>
      <c r="F185" s="47" t="s">
        <v>24</v>
      </c>
      <c r="G185" s="46">
        <v>298371</v>
      </c>
      <c r="H185" s="15" t="s">
        <v>122</v>
      </c>
      <c r="I185" s="26" t="str">
        <f t="shared" si="20"/>
        <v>Fabio</v>
      </c>
      <c r="J185" s="26" t="str">
        <f t="shared" si="21"/>
        <v>5Sampaio Corrêa - MA4</v>
      </c>
      <c r="K185" s="27" t="str">
        <f>IFERROR(VLOOKUP(J185,Substituicoes!J:J,1,0),"SS")</f>
        <v>SS</v>
      </c>
      <c r="L185" s="27" t="str">
        <f>IFERROR(VLOOKUP(J185,Substituicoes!K:K,1,0),"SS")</f>
        <v>SS</v>
      </c>
      <c r="M185" s="28" t="b">
        <f t="shared" si="22"/>
        <v>1</v>
      </c>
      <c r="N185" s="29">
        <f>IF(AND(K185=L185,LEFT(E185,1)="T"),VLOOKUP(A185,'JOGOS BASE'!A:E,4,0),IF(K185=J185,VLOOKUP(J185,Substituicoes!J:R,6,0),IF(L185=J185,VLOOKUP(Escalacao!J185,Substituicoes!K:R,7,0),0)))</f>
        <v>46</v>
      </c>
      <c r="O185" s="28">
        <f>IF(AND(K185=L185,LEFT(E185,1)="T"),VLOOKUP(A185,'JOGOS BASE'!A:E,5,0),IF(K185=J185,VLOOKUP(J185,Substituicoes!J:R,7,0),IF(L185=J185,VLOOKUP(Escalacao!J185,Substituicoes!K:R,8,0),0)))</f>
        <v>48</v>
      </c>
      <c r="P185" s="28">
        <f t="shared" si="23"/>
        <v>94</v>
      </c>
      <c r="Q185" s="28" t="str">
        <f t="shared" si="24"/>
        <v>54Sampaio Corrêa - MA</v>
      </c>
      <c r="R185" s="28" t="str">
        <f>VLOOKUP(A185,'JOGOS BASE'!A:H,8)</f>
        <v>15.01.2025 - IAPE - MA x Sampaio Corrêa - MA</v>
      </c>
    </row>
    <row r="186" spans="1:18" ht="30.6">
      <c r="A186" s="15">
        <v>5</v>
      </c>
      <c r="B186" s="46">
        <v>5</v>
      </c>
      <c r="C186" s="45" t="s">
        <v>15</v>
      </c>
      <c r="D186" s="45" t="s">
        <v>65</v>
      </c>
      <c r="E186" s="47" t="s">
        <v>26</v>
      </c>
      <c r="F186" s="47" t="s">
        <v>24</v>
      </c>
      <c r="G186" s="46">
        <v>509723</v>
      </c>
      <c r="H186" s="15" t="s">
        <v>122</v>
      </c>
      <c r="I186" s="26" t="str">
        <f t="shared" si="20"/>
        <v>Cavi</v>
      </c>
      <c r="J186" s="26" t="str">
        <f t="shared" si="21"/>
        <v>5Sampaio Corrêa - MA5</v>
      </c>
      <c r="K186" s="27" t="str">
        <f>IFERROR(VLOOKUP(J186,Substituicoes!J:J,1,0),"SS")</f>
        <v>SS</v>
      </c>
      <c r="L186" s="27" t="str">
        <f>IFERROR(VLOOKUP(J186,Substituicoes!K:K,1,0),"SS")</f>
        <v>SS</v>
      </c>
      <c r="M186" s="28" t="b">
        <f t="shared" si="22"/>
        <v>1</v>
      </c>
      <c r="N186" s="29">
        <f>IF(AND(K186=L186,LEFT(E186,1)="T"),VLOOKUP(A186,'JOGOS BASE'!A:E,4,0),IF(K186=J186,VLOOKUP(J186,Substituicoes!J:R,6,0),IF(L186=J186,VLOOKUP(Escalacao!J186,Substituicoes!K:R,7,0),0)))</f>
        <v>46</v>
      </c>
      <c r="O186" s="28">
        <f>IF(AND(K186=L186,LEFT(E186,1)="T"),VLOOKUP(A186,'JOGOS BASE'!A:E,5,0),IF(K186=J186,VLOOKUP(J186,Substituicoes!J:R,7,0),IF(L186=J186,VLOOKUP(Escalacao!J186,Substituicoes!K:R,8,0),0)))</f>
        <v>48</v>
      </c>
      <c r="P186" s="28">
        <f t="shared" si="23"/>
        <v>94</v>
      </c>
      <c r="Q186" s="28" t="str">
        <f t="shared" si="24"/>
        <v>55Sampaio Corrêa - MA</v>
      </c>
      <c r="R186" s="28" t="str">
        <f>VLOOKUP(A186,'JOGOS BASE'!A:H,8)</f>
        <v>15.01.2025 - IAPE - MA x Sampaio Corrêa - MA</v>
      </c>
    </row>
    <row r="187" spans="1:18" ht="30.6">
      <c r="A187" s="15">
        <v>5</v>
      </c>
      <c r="B187" s="46">
        <v>6</v>
      </c>
      <c r="C187" s="45" t="s">
        <v>66</v>
      </c>
      <c r="D187" s="45" t="s">
        <v>67</v>
      </c>
      <c r="E187" s="47" t="s">
        <v>26</v>
      </c>
      <c r="F187" s="47" t="s">
        <v>24</v>
      </c>
      <c r="G187" s="46">
        <v>520878</v>
      </c>
      <c r="H187" s="15" t="s">
        <v>122</v>
      </c>
      <c r="I187" s="26" t="str">
        <f t="shared" si="20"/>
        <v>Thiago Rosa</v>
      </c>
      <c r="J187" s="26" t="str">
        <f t="shared" si="21"/>
        <v>5Sampaio Corrêa - MA6</v>
      </c>
      <c r="K187" s="27" t="str">
        <f>IFERROR(VLOOKUP(J187,Substituicoes!J:J,1,0),"SS")</f>
        <v>SS</v>
      </c>
      <c r="L187" s="27" t="str">
        <f>IFERROR(VLOOKUP(J187,Substituicoes!K:K,1,0),"SS")</f>
        <v>SS</v>
      </c>
      <c r="M187" s="28" t="b">
        <f t="shared" si="22"/>
        <v>1</v>
      </c>
      <c r="N187" s="29">
        <f>IF(AND(K187=L187,LEFT(E187,1)="T"),VLOOKUP(A187,'JOGOS BASE'!A:E,4,0),IF(K187=J187,VLOOKUP(J187,Substituicoes!J:R,6,0),IF(L187=J187,VLOOKUP(Escalacao!J187,Substituicoes!K:R,7,0),0)))</f>
        <v>46</v>
      </c>
      <c r="O187" s="28">
        <f>IF(AND(K187=L187,LEFT(E187,1)="T"),VLOOKUP(A187,'JOGOS BASE'!A:E,5,0),IF(K187=J187,VLOOKUP(J187,Substituicoes!J:R,7,0),IF(L187=J187,VLOOKUP(Escalacao!J187,Substituicoes!K:R,8,0),0)))</f>
        <v>48</v>
      </c>
      <c r="P187" s="28">
        <f t="shared" si="23"/>
        <v>94</v>
      </c>
      <c r="Q187" s="28" t="str">
        <f t="shared" si="24"/>
        <v>56Sampaio Corrêa - MA</v>
      </c>
      <c r="R187" s="28" t="str">
        <f>VLOOKUP(A187,'JOGOS BASE'!A:H,8)</f>
        <v>15.01.2025 - IAPE - MA x Sampaio Corrêa - MA</v>
      </c>
    </row>
    <row r="188" spans="1:18" ht="30.6">
      <c r="A188" s="15">
        <v>5</v>
      </c>
      <c r="B188" s="46">
        <v>7</v>
      </c>
      <c r="C188" s="45" t="s">
        <v>92</v>
      </c>
      <c r="D188" s="45" t="s">
        <v>93</v>
      </c>
      <c r="E188" s="47" t="s">
        <v>26</v>
      </c>
      <c r="F188" s="47" t="s">
        <v>24</v>
      </c>
      <c r="G188" s="46">
        <v>432056</v>
      </c>
      <c r="H188" s="15" t="s">
        <v>122</v>
      </c>
      <c r="I188" s="26" t="str">
        <f t="shared" si="20"/>
        <v>Thiago</v>
      </c>
      <c r="J188" s="26" t="str">
        <f t="shared" si="21"/>
        <v>5Sampaio Corrêa - MA7</v>
      </c>
      <c r="K188" s="27" t="str">
        <f>IFERROR(VLOOKUP(J188,Substituicoes!J:J,1,0),"SS")</f>
        <v>SS</v>
      </c>
      <c r="L188" s="27" t="str">
        <f>IFERROR(VLOOKUP(J188,Substituicoes!K:K,1,0),"SS")</f>
        <v>5Sampaio Corrêa - MA7</v>
      </c>
      <c r="M188" s="28" t="b">
        <f t="shared" si="22"/>
        <v>0</v>
      </c>
      <c r="N188" s="29">
        <f>IF(AND(K188=L188,LEFT(E188,1)="T"),VLOOKUP(A188,'JOGOS BASE'!A:E,4,0),IF(K188=J188,VLOOKUP(J188,Substituicoes!J:R,6,0),IF(L188=J188,VLOOKUP(Escalacao!J188,Substituicoes!K:R,7,0),0)))</f>
        <v>46</v>
      </c>
      <c r="O188" s="28">
        <f>IF(AND(K188=L188,LEFT(E188,1)="T"),VLOOKUP(A188,'JOGOS BASE'!A:E,5,0),IF(K188=J188,VLOOKUP(J188,Substituicoes!J:R,7,0),IF(L188=J188,VLOOKUP(Escalacao!J188,Substituicoes!K:R,8,0),0)))</f>
        <v>14</v>
      </c>
      <c r="P188" s="28">
        <f t="shared" si="23"/>
        <v>60</v>
      </c>
      <c r="Q188" s="28" t="str">
        <f t="shared" si="24"/>
        <v>57Sampaio Corrêa - MA</v>
      </c>
      <c r="R188" s="28" t="str">
        <f>VLOOKUP(A188,'JOGOS BASE'!A:H,8)</f>
        <v>15.01.2025 - IAPE - MA x Sampaio Corrêa - MA</v>
      </c>
    </row>
    <row r="189" spans="1:18" ht="30.6">
      <c r="A189" s="15">
        <v>5</v>
      </c>
      <c r="B189" s="46">
        <v>8</v>
      </c>
      <c r="C189" s="45" t="s">
        <v>70</v>
      </c>
      <c r="D189" s="45" t="s">
        <v>71</v>
      </c>
      <c r="E189" s="47" t="s">
        <v>26</v>
      </c>
      <c r="F189" s="47" t="s">
        <v>24</v>
      </c>
      <c r="G189" s="46">
        <v>525569</v>
      </c>
      <c r="H189" s="15" t="s">
        <v>122</v>
      </c>
      <c r="I189" s="26" t="str">
        <f t="shared" si="20"/>
        <v>Isaias</v>
      </c>
      <c r="J189" s="26" t="str">
        <f t="shared" si="21"/>
        <v>5Sampaio Corrêa - MA8</v>
      </c>
      <c r="K189" s="27" t="str">
        <f>IFERROR(VLOOKUP(J189,Substituicoes!J:J,1,0),"SS")</f>
        <v>SS</v>
      </c>
      <c r="L189" s="27" t="str">
        <f>IFERROR(VLOOKUP(J189,Substituicoes!K:K,1,0),"SS")</f>
        <v>5Sampaio Corrêa - MA8</v>
      </c>
      <c r="M189" s="28" t="b">
        <f t="shared" si="22"/>
        <v>0</v>
      </c>
      <c r="N189" s="29">
        <f>IF(AND(K189=L189,LEFT(E189,1)="T"),VLOOKUP(A189,'JOGOS BASE'!A:E,4,0),IF(K189=J189,VLOOKUP(J189,Substituicoes!J:R,6,0),IF(L189=J189,VLOOKUP(Escalacao!J189,Substituicoes!K:R,7,0),0)))</f>
        <v>46</v>
      </c>
      <c r="O189" s="28">
        <f>IF(AND(K189=L189,LEFT(E189,1)="T"),VLOOKUP(A189,'JOGOS BASE'!A:E,5,0),IF(K189=J189,VLOOKUP(J189,Substituicoes!J:R,7,0),IF(L189=J189,VLOOKUP(Escalacao!J189,Substituicoes!K:R,8,0),0)))</f>
        <v>33</v>
      </c>
      <c r="P189" s="28">
        <f t="shared" si="23"/>
        <v>79</v>
      </c>
      <c r="Q189" s="28" t="str">
        <f t="shared" si="24"/>
        <v>58Sampaio Corrêa - MA</v>
      </c>
      <c r="R189" s="28" t="str">
        <f>VLOOKUP(A189,'JOGOS BASE'!A:H,8)</f>
        <v>15.01.2025 - IAPE - MA x Sampaio Corrêa - MA</v>
      </c>
    </row>
    <row r="190" spans="1:18" ht="30.6">
      <c r="A190" s="15">
        <v>5</v>
      </c>
      <c r="B190" s="46">
        <v>9</v>
      </c>
      <c r="C190" s="45" t="s">
        <v>72</v>
      </c>
      <c r="D190" s="45" t="s">
        <v>73</v>
      </c>
      <c r="E190" s="47" t="s">
        <v>26</v>
      </c>
      <c r="F190" s="47" t="s">
        <v>24</v>
      </c>
      <c r="G190" s="46">
        <v>436356</v>
      </c>
      <c r="H190" s="15" t="s">
        <v>122</v>
      </c>
      <c r="I190" s="26" t="str">
        <f t="shared" si="20"/>
        <v>Alan James</v>
      </c>
      <c r="J190" s="26" t="str">
        <f t="shared" si="21"/>
        <v>5Sampaio Corrêa - MA9</v>
      </c>
      <c r="K190" s="27" t="str">
        <f>IFERROR(VLOOKUP(J190,Substituicoes!J:J,1,0),"SS")</f>
        <v>SS</v>
      </c>
      <c r="L190" s="27" t="str">
        <f>IFERROR(VLOOKUP(J190,Substituicoes!K:K,1,0),"SS")</f>
        <v>5Sampaio Corrêa - MA9</v>
      </c>
      <c r="M190" s="28" t="b">
        <f t="shared" si="22"/>
        <v>0</v>
      </c>
      <c r="N190" s="29">
        <f>IF(AND(K190=L190,LEFT(E190,1)="T"),VLOOKUP(A190,'JOGOS BASE'!A:E,4,0),IF(K190=J190,VLOOKUP(J190,Substituicoes!J:R,6,0),IF(L190=J190,VLOOKUP(Escalacao!J190,Substituicoes!K:R,7,0),0)))</f>
        <v>46</v>
      </c>
      <c r="O190" s="28">
        <f>IF(AND(K190=L190,LEFT(E190,1)="T"),VLOOKUP(A190,'JOGOS BASE'!A:E,5,0),IF(K190=J190,VLOOKUP(J190,Substituicoes!J:R,7,0),IF(L190=J190,VLOOKUP(Escalacao!J190,Substituicoes!K:R,8,0),0)))</f>
        <v>35</v>
      </c>
      <c r="P190" s="28">
        <f t="shared" si="23"/>
        <v>81</v>
      </c>
      <c r="Q190" s="28" t="str">
        <f t="shared" si="24"/>
        <v>59Sampaio Corrêa - MA</v>
      </c>
      <c r="R190" s="28" t="str">
        <f>VLOOKUP(A190,'JOGOS BASE'!A:H,8)</f>
        <v>15.01.2025 - IAPE - MA x Sampaio Corrêa - MA</v>
      </c>
    </row>
    <row r="191" spans="1:18" ht="30.6">
      <c r="A191" s="15">
        <v>5</v>
      </c>
      <c r="B191" s="46">
        <v>10</v>
      </c>
      <c r="C191" s="45" t="s">
        <v>74</v>
      </c>
      <c r="D191" s="45" t="s">
        <v>75</v>
      </c>
      <c r="E191" s="47" t="s">
        <v>26</v>
      </c>
      <c r="F191" s="47" t="s">
        <v>24</v>
      </c>
      <c r="G191" s="46">
        <v>668800</v>
      </c>
      <c r="H191" s="15" t="s">
        <v>122</v>
      </c>
      <c r="I191" s="26" t="str">
        <f t="shared" si="20"/>
        <v>STENCE</v>
      </c>
      <c r="J191" s="26" t="str">
        <f t="shared" si="21"/>
        <v>5Sampaio Corrêa - MA10</v>
      </c>
      <c r="K191" s="27" t="str">
        <f>IFERROR(VLOOKUP(J191,Substituicoes!J:J,1,0),"SS")</f>
        <v>SS</v>
      </c>
      <c r="L191" s="27" t="str">
        <f>IFERROR(VLOOKUP(J191,Substituicoes!K:K,1,0),"SS")</f>
        <v>5Sampaio Corrêa - MA10</v>
      </c>
      <c r="M191" s="28" t="b">
        <f t="shared" si="22"/>
        <v>0</v>
      </c>
      <c r="N191" s="29">
        <f>IF(AND(K191=L191,LEFT(E191,1)="T"),VLOOKUP(A191,'JOGOS BASE'!A:E,4,0),IF(K191=J191,VLOOKUP(J191,Substituicoes!J:R,6,0),IF(L191=J191,VLOOKUP(Escalacao!J191,Substituicoes!K:R,7,0),0)))</f>
        <v>46</v>
      </c>
      <c r="O191" s="28">
        <f>IF(AND(K191=L191,LEFT(E191,1)="T"),VLOOKUP(A191,'JOGOS BASE'!A:E,5,0),IF(K191=J191,VLOOKUP(J191,Substituicoes!J:R,7,0),IF(L191=J191,VLOOKUP(Escalacao!J191,Substituicoes!K:R,8,0),0)))</f>
        <v>0</v>
      </c>
      <c r="P191" s="28">
        <f t="shared" si="23"/>
        <v>46</v>
      </c>
      <c r="Q191" s="28" t="str">
        <f t="shared" si="24"/>
        <v>510Sampaio Corrêa - MA</v>
      </c>
      <c r="R191" s="28" t="str">
        <f>VLOOKUP(A191,'JOGOS BASE'!A:H,8)</f>
        <v>15.01.2025 - IAPE - MA x Sampaio Corrêa - MA</v>
      </c>
    </row>
    <row r="192" spans="1:18" ht="30.6">
      <c r="A192" s="15">
        <v>5</v>
      </c>
      <c r="B192" s="46">
        <v>17</v>
      </c>
      <c r="C192" s="45" t="s">
        <v>76</v>
      </c>
      <c r="D192" s="45" t="s">
        <v>77</v>
      </c>
      <c r="E192" s="47" t="s">
        <v>26</v>
      </c>
      <c r="F192" s="47" t="s">
        <v>24</v>
      </c>
      <c r="G192" s="46">
        <v>612220</v>
      </c>
      <c r="H192" s="15" t="s">
        <v>122</v>
      </c>
      <c r="I192" s="26" t="str">
        <f t="shared" si="20"/>
        <v>Wendell</v>
      </c>
      <c r="J192" s="26" t="str">
        <f t="shared" si="21"/>
        <v>5Sampaio Corrêa - MA17</v>
      </c>
      <c r="K192" s="27" t="str">
        <f>IFERROR(VLOOKUP(J192,Substituicoes!J:J,1,0),"SS")</f>
        <v>SS</v>
      </c>
      <c r="L192" s="27" t="str">
        <f>IFERROR(VLOOKUP(J192,Substituicoes!K:K,1,0),"SS")</f>
        <v>5Sampaio Corrêa - MA17</v>
      </c>
      <c r="M192" s="28" t="b">
        <f t="shared" si="22"/>
        <v>0</v>
      </c>
      <c r="N192" s="29">
        <f>IF(AND(K192=L192,LEFT(E192,1)="T"),VLOOKUP(A192,'JOGOS BASE'!A:E,4,0),IF(K192=J192,VLOOKUP(J192,Substituicoes!J:R,6,0),IF(L192=J192,VLOOKUP(Escalacao!J192,Substituicoes!K:R,7,0),0)))</f>
        <v>46</v>
      </c>
      <c r="O192" s="28">
        <f>IF(AND(K192=L192,LEFT(E192,1)="T"),VLOOKUP(A192,'JOGOS BASE'!A:E,5,0),IF(K192=J192,VLOOKUP(J192,Substituicoes!J:R,7,0),IF(L192=J192,VLOOKUP(Escalacao!J192,Substituicoes!K:R,8,0),0)))</f>
        <v>0</v>
      </c>
      <c r="P192" s="28">
        <f t="shared" si="23"/>
        <v>46</v>
      </c>
      <c r="Q192" s="28" t="str">
        <f t="shared" si="24"/>
        <v>517Sampaio Corrêa - MA</v>
      </c>
      <c r="R192" s="28" t="str">
        <f>VLOOKUP(A192,'JOGOS BASE'!A:H,8)</f>
        <v>15.01.2025 - IAPE - MA x Sampaio Corrêa - MA</v>
      </c>
    </row>
    <row r="193" spans="1:18" ht="30.6">
      <c r="A193" s="15">
        <v>5</v>
      </c>
      <c r="B193" s="46">
        <v>12</v>
      </c>
      <c r="C193" s="45" t="s">
        <v>78</v>
      </c>
      <c r="D193" s="45" t="s">
        <v>79</v>
      </c>
      <c r="E193" s="47" t="s">
        <v>40</v>
      </c>
      <c r="F193" s="47" t="s">
        <v>24</v>
      </c>
      <c r="G193" s="46">
        <v>387319</v>
      </c>
      <c r="H193" s="15" t="s">
        <v>122</v>
      </c>
      <c r="I193" s="26" t="str">
        <f t="shared" si="20"/>
        <v>Rhuan</v>
      </c>
      <c r="J193" s="26" t="str">
        <f t="shared" si="21"/>
        <v>5Sampaio Corrêa - MA12</v>
      </c>
      <c r="K193" s="27" t="str">
        <f>IFERROR(VLOOKUP(J193,Substituicoes!J:J,1,0),"SS")</f>
        <v>SS</v>
      </c>
      <c r="L193" s="27" t="str">
        <f>IFERROR(VLOOKUP(J193,Substituicoes!K:K,1,0),"SS")</f>
        <v>SS</v>
      </c>
      <c r="M193" s="28" t="b">
        <f t="shared" si="22"/>
        <v>1</v>
      </c>
      <c r="N193" s="29">
        <f>IF(AND(K193=L193,LEFT(E193,1)="T"),VLOOKUP(A193,'JOGOS BASE'!A:E,4,0),IF(K193=J193,VLOOKUP(J193,Substituicoes!J:R,6,0),IF(L193=J193,VLOOKUP(Escalacao!J193,Substituicoes!K:R,7,0),0)))</f>
        <v>0</v>
      </c>
      <c r="O193" s="28">
        <f>IF(AND(K193=L193,LEFT(E193,1)="T"),VLOOKUP(A193,'JOGOS BASE'!A:E,5,0),IF(K193=J193,VLOOKUP(J193,Substituicoes!J:R,7,0),IF(L193=J193,VLOOKUP(Escalacao!J193,Substituicoes!K:R,8,0),0)))</f>
        <v>0</v>
      </c>
      <c r="P193" s="28">
        <f t="shared" si="23"/>
        <v>0</v>
      </c>
      <c r="Q193" s="28" t="str">
        <f t="shared" si="24"/>
        <v>512Sampaio Corrêa - MA</v>
      </c>
      <c r="R193" s="28" t="str">
        <f>VLOOKUP(A193,'JOGOS BASE'!A:H,8)</f>
        <v>15.01.2025 - IAPE - MA x Sampaio Corrêa - MA</v>
      </c>
    </row>
    <row r="194" spans="1:18" ht="30.6">
      <c r="A194" s="15">
        <v>5</v>
      </c>
      <c r="B194" s="46">
        <v>11</v>
      </c>
      <c r="C194" s="45" t="s">
        <v>476</v>
      </c>
      <c r="D194" s="45" t="s">
        <v>477</v>
      </c>
      <c r="E194" s="47" t="s">
        <v>42</v>
      </c>
      <c r="F194" s="47" t="s">
        <v>24</v>
      </c>
      <c r="G194" s="46">
        <v>183546</v>
      </c>
      <c r="H194" s="15" t="s">
        <v>122</v>
      </c>
      <c r="I194" s="26" t="str">
        <f t="shared" si="20"/>
        <v>Pimentinha</v>
      </c>
      <c r="J194" s="26" t="str">
        <f t="shared" si="21"/>
        <v>5Sampaio Corrêa - MA11</v>
      </c>
      <c r="K194" s="27" t="str">
        <f>IFERROR(VLOOKUP(J194,Substituicoes!J:J,1,0),"SS")</f>
        <v>5Sampaio Corrêa - MA11</v>
      </c>
      <c r="L194" s="27" t="str">
        <f>IFERROR(VLOOKUP(J194,Substituicoes!K:K,1,0),"SS")</f>
        <v>SS</v>
      </c>
      <c r="M194" s="28" t="b">
        <f t="shared" si="22"/>
        <v>0</v>
      </c>
      <c r="N194" s="29">
        <f>IF(AND(K194=L194,LEFT(E194,1)="T"),VLOOKUP(A194,'JOGOS BASE'!A:E,4,0),IF(K194=J194,VLOOKUP(J194,Substituicoes!J:R,6,0),IF(L194=J194,VLOOKUP(Escalacao!J194,Substituicoes!K:R,7,0),0)))</f>
        <v>0</v>
      </c>
      <c r="O194" s="28">
        <f>IF(AND(K194=L194,LEFT(E194,1)="T"),VLOOKUP(A194,'JOGOS BASE'!A:E,5,0),IF(K194=J194,VLOOKUP(J194,Substituicoes!J:R,7,0),IF(L194=J194,VLOOKUP(Escalacao!J194,Substituicoes!K:R,8,0),0)))</f>
        <v>34</v>
      </c>
      <c r="P194" s="28">
        <f t="shared" si="23"/>
        <v>34</v>
      </c>
      <c r="Q194" s="28" t="str">
        <f t="shared" si="24"/>
        <v>511Sampaio Corrêa - MA</v>
      </c>
      <c r="R194" s="28" t="str">
        <f>VLOOKUP(A194,'JOGOS BASE'!A:H,8)</f>
        <v>15.01.2025 - IAPE - MA x Sampaio Corrêa - MA</v>
      </c>
    </row>
    <row r="195" spans="1:18" ht="30.6">
      <c r="A195" s="15">
        <v>5</v>
      </c>
      <c r="B195" s="46">
        <v>13</v>
      </c>
      <c r="C195" s="45" t="s">
        <v>80</v>
      </c>
      <c r="D195" s="45" t="s">
        <v>81</v>
      </c>
      <c r="E195" s="47" t="s">
        <v>42</v>
      </c>
      <c r="F195" s="47" t="s">
        <v>24</v>
      </c>
      <c r="G195" s="46">
        <v>590518</v>
      </c>
      <c r="H195" s="15" t="s">
        <v>122</v>
      </c>
      <c r="I195" s="26" t="str">
        <f t="shared" si="20"/>
        <v>GALVÃO</v>
      </c>
      <c r="J195" s="26" t="str">
        <f t="shared" si="21"/>
        <v>5Sampaio Corrêa - MA13</v>
      </c>
      <c r="K195" s="27" t="str">
        <f>IFERROR(VLOOKUP(J195,Substituicoes!J:J,1,0),"SS")</f>
        <v>SS</v>
      </c>
      <c r="L195" s="27" t="str">
        <f>IFERROR(VLOOKUP(J195,Substituicoes!K:K,1,0),"SS")</f>
        <v>SS</v>
      </c>
      <c r="M195" s="28" t="b">
        <f t="shared" si="22"/>
        <v>1</v>
      </c>
      <c r="N195" s="29">
        <f>IF(AND(K195=L195,LEFT(E195,1)="T"),VLOOKUP(A195,'JOGOS BASE'!A:E,4,0),IF(K195=J195,VLOOKUP(J195,Substituicoes!J:R,6,0),IF(L195=J195,VLOOKUP(Escalacao!J195,Substituicoes!K:R,7,0),0)))</f>
        <v>0</v>
      </c>
      <c r="O195" s="28">
        <f>IF(AND(K195=L195,LEFT(E195,1)="T"),VLOOKUP(A195,'JOGOS BASE'!A:E,5,0),IF(K195=J195,VLOOKUP(J195,Substituicoes!J:R,7,0),IF(L195=J195,VLOOKUP(Escalacao!J195,Substituicoes!K:R,8,0),0)))</f>
        <v>0</v>
      </c>
      <c r="P195" s="28">
        <f t="shared" si="23"/>
        <v>0</v>
      </c>
      <c r="Q195" s="28" t="str">
        <f t="shared" si="24"/>
        <v>513Sampaio Corrêa - MA</v>
      </c>
      <c r="R195" s="28" t="str">
        <f>VLOOKUP(A195,'JOGOS BASE'!A:H,8)</f>
        <v>15.01.2025 - IAPE - MA x Sampaio Corrêa - MA</v>
      </c>
    </row>
    <row r="196" spans="1:18" ht="30.6">
      <c r="A196" s="15">
        <v>5</v>
      </c>
      <c r="B196" s="46">
        <v>14</v>
      </c>
      <c r="C196" s="45" t="s">
        <v>82</v>
      </c>
      <c r="D196" s="45" t="s">
        <v>83</v>
      </c>
      <c r="E196" s="47" t="s">
        <v>42</v>
      </c>
      <c r="F196" s="47" t="s">
        <v>24</v>
      </c>
      <c r="G196" s="46">
        <v>552526</v>
      </c>
      <c r="H196" s="15" t="s">
        <v>122</v>
      </c>
      <c r="I196" s="26" t="str">
        <f t="shared" si="20"/>
        <v>Ray</v>
      </c>
      <c r="J196" s="26" t="str">
        <f t="shared" si="21"/>
        <v>5Sampaio Corrêa - MA14</v>
      </c>
      <c r="K196" s="27" t="str">
        <f>IFERROR(VLOOKUP(J196,Substituicoes!J:J,1,0),"SS")</f>
        <v>SS</v>
      </c>
      <c r="L196" s="27" t="str">
        <f>IFERROR(VLOOKUP(J196,Substituicoes!K:K,1,0),"SS")</f>
        <v>SS</v>
      </c>
      <c r="M196" s="28" t="b">
        <f t="shared" si="22"/>
        <v>1</v>
      </c>
      <c r="N196" s="29">
        <f>IF(AND(K196=L196,LEFT(E196,1)="T"),VLOOKUP(A196,'JOGOS BASE'!A:E,4,0),IF(K196=J196,VLOOKUP(J196,Substituicoes!J:R,6,0),IF(L196=J196,VLOOKUP(Escalacao!J196,Substituicoes!K:R,7,0),0)))</f>
        <v>0</v>
      </c>
      <c r="O196" s="28">
        <f>IF(AND(K196=L196,LEFT(E196,1)="T"),VLOOKUP(A196,'JOGOS BASE'!A:E,5,0),IF(K196=J196,VLOOKUP(J196,Substituicoes!J:R,7,0),IF(L196=J196,VLOOKUP(Escalacao!J196,Substituicoes!K:R,8,0),0)))</f>
        <v>0</v>
      </c>
      <c r="P196" s="28">
        <f t="shared" si="23"/>
        <v>0</v>
      </c>
      <c r="Q196" s="28" t="str">
        <f t="shared" si="24"/>
        <v>514Sampaio Corrêa - MA</v>
      </c>
      <c r="R196" s="28" t="str">
        <f>VLOOKUP(A196,'JOGOS BASE'!A:H,8)</f>
        <v>15.01.2025 - IAPE - MA x Sampaio Corrêa - MA</v>
      </c>
    </row>
    <row r="197" spans="1:18" ht="30.6">
      <c r="A197" s="15">
        <v>5</v>
      </c>
      <c r="B197" s="46">
        <v>15</v>
      </c>
      <c r="C197" s="45" t="s">
        <v>84</v>
      </c>
      <c r="D197" s="45" t="s">
        <v>85</v>
      </c>
      <c r="E197" s="47" t="s">
        <v>42</v>
      </c>
      <c r="F197" s="47" t="s">
        <v>24</v>
      </c>
      <c r="G197" s="46">
        <v>523681</v>
      </c>
      <c r="H197" s="15" t="s">
        <v>122</v>
      </c>
      <c r="I197" s="26" t="str">
        <f t="shared" si="20"/>
        <v>Jairzinho</v>
      </c>
      <c r="J197" s="26" t="str">
        <f t="shared" si="21"/>
        <v>5Sampaio Corrêa - MA15</v>
      </c>
      <c r="K197" s="27" t="str">
        <f>IFERROR(VLOOKUP(J197,Substituicoes!J:J,1,0),"SS")</f>
        <v>5Sampaio Corrêa - MA15</v>
      </c>
      <c r="L197" s="27" t="str">
        <f>IFERROR(VLOOKUP(J197,Substituicoes!K:K,1,0),"SS")</f>
        <v>SS</v>
      </c>
      <c r="M197" s="28" t="b">
        <f t="shared" si="22"/>
        <v>0</v>
      </c>
      <c r="N197" s="29">
        <f>IF(AND(K197=L197,LEFT(E197,1)="T"),VLOOKUP(A197,'JOGOS BASE'!A:E,4,0),IF(K197=J197,VLOOKUP(J197,Substituicoes!J:R,6,0),IF(L197=J197,VLOOKUP(Escalacao!J197,Substituicoes!K:R,7,0),0)))</f>
        <v>0</v>
      </c>
      <c r="O197" s="28">
        <f>IF(AND(K197=L197,LEFT(E197,1)="T"),VLOOKUP(A197,'JOGOS BASE'!A:E,5,0),IF(K197=J197,VLOOKUP(J197,Substituicoes!J:R,7,0),IF(L197=J197,VLOOKUP(Escalacao!J197,Substituicoes!K:R,8,0),0)))</f>
        <v>15</v>
      </c>
      <c r="P197" s="28">
        <f t="shared" si="23"/>
        <v>15</v>
      </c>
      <c r="Q197" s="28" t="str">
        <f t="shared" si="24"/>
        <v>515Sampaio Corrêa - MA</v>
      </c>
      <c r="R197" s="28" t="str">
        <f>VLOOKUP(A197,'JOGOS BASE'!A:H,8)</f>
        <v>15.01.2025 - IAPE - MA x Sampaio Corrêa - MA</v>
      </c>
    </row>
    <row r="198" spans="1:18" ht="30.6">
      <c r="A198" s="15">
        <v>5</v>
      </c>
      <c r="B198" s="46">
        <v>16</v>
      </c>
      <c r="C198" s="45" t="s">
        <v>478</v>
      </c>
      <c r="D198" s="45" t="s">
        <v>479</v>
      </c>
      <c r="E198" s="47" t="s">
        <v>42</v>
      </c>
      <c r="F198" s="47" t="s">
        <v>24</v>
      </c>
      <c r="G198" s="46">
        <v>636795</v>
      </c>
      <c r="H198" s="15" t="s">
        <v>122</v>
      </c>
      <c r="I198" s="26" t="str">
        <f t="shared" si="20"/>
        <v>Elivelton</v>
      </c>
      <c r="J198" s="26" t="str">
        <f t="shared" si="21"/>
        <v>5Sampaio Corrêa - MA16</v>
      </c>
      <c r="K198" s="27" t="str">
        <f>IFERROR(VLOOKUP(J198,Substituicoes!J:J,1,0),"SS")</f>
        <v>SS</v>
      </c>
      <c r="L198" s="27" t="str">
        <f>IFERROR(VLOOKUP(J198,Substituicoes!K:K,1,0),"SS")</f>
        <v>SS</v>
      </c>
      <c r="M198" s="28" t="b">
        <f t="shared" si="22"/>
        <v>1</v>
      </c>
      <c r="N198" s="29">
        <f>IF(AND(K198=L198,LEFT(E198,1)="T"),VLOOKUP(A198,'JOGOS BASE'!A:E,4,0),IF(K198=J198,VLOOKUP(J198,Substituicoes!J:R,6,0),IF(L198=J198,VLOOKUP(Escalacao!J198,Substituicoes!K:R,7,0),0)))</f>
        <v>0</v>
      </c>
      <c r="O198" s="28">
        <f>IF(AND(K198=L198,LEFT(E198,1)="T"),VLOOKUP(A198,'JOGOS BASE'!A:E,5,0),IF(K198=J198,VLOOKUP(J198,Substituicoes!J:R,7,0),IF(L198=J198,VLOOKUP(Escalacao!J198,Substituicoes!K:R,8,0),0)))</f>
        <v>0</v>
      </c>
      <c r="P198" s="28">
        <f t="shared" si="23"/>
        <v>0</v>
      </c>
      <c r="Q198" s="28" t="str">
        <f t="shared" si="24"/>
        <v>516Sampaio Corrêa - MA</v>
      </c>
      <c r="R198" s="28" t="str">
        <f>VLOOKUP(A198,'JOGOS BASE'!A:H,8)</f>
        <v>15.01.2025 - IAPE - MA x Sampaio Corrêa - MA</v>
      </c>
    </row>
    <row r="199" spans="1:18" ht="30.6">
      <c r="A199" s="15">
        <v>5</v>
      </c>
      <c r="B199" s="46">
        <v>18</v>
      </c>
      <c r="C199" s="45" t="s">
        <v>90</v>
      </c>
      <c r="D199" s="45" t="s">
        <v>91</v>
      </c>
      <c r="E199" s="47" t="s">
        <v>42</v>
      </c>
      <c r="F199" s="47" t="s">
        <v>24</v>
      </c>
      <c r="G199" s="46">
        <v>335977</v>
      </c>
      <c r="H199" s="15" t="s">
        <v>122</v>
      </c>
      <c r="I199" s="26" t="str">
        <f t="shared" si="20"/>
        <v>Bruno Matos</v>
      </c>
      <c r="J199" s="26" t="str">
        <f t="shared" si="21"/>
        <v>5Sampaio Corrêa - MA18</v>
      </c>
      <c r="K199" s="27" t="str">
        <f>IFERROR(VLOOKUP(J199,Substituicoes!J:J,1,0),"SS")</f>
        <v>5Sampaio Corrêa - MA18</v>
      </c>
      <c r="L199" s="27" t="str">
        <f>IFERROR(VLOOKUP(J199,Substituicoes!K:K,1,0),"SS")</f>
        <v>SS</v>
      </c>
      <c r="M199" s="28" t="b">
        <f t="shared" si="22"/>
        <v>0</v>
      </c>
      <c r="N199" s="29">
        <f>IF(AND(K199=L199,LEFT(E199,1)="T"),VLOOKUP(A199,'JOGOS BASE'!A:E,4,0),IF(K199=J199,VLOOKUP(J199,Substituicoes!J:R,6,0),IF(L199=J199,VLOOKUP(Escalacao!J199,Substituicoes!K:R,7,0),0)))</f>
        <v>0</v>
      </c>
      <c r="O199" s="28">
        <f>IF(AND(K199=L199,LEFT(E199,1)="T"),VLOOKUP(A199,'JOGOS BASE'!A:E,5,0),IF(K199=J199,VLOOKUP(J199,Substituicoes!J:R,7,0),IF(L199=J199,VLOOKUP(Escalacao!J199,Substituicoes!K:R,8,0),0)))</f>
        <v>48</v>
      </c>
      <c r="P199" s="28">
        <f t="shared" si="23"/>
        <v>48</v>
      </c>
      <c r="Q199" s="28" t="str">
        <f t="shared" si="24"/>
        <v>518Sampaio Corrêa - MA</v>
      </c>
      <c r="R199" s="28" t="str">
        <f>VLOOKUP(A199,'JOGOS BASE'!A:H,8)</f>
        <v>15.01.2025 - IAPE - MA x Sampaio Corrêa - MA</v>
      </c>
    </row>
    <row r="200" spans="1:18" ht="30.6">
      <c r="A200" s="15">
        <v>5</v>
      </c>
      <c r="B200" s="46">
        <v>19</v>
      </c>
      <c r="C200" s="45" t="s">
        <v>88</v>
      </c>
      <c r="D200" s="45" t="s">
        <v>89</v>
      </c>
      <c r="E200" s="47" t="s">
        <v>42</v>
      </c>
      <c r="F200" s="47" t="s">
        <v>24</v>
      </c>
      <c r="G200" s="46">
        <v>673834</v>
      </c>
      <c r="H200" s="15" t="s">
        <v>122</v>
      </c>
      <c r="I200" s="26" t="str">
        <f t="shared" si="20"/>
        <v>L7</v>
      </c>
      <c r="J200" s="26" t="str">
        <f t="shared" si="21"/>
        <v>5Sampaio Corrêa - MA19</v>
      </c>
      <c r="K200" s="27" t="str">
        <f>IFERROR(VLOOKUP(J200,Substituicoes!J:J,1,0),"SS")</f>
        <v>5Sampaio Corrêa - MA19</v>
      </c>
      <c r="L200" s="27" t="str">
        <f>IFERROR(VLOOKUP(J200,Substituicoes!K:K,1,0),"SS")</f>
        <v>SS</v>
      </c>
      <c r="M200" s="28" t="b">
        <f t="shared" si="22"/>
        <v>0</v>
      </c>
      <c r="N200" s="29">
        <f>IF(AND(K200=L200,LEFT(E200,1)="T"),VLOOKUP(A200,'JOGOS BASE'!A:E,4,0),IF(K200=J200,VLOOKUP(J200,Substituicoes!J:R,6,0),IF(L200=J200,VLOOKUP(Escalacao!J200,Substituicoes!K:R,7,0),0)))</f>
        <v>0</v>
      </c>
      <c r="O200" s="28">
        <f>IF(AND(K200=L200,LEFT(E200,1)="T"),VLOOKUP(A200,'JOGOS BASE'!A:E,5,0),IF(K200=J200,VLOOKUP(J200,Substituicoes!J:R,7,0),IF(L200=J200,VLOOKUP(Escalacao!J200,Substituicoes!K:R,8,0),0)))</f>
        <v>13</v>
      </c>
      <c r="P200" s="28">
        <f t="shared" si="23"/>
        <v>13</v>
      </c>
      <c r="Q200" s="28" t="str">
        <f t="shared" si="24"/>
        <v>519Sampaio Corrêa - MA</v>
      </c>
      <c r="R200" s="28" t="str">
        <f>VLOOKUP(A200,'JOGOS BASE'!A:H,8)</f>
        <v>15.01.2025 - IAPE - MA x Sampaio Corrêa - MA</v>
      </c>
    </row>
    <row r="201" spans="1:18" ht="30.6">
      <c r="A201" s="15">
        <v>5</v>
      </c>
      <c r="B201" s="46">
        <v>20</v>
      </c>
      <c r="C201" s="45" t="s">
        <v>480</v>
      </c>
      <c r="D201" s="45" t="s">
        <v>481</v>
      </c>
      <c r="E201" s="47" t="s">
        <v>42</v>
      </c>
      <c r="F201" s="47" t="s">
        <v>24</v>
      </c>
      <c r="G201" s="46">
        <v>724360</v>
      </c>
      <c r="H201" s="15" t="s">
        <v>122</v>
      </c>
      <c r="I201" s="26" t="str">
        <f t="shared" si="20"/>
        <v>BACURAU</v>
      </c>
      <c r="J201" s="26" t="str">
        <f t="shared" si="21"/>
        <v>5Sampaio Corrêa - MA20</v>
      </c>
      <c r="K201" s="27" t="str">
        <f>IFERROR(VLOOKUP(J201,Substituicoes!J:J,1,0),"SS")</f>
        <v>SS</v>
      </c>
      <c r="L201" s="27" t="str">
        <f>IFERROR(VLOOKUP(J201,Substituicoes!K:K,1,0),"SS")</f>
        <v>SS</v>
      </c>
      <c r="M201" s="28" t="b">
        <f t="shared" si="22"/>
        <v>1</v>
      </c>
      <c r="N201" s="29">
        <f>IF(AND(K201=L201,LEFT(E201,1)="T"),VLOOKUP(A201,'JOGOS BASE'!A:E,4,0),IF(K201=J201,VLOOKUP(J201,Substituicoes!J:R,6,0),IF(L201=J201,VLOOKUP(Escalacao!J201,Substituicoes!K:R,7,0),0)))</f>
        <v>0</v>
      </c>
      <c r="O201" s="28">
        <f>IF(AND(K201=L201,LEFT(E201,1)="T"),VLOOKUP(A201,'JOGOS BASE'!A:E,5,0),IF(K201=J201,VLOOKUP(J201,Substituicoes!J:R,7,0),IF(L201=J201,VLOOKUP(Escalacao!J201,Substituicoes!K:R,8,0),0)))</f>
        <v>0</v>
      </c>
      <c r="P201" s="28">
        <f t="shared" si="23"/>
        <v>0</v>
      </c>
      <c r="Q201" s="28" t="str">
        <f t="shared" si="24"/>
        <v>520Sampaio Corrêa - MA</v>
      </c>
      <c r="R201" s="28" t="str">
        <f>VLOOKUP(A201,'JOGOS BASE'!A:H,8)</f>
        <v>15.01.2025 - IAPE - MA x Sampaio Corrêa - MA</v>
      </c>
    </row>
    <row r="202" spans="1:18" ht="30.6">
      <c r="A202" s="15">
        <v>5</v>
      </c>
      <c r="B202" s="46">
        <v>21</v>
      </c>
      <c r="C202" s="45" t="s">
        <v>96</v>
      </c>
      <c r="D202" s="45" t="s">
        <v>97</v>
      </c>
      <c r="E202" s="47" t="s">
        <v>42</v>
      </c>
      <c r="F202" s="47" t="s">
        <v>24</v>
      </c>
      <c r="G202" s="46">
        <v>748572</v>
      </c>
      <c r="H202" s="15" t="s">
        <v>122</v>
      </c>
      <c r="I202" s="26" t="str">
        <f t="shared" si="20"/>
        <v>ADRIANO</v>
      </c>
      <c r="J202" s="26" t="str">
        <f t="shared" si="21"/>
        <v>5Sampaio Corrêa - MA21</v>
      </c>
      <c r="K202" s="27" t="str">
        <f>IFERROR(VLOOKUP(J202,Substituicoes!J:J,1,0),"SS")</f>
        <v>SS</v>
      </c>
      <c r="L202" s="27" t="str">
        <f>IFERROR(VLOOKUP(J202,Substituicoes!K:K,1,0),"SS")</f>
        <v>SS</v>
      </c>
      <c r="M202" s="28" t="b">
        <f t="shared" si="22"/>
        <v>1</v>
      </c>
      <c r="N202" s="29">
        <f>IF(AND(K202=L202,LEFT(E202,1)="T"),VLOOKUP(A202,'JOGOS BASE'!A:E,4,0),IF(K202=J202,VLOOKUP(J202,Substituicoes!J:R,6,0),IF(L202=J202,VLOOKUP(Escalacao!J202,Substituicoes!K:R,7,0),0)))</f>
        <v>0</v>
      </c>
      <c r="O202" s="28">
        <f>IF(AND(K202=L202,LEFT(E202,1)="T"),VLOOKUP(A202,'JOGOS BASE'!A:E,5,0),IF(K202=J202,VLOOKUP(J202,Substituicoes!J:R,7,0),IF(L202=J202,VLOOKUP(Escalacao!J202,Substituicoes!K:R,8,0),0)))</f>
        <v>0</v>
      </c>
      <c r="P202" s="28">
        <f t="shared" si="23"/>
        <v>0</v>
      </c>
      <c r="Q202" s="28" t="str">
        <f t="shared" si="24"/>
        <v>521Sampaio Corrêa - MA</v>
      </c>
      <c r="R202" s="28" t="str">
        <f>VLOOKUP(A202,'JOGOS BASE'!A:H,8)</f>
        <v>15.01.2025 - IAPE - MA x Sampaio Corrêa - MA</v>
      </c>
    </row>
    <row r="203" spans="1:18" ht="30.6">
      <c r="A203" s="15">
        <v>5</v>
      </c>
      <c r="B203" s="46">
        <v>22</v>
      </c>
      <c r="C203" s="45" t="s">
        <v>68</v>
      </c>
      <c r="D203" s="45" t="s">
        <v>69</v>
      </c>
      <c r="E203" s="47" t="s">
        <v>42</v>
      </c>
      <c r="F203" s="47" t="s">
        <v>24</v>
      </c>
      <c r="G203" s="46">
        <v>725771</v>
      </c>
      <c r="H203" s="15" t="s">
        <v>122</v>
      </c>
      <c r="I203" s="26" t="str">
        <f t="shared" si="20"/>
        <v>JOÃO LENGE</v>
      </c>
      <c r="J203" s="26" t="str">
        <f t="shared" si="21"/>
        <v>5Sampaio Corrêa - MA22</v>
      </c>
      <c r="K203" s="27" t="str">
        <f>IFERROR(VLOOKUP(J203,Substituicoes!J:J,1,0),"SS")</f>
        <v>SS</v>
      </c>
      <c r="L203" s="27" t="str">
        <f>IFERROR(VLOOKUP(J203,Substituicoes!K:K,1,0),"SS")</f>
        <v>SS</v>
      </c>
      <c r="M203" s="28" t="b">
        <f t="shared" si="22"/>
        <v>1</v>
      </c>
      <c r="N203" s="29">
        <f>IF(AND(K203=L203,LEFT(E203,1)="T"),VLOOKUP(A203,'JOGOS BASE'!A:E,4,0),IF(K203=J203,VLOOKUP(J203,Substituicoes!J:R,6,0),IF(L203=J203,VLOOKUP(Escalacao!J203,Substituicoes!K:R,7,0),0)))</f>
        <v>0</v>
      </c>
      <c r="O203" s="28">
        <f>IF(AND(K203=L203,LEFT(E203,1)="T"),VLOOKUP(A203,'JOGOS BASE'!A:E,5,0),IF(K203=J203,VLOOKUP(J203,Substituicoes!J:R,7,0),IF(L203=J203,VLOOKUP(Escalacao!J203,Substituicoes!K:R,8,0),0)))</f>
        <v>0</v>
      </c>
      <c r="P203" s="28">
        <f t="shared" si="23"/>
        <v>0</v>
      </c>
      <c r="Q203" s="28" t="str">
        <f t="shared" si="24"/>
        <v>522Sampaio Corrêa - MA</v>
      </c>
      <c r="R203" s="28" t="str">
        <f>VLOOKUP(A203,'JOGOS BASE'!A:H,8)</f>
        <v>15.01.2025 - IAPE - MA x Sampaio Corrêa - MA</v>
      </c>
    </row>
    <row r="204" spans="1:18" ht="30.6">
      <c r="A204" s="15">
        <v>5</v>
      </c>
      <c r="B204" s="46">
        <v>23</v>
      </c>
      <c r="C204" s="45" t="s">
        <v>482</v>
      </c>
      <c r="D204" s="45" t="s">
        <v>483</v>
      </c>
      <c r="E204" s="47" t="s">
        <v>42</v>
      </c>
      <c r="F204" s="47" t="s">
        <v>24</v>
      </c>
      <c r="G204" s="46">
        <v>614561</v>
      </c>
      <c r="H204" s="15" t="s">
        <v>122</v>
      </c>
      <c r="I204" s="26" t="str">
        <f t="shared" si="20"/>
        <v>Dodô</v>
      </c>
      <c r="J204" s="26" t="str">
        <f t="shared" si="21"/>
        <v>5Sampaio Corrêa - MA23</v>
      </c>
      <c r="K204" s="27" t="str">
        <f>IFERROR(VLOOKUP(J204,Substituicoes!J:J,1,0),"SS")</f>
        <v>5Sampaio Corrêa - MA23</v>
      </c>
      <c r="L204" s="27" t="str">
        <f>IFERROR(VLOOKUP(J204,Substituicoes!K:K,1,0),"SS")</f>
        <v>SS</v>
      </c>
      <c r="M204" s="28" t="b">
        <f t="shared" si="22"/>
        <v>0</v>
      </c>
      <c r="N204" s="29">
        <f>IF(AND(K204=L204,LEFT(E204,1)="T"),VLOOKUP(A204,'JOGOS BASE'!A:E,4,0),IF(K204=J204,VLOOKUP(J204,Substituicoes!J:R,6,0),IF(L204=J204,VLOOKUP(Escalacao!J204,Substituicoes!K:R,7,0),0)))</f>
        <v>0</v>
      </c>
      <c r="O204" s="28">
        <f>IF(AND(K204=L204,LEFT(E204,1)="T"),VLOOKUP(A204,'JOGOS BASE'!A:E,5,0),IF(K204=J204,VLOOKUP(J204,Substituicoes!J:R,7,0),IF(L204=J204,VLOOKUP(Escalacao!J204,Substituicoes!K:R,8,0),0)))</f>
        <v>48</v>
      </c>
      <c r="P204" s="28">
        <f t="shared" si="23"/>
        <v>48</v>
      </c>
      <c r="Q204" s="28" t="str">
        <f t="shared" si="24"/>
        <v>523Sampaio Corrêa - MA</v>
      </c>
      <c r="R204" s="28" t="str">
        <f>VLOOKUP(A204,'JOGOS BASE'!A:H,8)</f>
        <v>15.01.2025 - IAPE - MA x Sampaio Corrêa - MA</v>
      </c>
    </row>
    <row r="205" spans="1:18" ht="30.6">
      <c r="A205" s="15">
        <v>6</v>
      </c>
      <c r="B205" s="46">
        <v>1</v>
      </c>
      <c r="C205" s="45" t="s">
        <v>519</v>
      </c>
      <c r="D205" s="45" t="s">
        <v>520</v>
      </c>
      <c r="E205" s="47" t="s">
        <v>26</v>
      </c>
      <c r="F205" s="47" t="s">
        <v>24</v>
      </c>
      <c r="G205" s="46">
        <v>517018</v>
      </c>
      <c r="H205" s="18" t="s">
        <v>388</v>
      </c>
      <c r="I205" s="26" t="str">
        <f t="shared" ref="I205:I248" si="25">C205</f>
        <v>Francisco  ...</v>
      </c>
      <c r="J205" s="26" t="str">
        <f t="shared" ref="J205:J248" si="26">A205&amp;H205&amp;B205</f>
        <v>6Tuntum - MA1</v>
      </c>
      <c r="K205" s="27" t="str">
        <f>IFERROR(VLOOKUP(J205,Substituicoes!J:J,1,0),"SS")</f>
        <v>SS</v>
      </c>
      <c r="L205" s="27" t="str">
        <f>IFERROR(VLOOKUP(J205,Substituicoes!K:K,1,0),"SS")</f>
        <v>6Tuntum - MA1</v>
      </c>
      <c r="M205" s="28" t="b">
        <f t="shared" ref="M205:M248" si="27">K205=L205</f>
        <v>0</v>
      </c>
      <c r="N205" s="29">
        <f>IF(AND(K205=L205,LEFT(E205,1)="T"),VLOOKUP(A205,'JOGOS BASE'!A:E,4,0),IF(K205=J205,VLOOKUP(J205,Substituicoes!J:R,6,0),IF(L205=J205,VLOOKUP(Escalacao!J205,Substituicoes!K:R,7,0),0)))</f>
        <v>22</v>
      </c>
      <c r="O205" s="28">
        <f>IF(AND(K205=L205,LEFT(E205,1)="T"),VLOOKUP(A205,'JOGOS BASE'!A:E,5,0),IF(K205=J205,VLOOKUP(J205,Substituicoes!J:R,7,0),IF(L205=J205,VLOOKUP(Escalacao!J205,Substituicoes!K:R,8,0),0)))</f>
        <v>0</v>
      </c>
      <c r="P205" s="28">
        <f t="shared" ref="P205:P248" si="28">N205+O205</f>
        <v>22</v>
      </c>
      <c r="Q205" s="28" t="str">
        <f t="shared" ref="Q205:Q248" si="29">A205&amp;B205&amp;H205</f>
        <v>61Tuntum - MA</v>
      </c>
      <c r="R205" s="28" t="str">
        <f>VLOOKUP(A205,'JOGOS BASE'!A:H,8)</f>
        <v>15.01.2025 - Tuntum - MA x Imperatriz - MA</v>
      </c>
    </row>
    <row r="206" spans="1:18" ht="20.399999999999999">
      <c r="A206" s="15">
        <v>6</v>
      </c>
      <c r="B206" s="46">
        <v>2</v>
      </c>
      <c r="C206" s="45" t="s">
        <v>521</v>
      </c>
      <c r="D206" s="45" t="s">
        <v>522</v>
      </c>
      <c r="E206" s="47" t="s">
        <v>26</v>
      </c>
      <c r="F206" s="47" t="s">
        <v>24</v>
      </c>
      <c r="G206" s="46">
        <v>391356</v>
      </c>
      <c r="H206" s="18" t="s">
        <v>388</v>
      </c>
      <c r="I206" s="26" t="str">
        <f t="shared" si="25"/>
        <v>Francisco</v>
      </c>
      <c r="J206" s="26" t="str">
        <f t="shared" si="26"/>
        <v>6Tuntum - MA2</v>
      </c>
      <c r="K206" s="27" t="str">
        <f>IFERROR(VLOOKUP(J206,Substituicoes!J:J,1,0),"SS")</f>
        <v>SS</v>
      </c>
      <c r="L206" s="27" t="str">
        <f>IFERROR(VLOOKUP(J206,Substituicoes!K:K,1,0),"SS")</f>
        <v>6Tuntum - MA2</v>
      </c>
      <c r="M206" s="28" t="b">
        <f t="shared" si="27"/>
        <v>0</v>
      </c>
      <c r="N206" s="29">
        <f>IF(AND(K206=L206,LEFT(E206,1)="T"),VLOOKUP(A206,'JOGOS BASE'!A:E,4,0),IF(K206=J206,VLOOKUP(J206,Substituicoes!J:R,6,0),IF(L206=J206,VLOOKUP(Escalacao!J206,Substituicoes!K:R,7,0),0)))</f>
        <v>50</v>
      </c>
      <c r="O206" s="28">
        <f>IF(AND(K206=L206,LEFT(E206,1)="T"),VLOOKUP(A206,'JOGOS BASE'!A:E,5,0),IF(K206=J206,VLOOKUP(J206,Substituicoes!J:R,7,0),IF(L206=J206,VLOOKUP(Escalacao!J206,Substituicoes!K:R,8,0),0)))</f>
        <v>31</v>
      </c>
      <c r="P206" s="28">
        <f t="shared" si="28"/>
        <v>81</v>
      </c>
      <c r="Q206" s="28" t="str">
        <f t="shared" si="29"/>
        <v>62Tuntum - MA</v>
      </c>
      <c r="R206" s="28" t="str">
        <f>VLOOKUP(A206,'JOGOS BASE'!A:H,8)</f>
        <v>15.01.2025 - Tuntum - MA x Imperatriz - MA</v>
      </c>
    </row>
    <row r="207" spans="1:18" ht="20.399999999999999">
      <c r="A207" s="15">
        <v>6</v>
      </c>
      <c r="B207" s="46">
        <v>3</v>
      </c>
      <c r="C207" s="45" t="s">
        <v>523</v>
      </c>
      <c r="D207" s="45" t="s">
        <v>524</v>
      </c>
      <c r="E207" s="47" t="s">
        <v>26</v>
      </c>
      <c r="F207" s="47" t="s">
        <v>24</v>
      </c>
      <c r="G207" s="46">
        <v>672694</v>
      </c>
      <c r="H207" s="18" t="s">
        <v>388</v>
      </c>
      <c r="I207" s="26" t="str">
        <f t="shared" si="25"/>
        <v>João Victor</v>
      </c>
      <c r="J207" s="26" t="str">
        <f t="shared" si="26"/>
        <v>6Tuntum - MA3</v>
      </c>
      <c r="K207" s="27" t="str">
        <f>IFERROR(VLOOKUP(J207,Substituicoes!J:J,1,0),"SS")</f>
        <v>SS</v>
      </c>
      <c r="L207" s="27" t="str">
        <f>IFERROR(VLOOKUP(J207,Substituicoes!K:K,1,0),"SS")</f>
        <v>SS</v>
      </c>
      <c r="M207" s="28" t="b">
        <f t="shared" si="27"/>
        <v>1</v>
      </c>
      <c r="N207" s="29">
        <f>IF(AND(K207=L207,LEFT(E207,1)="T"),VLOOKUP(A207,'JOGOS BASE'!A:E,4,0),IF(K207=J207,VLOOKUP(J207,Substituicoes!J:R,6,0),IF(L207=J207,VLOOKUP(Escalacao!J207,Substituicoes!K:R,7,0),0)))</f>
        <v>50</v>
      </c>
      <c r="O207" s="28">
        <f>IF(AND(K207=L207,LEFT(E207,1)="T"),VLOOKUP(A207,'JOGOS BASE'!A:E,5,0),IF(K207=J207,VLOOKUP(J207,Substituicoes!J:R,7,0),IF(L207=J207,VLOOKUP(Escalacao!J207,Substituicoes!K:R,8,0),0)))</f>
        <v>50</v>
      </c>
      <c r="P207" s="28">
        <f t="shared" si="28"/>
        <v>100</v>
      </c>
      <c r="Q207" s="28" t="str">
        <f t="shared" si="29"/>
        <v>63Tuntum - MA</v>
      </c>
      <c r="R207" s="28" t="str">
        <f>VLOOKUP(A207,'JOGOS BASE'!A:H,8)</f>
        <v>15.01.2025 - Tuntum - MA x Imperatriz - MA</v>
      </c>
    </row>
    <row r="208" spans="1:18" ht="30.6">
      <c r="A208" s="15">
        <v>6</v>
      </c>
      <c r="B208" s="46">
        <v>4</v>
      </c>
      <c r="C208" s="45" t="s">
        <v>525</v>
      </c>
      <c r="D208" s="45" t="s">
        <v>526</v>
      </c>
      <c r="E208" s="47" t="s">
        <v>26</v>
      </c>
      <c r="F208" s="47" t="s">
        <v>24</v>
      </c>
      <c r="G208" s="46">
        <v>175123</v>
      </c>
      <c r="H208" s="18" t="s">
        <v>388</v>
      </c>
      <c r="I208" s="26" t="str">
        <f t="shared" si="25"/>
        <v>Robinho</v>
      </c>
      <c r="J208" s="26" t="str">
        <f t="shared" si="26"/>
        <v>6Tuntum - MA4</v>
      </c>
      <c r="K208" s="27" t="str">
        <f>IFERROR(VLOOKUP(J208,Substituicoes!J:J,1,0),"SS")</f>
        <v>SS</v>
      </c>
      <c r="L208" s="27" t="str">
        <f>IFERROR(VLOOKUP(J208,Substituicoes!K:K,1,0),"SS")</f>
        <v>SS</v>
      </c>
      <c r="M208" s="28" t="b">
        <f t="shared" si="27"/>
        <v>1</v>
      </c>
      <c r="N208" s="29">
        <f>IF(AND(K208=L208,LEFT(E208,1)="T"),VLOOKUP(A208,'JOGOS BASE'!A:E,4,0),IF(K208=J208,VLOOKUP(J208,Substituicoes!J:R,6,0),IF(L208=J208,VLOOKUP(Escalacao!J208,Substituicoes!K:R,7,0),0)))</f>
        <v>50</v>
      </c>
      <c r="O208" s="28">
        <f>IF(AND(K208=L208,LEFT(E208,1)="T"),VLOOKUP(A208,'JOGOS BASE'!A:E,5,0),IF(K208=J208,VLOOKUP(J208,Substituicoes!J:R,7,0),IF(L208=J208,VLOOKUP(Escalacao!J208,Substituicoes!K:R,8,0),0)))</f>
        <v>50</v>
      </c>
      <c r="P208" s="28">
        <f t="shared" si="28"/>
        <v>100</v>
      </c>
      <c r="Q208" s="28" t="str">
        <f t="shared" si="29"/>
        <v>64Tuntum - MA</v>
      </c>
      <c r="R208" s="28" t="str">
        <f>VLOOKUP(A208,'JOGOS BASE'!A:H,8)</f>
        <v>15.01.2025 - Tuntum - MA x Imperatriz - MA</v>
      </c>
    </row>
    <row r="209" spans="1:18" ht="30.6">
      <c r="A209" s="15">
        <v>6</v>
      </c>
      <c r="B209" s="46">
        <v>5</v>
      </c>
      <c r="C209" s="45" t="s">
        <v>527</v>
      </c>
      <c r="D209" s="45" t="s">
        <v>528</v>
      </c>
      <c r="E209" s="47" t="s">
        <v>26</v>
      </c>
      <c r="F209" s="47" t="s">
        <v>24</v>
      </c>
      <c r="G209" s="46">
        <v>692912</v>
      </c>
      <c r="H209" s="18" t="s">
        <v>388</v>
      </c>
      <c r="I209" s="26" t="str">
        <f t="shared" si="25"/>
        <v>LEANDRO</v>
      </c>
      <c r="J209" s="26" t="str">
        <f t="shared" si="26"/>
        <v>6Tuntum - MA5</v>
      </c>
      <c r="K209" s="27" t="str">
        <f>IFERROR(VLOOKUP(J209,Substituicoes!J:J,1,0),"SS")</f>
        <v>SS</v>
      </c>
      <c r="L209" s="27" t="str">
        <f>IFERROR(VLOOKUP(J209,Substituicoes!K:K,1,0),"SS")</f>
        <v>SS</v>
      </c>
      <c r="M209" s="28" t="b">
        <f t="shared" si="27"/>
        <v>1</v>
      </c>
      <c r="N209" s="29">
        <f>IF(AND(K209=L209,LEFT(E209,1)="T"),VLOOKUP(A209,'JOGOS BASE'!A:E,4,0),IF(K209=J209,VLOOKUP(J209,Substituicoes!J:R,6,0),IF(L209=J209,VLOOKUP(Escalacao!J209,Substituicoes!K:R,7,0),0)))</f>
        <v>50</v>
      </c>
      <c r="O209" s="28">
        <f>IF(AND(K209=L209,LEFT(E209,1)="T"),VLOOKUP(A209,'JOGOS BASE'!A:E,5,0),IF(K209=J209,VLOOKUP(J209,Substituicoes!J:R,7,0),IF(L209=J209,VLOOKUP(Escalacao!J209,Substituicoes!K:R,8,0),0)))</f>
        <v>50</v>
      </c>
      <c r="P209" s="28">
        <f t="shared" si="28"/>
        <v>100</v>
      </c>
      <c r="Q209" s="28" t="str">
        <f t="shared" si="29"/>
        <v>65Tuntum - MA</v>
      </c>
      <c r="R209" s="28" t="str">
        <f>VLOOKUP(A209,'JOGOS BASE'!A:H,8)</f>
        <v>15.01.2025 - Tuntum - MA x Imperatriz - MA</v>
      </c>
    </row>
    <row r="210" spans="1:18" ht="30.6">
      <c r="A210" s="15">
        <v>6</v>
      </c>
      <c r="B210" s="46">
        <v>6</v>
      </c>
      <c r="C210" s="45" t="s">
        <v>529</v>
      </c>
      <c r="D210" s="45" t="s">
        <v>507</v>
      </c>
      <c r="E210" s="47" t="s">
        <v>26</v>
      </c>
      <c r="F210" s="47" t="s">
        <v>24</v>
      </c>
      <c r="G210" s="46">
        <v>671796</v>
      </c>
      <c r="H210" s="18" t="s">
        <v>388</v>
      </c>
      <c r="I210" s="26" t="str">
        <f t="shared" si="25"/>
        <v>Matheus Lima</v>
      </c>
      <c r="J210" s="26" t="str">
        <f t="shared" si="26"/>
        <v>6Tuntum - MA6</v>
      </c>
      <c r="K210" s="27" t="str">
        <f>IFERROR(VLOOKUP(J210,Substituicoes!J:J,1,0),"SS")</f>
        <v>SS</v>
      </c>
      <c r="L210" s="27" t="str">
        <f>IFERROR(VLOOKUP(J210,Substituicoes!K:K,1,0),"SS")</f>
        <v>SS</v>
      </c>
      <c r="M210" s="28" t="b">
        <f t="shared" si="27"/>
        <v>1</v>
      </c>
      <c r="N210" s="29">
        <f>IF(AND(K210=L210,LEFT(E210,1)="T"),VLOOKUP(A210,'JOGOS BASE'!A:E,4,0),IF(K210=J210,VLOOKUP(J210,Substituicoes!J:R,6,0),IF(L210=J210,VLOOKUP(Escalacao!J210,Substituicoes!K:R,7,0),0)))</f>
        <v>50</v>
      </c>
      <c r="O210" s="28">
        <f>IF(AND(K210=L210,LEFT(E210,1)="T"),VLOOKUP(A210,'JOGOS BASE'!A:E,5,0),IF(K210=J210,VLOOKUP(J210,Substituicoes!J:R,7,0),IF(L210=J210,VLOOKUP(Escalacao!J210,Substituicoes!K:R,8,0),0)))</f>
        <v>50</v>
      </c>
      <c r="P210" s="28">
        <f t="shared" si="28"/>
        <v>100</v>
      </c>
      <c r="Q210" s="28" t="str">
        <f t="shared" si="29"/>
        <v>66Tuntum - MA</v>
      </c>
      <c r="R210" s="28" t="str">
        <f>VLOOKUP(A210,'JOGOS BASE'!A:H,8)</f>
        <v>15.01.2025 - Tuntum - MA x Imperatriz - MA</v>
      </c>
    </row>
    <row r="211" spans="1:18" ht="20.399999999999999">
      <c r="A211" s="15">
        <v>6</v>
      </c>
      <c r="B211" s="46">
        <v>7</v>
      </c>
      <c r="C211" s="45" t="s">
        <v>530</v>
      </c>
      <c r="D211" s="45" t="s">
        <v>531</v>
      </c>
      <c r="E211" s="47" t="s">
        <v>26</v>
      </c>
      <c r="F211" s="47" t="s">
        <v>24</v>
      </c>
      <c r="G211" s="46">
        <v>738478</v>
      </c>
      <c r="H211" s="18" t="s">
        <v>388</v>
      </c>
      <c r="I211" s="26" t="str">
        <f t="shared" si="25"/>
        <v>Neto Maran ...</v>
      </c>
      <c r="J211" s="26" t="str">
        <f t="shared" si="26"/>
        <v>6Tuntum - MA7</v>
      </c>
      <c r="K211" s="27" t="str">
        <f>IFERROR(VLOOKUP(J211,Substituicoes!J:J,1,0),"SS")</f>
        <v>SS</v>
      </c>
      <c r="L211" s="27" t="str">
        <f>IFERROR(VLOOKUP(J211,Substituicoes!K:K,1,0),"SS")</f>
        <v>SS</v>
      </c>
      <c r="M211" s="28" t="b">
        <f t="shared" si="27"/>
        <v>1</v>
      </c>
      <c r="N211" s="29">
        <f>IF(AND(K211=L211,LEFT(E211,1)="T"),VLOOKUP(A211,'JOGOS BASE'!A:E,4,0),IF(K211=J211,VLOOKUP(J211,Substituicoes!J:R,6,0),IF(L211=J211,VLOOKUP(Escalacao!J211,Substituicoes!K:R,7,0),0)))</f>
        <v>50</v>
      </c>
      <c r="O211" s="28">
        <f>IF(AND(K211=L211,LEFT(E211,1)="T"),VLOOKUP(A211,'JOGOS BASE'!A:E,5,0),IF(K211=J211,VLOOKUP(J211,Substituicoes!J:R,7,0),IF(L211=J211,VLOOKUP(Escalacao!J211,Substituicoes!K:R,8,0),0)))</f>
        <v>50</v>
      </c>
      <c r="P211" s="28">
        <f t="shared" si="28"/>
        <v>100</v>
      </c>
      <c r="Q211" s="28" t="str">
        <f t="shared" si="29"/>
        <v>67Tuntum - MA</v>
      </c>
      <c r="R211" s="28" t="str">
        <f>VLOOKUP(A211,'JOGOS BASE'!A:H,8)</f>
        <v>15.01.2025 - Tuntum - MA x Imperatriz - MA</v>
      </c>
    </row>
    <row r="212" spans="1:18" ht="20.399999999999999">
      <c r="A212" s="15">
        <v>6</v>
      </c>
      <c r="B212" s="46">
        <v>8</v>
      </c>
      <c r="C212" s="45" t="s">
        <v>532</v>
      </c>
      <c r="D212" s="45" t="s">
        <v>533</v>
      </c>
      <c r="E212" s="47" t="s">
        <v>26</v>
      </c>
      <c r="F212" s="47" t="s">
        <v>24</v>
      </c>
      <c r="G212" s="46">
        <v>645521</v>
      </c>
      <c r="H212" s="18" t="s">
        <v>388</v>
      </c>
      <c r="I212" s="26" t="str">
        <f t="shared" si="25"/>
        <v>VICTOR</v>
      </c>
      <c r="J212" s="26" t="str">
        <f t="shared" si="26"/>
        <v>6Tuntum - MA8</v>
      </c>
      <c r="K212" s="27" t="str">
        <f>IFERROR(VLOOKUP(J212,Substituicoes!J:J,1,0),"SS")</f>
        <v>SS</v>
      </c>
      <c r="L212" s="27" t="str">
        <f>IFERROR(VLOOKUP(J212,Substituicoes!K:K,1,0),"SS")</f>
        <v>6Tuntum - MA8</v>
      </c>
      <c r="M212" s="28" t="b">
        <f t="shared" si="27"/>
        <v>0</v>
      </c>
      <c r="N212" s="29">
        <f>IF(AND(K212=L212,LEFT(E212,1)="T"),VLOOKUP(A212,'JOGOS BASE'!A:E,4,0),IF(K212=J212,VLOOKUP(J212,Substituicoes!J:R,6,0),IF(L212=J212,VLOOKUP(Escalacao!J212,Substituicoes!K:R,7,0),0)))</f>
        <v>50</v>
      </c>
      <c r="O212" s="28">
        <f>IF(AND(K212=L212,LEFT(E212,1)="T"),VLOOKUP(A212,'JOGOS BASE'!A:E,5,0),IF(K212=J212,VLOOKUP(J212,Substituicoes!J:R,7,0),IF(L212=J212,VLOOKUP(Escalacao!J212,Substituicoes!K:R,8,0),0)))</f>
        <v>15</v>
      </c>
      <c r="P212" s="28">
        <f t="shared" si="28"/>
        <v>65</v>
      </c>
      <c r="Q212" s="28" t="str">
        <f t="shared" si="29"/>
        <v>68Tuntum - MA</v>
      </c>
      <c r="R212" s="28" t="str">
        <f>VLOOKUP(A212,'JOGOS BASE'!A:H,8)</f>
        <v>15.01.2025 - Tuntum - MA x Imperatriz - MA</v>
      </c>
    </row>
    <row r="213" spans="1:18" ht="30.6">
      <c r="A213" s="15">
        <v>6</v>
      </c>
      <c r="B213" s="46">
        <v>9</v>
      </c>
      <c r="C213" s="45" t="s">
        <v>534</v>
      </c>
      <c r="D213" s="45" t="s">
        <v>535</v>
      </c>
      <c r="E213" s="47" t="s">
        <v>26</v>
      </c>
      <c r="F213" s="47" t="s">
        <v>24</v>
      </c>
      <c r="G213" s="46">
        <v>546835</v>
      </c>
      <c r="H213" s="18" t="s">
        <v>388</v>
      </c>
      <c r="I213" s="26" t="str">
        <f t="shared" si="25"/>
        <v>Nycollas</v>
      </c>
      <c r="J213" s="26" t="str">
        <f t="shared" si="26"/>
        <v>6Tuntum - MA9</v>
      </c>
      <c r="K213" s="27" t="str">
        <f>IFERROR(VLOOKUP(J213,Substituicoes!J:J,1,0),"SS")</f>
        <v>SS</v>
      </c>
      <c r="L213" s="27" t="str">
        <f>IFERROR(VLOOKUP(J213,Substituicoes!K:K,1,0),"SS")</f>
        <v>6Tuntum - MA9</v>
      </c>
      <c r="M213" s="28" t="b">
        <f t="shared" si="27"/>
        <v>0</v>
      </c>
      <c r="N213" s="29">
        <f>IF(AND(K213=L213,LEFT(E213,1)="T"),VLOOKUP(A213,'JOGOS BASE'!A:E,4,0),IF(K213=J213,VLOOKUP(J213,Substituicoes!J:R,6,0),IF(L213=J213,VLOOKUP(Escalacao!J213,Substituicoes!K:R,7,0),0)))</f>
        <v>50</v>
      </c>
      <c r="O213" s="28">
        <f>IF(AND(K213=L213,LEFT(E213,1)="T"),VLOOKUP(A213,'JOGOS BASE'!A:E,5,0),IF(K213=J213,VLOOKUP(J213,Substituicoes!J:R,7,0),IF(L213=J213,VLOOKUP(Escalacao!J213,Substituicoes!K:R,8,0),0)))</f>
        <v>15</v>
      </c>
      <c r="P213" s="28">
        <f t="shared" si="28"/>
        <v>65</v>
      </c>
      <c r="Q213" s="28" t="str">
        <f t="shared" si="29"/>
        <v>69Tuntum - MA</v>
      </c>
      <c r="R213" s="28" t="str">
        <f>VLOOKUP(A213,'JOGOS BASE'!A:H,8)</f>
        <v>15.01.2025 - Tuntum - MA x Imperatriz - MA</v>
      </c>
    </row>
    <row r="214" spans="1:18" ht="30.6">
      <c r="A214" s="15">
        <v>6</v>
      </c>
      <c r="B214" s="46">
        <v>10</v>
      </c>
      <c r="C214" s="45" t="s">
        <v>536</v>
      </c>
      <c r="D214" s="45" t="s">
        <v>537</v>
      </c>
      <c r="E214" s="47" t="s">
        <v>26</v>
      </c>
      <c r="F214" s="47" t="s">
        <v>24</v>
      </c>
      <c r="G214" s="46">
        <v>591346</v>
      </c>
      <c r="H214" s="18" t="s">
        <v>388</v>
      </c>
      <c r="I214" s="26" t="str">
        <f t="shared" si="25"/>
        <v>Cassio</v>
      </c>
      <c r="J214" s="26" t="str">
        <f t="shared" si="26"/>
        <v>6Tuntum - MA10</v>
      </c>
      <c r="K214" s="27" t="str">
        <f>IFERROR(VLOOKUP(J214,Substituicoes!J:J,1,0),"SS")</f>
        <v>SS</v>
      </c>
      <c r="L214" s="27" t="str">
        <f>IFERROR(VLOOKUP(J214,Substituicoes!K:K,1,0),"SS")</f>
        <v>6Tuntum - MA10</v>
      </c>
      <c r="M214" s="28" t="b">
        <f t="shared" si="27"/>
        <v>0</v>
      </c>
      <c r="N214" s="29">
        <f>IF(AND(K214=L214,LEFT(E214,1)="T"),VLOOKUP(A214,'JOGOS BASE'!A:E,4,0),IF(K214=J214,VLOOKUP(J214,Substituicoes!J:R,6,0),IF(L214=J214,VLOOKUP(Escalacao!J214,Substituicoes!K:R,7,0),0)))</f>
        <v>50</v>
      </c>
      <c r="O214" s="28">
        <f>IF(AND(K214=L214,LEFT(E214,1)="T"),VLOOKUP(A214,'JOGOS BASE'!A:E,5,0),IF(K214=J214,VLOOKUP(J214,Substituicoes!J:R,7,0),IF(L214=J214,VLOOKUP(Escalacao!J214,Substituicoes!K:R,8,0),0)))</f>
        <v>31</v>
      </c>
      <c r="P214" s="28">
        <f t="shared" si="28"/>
        <v>81</v>
      </c>
      <c r="Q214" s="28" t="str">
        <f t="shared" si="29"/>
        <v>610Tuntum - MA</v>
      </c>
      <c r="R214" s="28" t="str">
        <f>VLOOKUP(A214,'JOGOS BASE'!A:H,8)</f>
        <v>15.01.2025 - Tuntum - MA x Imperatriz - MA</v>
      </c>
    </row>
    <row r="215" spans="1:18" ht="20.399999999999999">
      <c r="A215" s="15">
        <v>6</v>
      </c>
      <c r="B215" s="46">
        <v>11</v>
      </c>
      <c r="C215" s="45" t="s">
        <v>538</v>
      </c>
      <c r="D215" s="45" t="s">
        <v>539</v>
      </c>
      <c r="E215" s="47" t="s">
        <v>26</v>
      </c>
      <c r="F215" s="47" t="s">
        <v>24</v>
      </c>
      <c r="G215" s="46">
        <v>513206</v>
      </c>
      <c r="H215" s="18" t="s">
        <v>388</v>
      </c>
      <c r="I215" s="26" t="str">
        <f t="shared" si="25"/>
        <v>Adrian</v>
      </c>
      <c r="J215" s="26" t="str">
        <f t="shared" si="26"/>
        <v>6Tuntum - MA11</v>
      </c>
      <c r="K215" s="27" t="str">
        <f>IFERROR(VLOOKUP(J215,Substituicoes!J:J,1,0),"SS")</f>
        <v>SS</v>
      </c>
      <c r="L215" s="27" t="str">
        <f>IFERROR(VLOOKUP(J215,Substituicoes!K:K,1,0),"SS")</f>
        <v>SS</v>
      </c>
      <c r="M215" s="28" t="b">
        <f t="shared" si="27"/>
        <v>1</v>
      </c>
      <c r="N215" s="29">
        <f>IF(AND(K215=L215,LEFT(E215,1)="T"),VLOOKUP(A215,'JOGOS BASE'!A:E,4,0),IF(K215=J215,VLOOKUP(J215,Substituicoes!J:R,6,0),IF(L215=J215,VLOOKUP(Escalacao!J215,Substituicoes!K:R,7,0),0)))</f>
        <v>50</v>
      </c>
      <c r="O215" s="28">
        <f>IF(AND(K215=L215,LEFT(E215,1)="T"),VLOOKUP(A215,'JOGOS BASE'!A:E,5,0),IF(K215=J215,VLOOKUP(J215,Substituicoes!J:R,7,0),IF(L215=J215,VLOOKUP(Escalacao!J215,Substituicoes!K:R,8,0),0)))</f>
        <v>50</v>
      </c>
      <c r="P215" s="28">
        <f t="shared" si="28"/>
        <v>100</v>
      </c>
      <c r="Q215" s="28" t="str">
        <f t="shared" si="29"/>
        <v>611Tuntum - MA</v>
      </c>
      <c r="R215" s="28" t="str">
        <f>VLOOKUP(A215,'JOGOS BASE'!A:H,8)</f>
        <v>15.01.2025 - Tuntum - MA x Imperatriz - MA</v>
      </c>
    </row>
    <row r="216" spans="1:18" ht="30.6">
      <c r="A216" s="15">
        <v>6</v>
      </c>
      <c r="B216" s="46">
        <v>12</v>
      </c>
      <c r="C216" s="45" t="s">
        <v>540</v>
      </c>
      <c r="D216" s="45" t="s">
        <v>541</v>
      </c>
      <c r="E216" s="47" t="s">
        <v>40</v>
      </c>
      <c r="F216" s="47" t="s">
        <v>24</v>
      </c>
      <c r="G216" s="46">
        <v>645699</v>
      </c>
      <c r="H216" s="18" t="s">
        <v>388</v>
      </c>
      <c r="I216" s="26" t="str">
        <f t="shared" si="25"/>
        <v>DANIEL MEN</v>
      </c>
      <c r="J216" s="26" t="str">
        <f t="shared" si="26"/>
        <v>6Tuntum - MA12</v>
      </c>
      <c r="K216" s="27" t="str">
        <f>IFERROR(VLOOKUP(J216,Substituicoes!J:J,1,0),"SS")</f>
        <v>6Tuntum - MA12</v>
      </c>
      <c r="L216" s="27" t="str">
        <f>IFERROR(VLOOKUP(J216,Substituicoes!K:K,1,0),"SS")</f>
        <v>SS</v>
      </c>
      <c r="M216" s="28" t="b">
        <f t="shared" si="27"/>
        <v>0</v>
      </c>
      <c r="N216" s="29">
        <f>IF(AND(K216=L216,LEFT(E216,1)="T"),VLOOKUP(A216,'JOGOS BASE'!A:E,4,0),IF(K216=J216,VLOOKUP(J216,Substituicoes!J:R,6,0),IF(L216=J216,VLOOKUP(Escalacao!J216,Substituicoes!K:R,7,0),0)))</f>
        <v>28</v>
      </c>
      <c r="O216" s="28">
        <f>IF(AND(K216=L216,LEFT(E216,1)="T"),VLOOKUP(A216,'JOGOS BASE'!A:E,5,0),IF(K216=J216,VLOOKUP(J216,Substituicoes!J:R,7,0),IF(L216=J216,VLOOKUP(Escalacao!J216,Substituicoes!K:R,8,0),0)))</f>
        <v>50</v>
      </c>
      <c r="P216" s="28">
        <f t="shared" si="28"/>
        <v>78</v>
      </c>
      <c r="Q216" s="28" t="str">
        <f t="shared" si="29"/>
        <v>612Tuntum - MA</v>
      </c>
      <c r="R216" s="28" t="str">
        <f>VLOOKUP(A216,'JOGOS BASE'!A:H,8)</f>
        <v>15.01.2025 - Tuntum - MA x Imperatriz - MA</v>
      </c>
    </row>
    <row r="217" spans="1:18" ht="20.399999999999999">
      <c r="A217" s="15">
        <v>6</v>
      </c>
      <c r="B217" s="46">
        <v>13</v>
      </c>
      <c r="C217" s="45" t="s">
        <v>542</v>
      </c>
      <c r="D217" s="45" t="s">
        <v>543</v>
      </c>
      <c r="E217" s="47" t="s">
        <v>42</v>
      </c>
      <c r="F217" s="47" t="s">
        <v>24</v>
      </c>
      <c r="G217" s="46">
        <v>673868</v>
      </c>
      <c r="H217" s="18" t="s">
        <v>388</v>
      </c>
      <c r="I217" s="26" t="str">
        <f t="shared" si="25"/>
        <v>PARÁ</v>
      </c>
      <c r="J217" s="26" t="str">
        <f t="shared" si="26"/>
        <v>6Tuntum - MA13</v>
      </c>
      <c r="K217" s="27" t="str">
        <f>IFERROR(VLOOKUP(J217,Substituicoes!J:J,1,0),"SS")</f>
        <v>6Tuntum - MA13</v>
      </c>
      <c r="L217" s="27" t="str">
        <f>IFERROR(VLOOKUP(J217,Substituicoes!K:K,1,0),"SS")</f>
        <v>SS</v>
      </c>
      <c r="M217" s="28" t="b">
        <f t="shared" si="27"/>
        <v>0</v>
      </c>
      <c r="N217" s="29">
        <f>IF(AND(K217=L217,LEFT(E217,1)="T"),VLOOKUP(A217,'JOGOS BASE'!A:E,4,0),IF(K217=J217,VLOOKUP(J217,Substituicoes!J:R,6,0),IF(L217=J217,VLOOKUP(Escalacao!J217,Substituicoes!K:R,7,0),0)))</f>
        <v>0</v>
      </c>
      <c r="O217" s="28">
        <f>IF(AND(K217=L217,LEFT(E217,1)="T"),VLOOKUP(A217,'JOGOS BASE'!A:E,5,0),IF(K217=J217,VLOOKUP(J217,Substituicoes!J:R,7,0),IF(L217=J217,VLOOKUP(Escalacao!J217,Substituicoes!K:R,8,0),0)))</f>
        <v>19</v>
      </c>
      <c r="P217" s="28">
        <f t="shared" si="28"/>
        <v>19</v>
      </c>
      <c r="Q217" s="28" t="str">
        <f t="shared" si="29"/>
        <v>613Tuntum - MA</v>
      </c>
      <c r="R217" s="28" t="str">
        <f>VLOOKUP(A217,'JOGOS BASE'!A:H,8)</f>
        <v>15.01.2025 - Tuntum - MA x Imperatriz - MA</v>
      </c>
    </row>
    <row r="218" spans="1:18" ht="30.6">
      <c r="A218" s="15">
        <v>6</v>
      </c>
      <c r="B218" s="46">
        <v>14</v>
      </c>
      <c r="C218" s="45" t="s">
        <v>301</v>
      </c>
      <c r="D218" s="45" t="s">
        <v>544</v>
      </c>
      <c r="E218" s="47" t="s">
        <v>42</v>
      </c>
      <c r="F218" s="47" t="s">
        <v>24</v>
      </c>
      <c r="G218" s="46">
        <v>607578</v>
      </c>
      <c r="H218" s="18" t="s">
        <v>388</v>
      </c>
      <c r="I218" s="26" t="str">
        <f t="shared" si="25"/>
        <v>Mateus</v>
      </c>
      <c r="J218" s="26" t="str">
        <f t="shared" si="26"/>
        <v>6Tuntum - MA14</v>
      </c>
      <c r="K218" s="27" t="str">
        <f>IFERROR(VLOOKUP(J218,Substituicoes!J:J,1,0),"SS")</f>
        <v>SS</v>
      </c>
      <c r="L218" s="27" t="str">
        <f>IFERROR(VLOOKUP(J218,Substituicoes!K:K,1,0),"SS")</f>
        <v>SS</v>
      </c>
      <c r="M218" s="28" t="b">
        <f t="shared" si="27"/>
        <v>1</v>
      </c>
      <c r="N218" s="29">
        <f>IF(AND(K218=L218,LEFT(E218,1)="T"),VLOOKUP(A218,'JOGOS BASE'!A:E,4,0),IF(K218=J218,VLOOKUP(J218,Substituicoes!J:R,6,0),IF(L218=J218,VLOOKUP(Escalacao!J218,Substituicoes!K:R,7,0),0)))</f>
        <v>0</v>
      </c>
      <c r="O218" s="28">
        <f>IF(AND(K218=L218,LEFT(E218,1)="T"),VLOOKUP(A218,'JOGOS BASE'!A:E,5,0),IF(K218=J218,VLOOKUP(J218,Substituicoes!J:R,7,0),IF(L218=J218,VLOOKUP(Escalacao!J218,Substituicoes!K:R,8,0),0)))</f>
        <v>0</v>
      </c>
      <c r="P218" s="28">
        <f t="shared" si="28"/>
        <v>0</v>
      </c>
      <c r="Q218" s="28" t="str">
        <f t="shared" si="29"/>
        <v>614Tuntum - MA</v>
      </c>
      <c r="R218" s="28" t="str">
        <f>VLOOKUP(A218,'JOGOS BASE'!A:H,8)</f>
        <v>15.01.2025 - Tuntum - MA x Imperatriz - MA</v>
      </c>
    </row>
    <row r="219" spans="1:18" ht="20.399999999999999">
      <c r="A219" s="15">
        <v>6</v>
      </c>
      <c r="B219" s="46">
        <v>15</v>
      </c>
      <c r="C219" s="45" t="s">
        <v>545</v>
      </c>
      <c r="D219" s="45" t="s">
        <v>546</v>
      </c>
      <c r="E219" s="47" t="s">
        <v>42</v>
      </c>
      <c r="F219" s="47" t="s">
        <v>24</v>
      </c>
      <c r="G219" s="46">
        <v>507730</v>
      </c>
      <c r="H219" s="18" t="s">
        <v>388</v>
      </c>
      <c r="I219" s="26" t="str">
        <f t="shared" si="25"/>
        <v>Leal</v>
      </c>
      <c r="J219" s="26" t="str">
        <f t="shared" si="26"/>
        <v>6Tuntum - MA15</v>
      </c>
      <c r="K219" s="27" t="str">
        <f>IFERROR(VLOOKUP(J219,Substituicoes!J:J,1,0),"SS")</f>
        <v>SS</v>
      </c>
      <c r="L219" s="27" t="str">
        <f>IFERROR(VLOOKUP(J219,Substituicoes!K:K,1,0),"SS")</f>
        <v>SS</v>
      </c>
      <c r="M219" s="28" t="b">
        <f t="shared" si="27"/>
        <v>1</v>
      </c>
      <c r="N219" s="29">
        <f>IF(AND(K219=L219,LEFT(E219,1)="T"),VLOOKUP(A219,'JOGOS BASE'!A:E,4,0),IF(K219=J219,VLOOKUP(J219,Substituicoes!J:R,6,0),IF(L219=J219,VLOOKUP(Escalacao!J219,Substituicoes!K:R,7,0),0)))</f>
        <v>0</v>
      </c>
      <c r="O219" s="28">
        <f>IF(AND(K219=L219,LEFT(E219,1)="T"),VLOOKUP(A219,'JOGOS BASE'!A:E,5,0),IF(K219=J219,VLOOKUP(J219,Substituicoes!J:R,7,0),IF(L219=J219,VLOOKUP(Escalacao!J219,Substituicoes!K:R,8,0),0)))</f>
        <v>0</v>
      </c>
      <c r="P219" s="28">
        <f t="shared" si="28"/>
        <v>0</v>
      </c>
      <c r="Q219" s="28" t="str">
        <f t="shared" si="29"/>
        <v>615Tuntum - MA</v>
      </c>
      <c r="R219" s="28" t="str">
        <f>VLOOKUP(A219,'JOGOS BASE'!A:H,8)</f>
        <v>15.01.2025 - Tuntum - MA x Imperatriz - MA</v>
      </c>
    </row>
    <row r="220" spans="1:18" ht="20.399999999999999">
      <c r="A220" s="15">
        <v>6</v>
      </c>
      <c r="B220" s="46">
        <v>16</v>
      </c>
      <c r="C220" s="45" t="s">
        <v>547</v>
      </c>
      <c r="D220" s="45" t="s">
        <v>548</v>
      </c>
      <c r="E220" s="47" t="s">
        <v>42</v>
      </c>
      <c r="F220" s="47" t="s">
        <v>24</v>
      </c>
      <c r="G220" s="46">
        <v>699359</v>
      </c>
      <c r="H220" s="18" t="s">
        <v>388</v>
      </c>
      <c r="I220" s="26" t="str">
        <f t="shared" si="25"/>
        <v>GIULIEDSON</v>
      </c>
      <c r="J220" s="26" t="str">
        <f t="shared" si="26"/>
        <v>6Tuntum - MA16</v>
      </c>
      <c r="K220" s="27" t="str">
        <f>IFERROR(VLOOKUP(J220,Substituicoes!J:J,1,0),"SS")</f>
        <v>SS</v>
      </c>
      <c r="L220" s="27" t="str">
        <f>IFERROR(VLOOKUP(J220,Substituicoes!K:K,1,0),"SS")</f>
        <v>SS</v>
      </c>
      <c r="M220" s="28" t="b">
        <f t="shared" si="27"/>
        <v>1</v>
      </c>
      <c r="N220" s="29">
        <f>IF(AND(K220=L220,LEFT(E220,1)="T"),VLOOKUP(A220,'JOGOS BASE'!A:E,4,0),IF(K220=J220,VLOOKUP(J220,Substituicoes!J:R,6,0),IF(L220=J220,VLOOKUP(Escalacao!J220,Substituicoes!K:R,7,0),0)))</f>
        <v>0</v>
      </c>
      <c r="O220" s="28">
        <f>IF(AND(K220=L220,LEFT(E220,1)="T"),VLOOKUP(A220,'JOGOS BASE'!A:E,5,0),IF(K220=J220,VLOOKUP(J220,Substituicoes!J:R,7,0),IF(L220=J220,VLOOKUP(Escalacao!J220,Substituicoes!K:R,8,0),0)))</f>
        <v>0</v>
      </c>
      <c r="P220" s="28">
        <f t="shared" si="28"/>
        <v>0</v>
      </c>
      <c r="Q220" s="28" t="str">
        <f t="shared" si="29"/>
        <v>616Tuntum - MA</v>
      </c>
      <c r="R220" s="28" t="str">
        <f>VLOOKUP(A220,'JOGOS BASE'!A:H,8)</f>
        <v>15.01.2025 - Tuntum - MA x Imperatriz - MA</v>
      </c>
    </row>
    <row r="221" spans="1:18" ht="30.6">
      <c r="A221" s="15">
        <v>6</v>
      </c>
      <c r="B221" s="46">
        <v>17</v>
      </c>
      <c r="C221" s="45" t="s">
        <v>549</v>
      </c>
      <c r="D221" s="45" t="s">
        <v>550</v>
      </c>
      <c r="E221" s="47" t="s">
        <v>42</v>
      </c>
      <c r="F221" s="47" t="s">
        <v>24</v>
      </c>
      <c r="G221" s="46">
        <v>695765</v>
      </c>
      <c r="H221" s="18" t="s">
        <v>388</v>
      </c>
      <c r="I221" s="26" t="str">
        <f t="shared" si="25"/>
        <v>Remerson</v>
      </c>
      <c r="J221" s="26" t="str">
        <f t="shared" si="26"/>
        <v>6Tuntum - MA17</v>
      </c>
      <c r="K221" s="27" t="str">
        <f>IFERROR(VLOOKUP(J221,Substituicoes!J:J,1,0),"SS")</f>
        <v>SS</v>
      </c>
      <c r="L221" s="27" t="str">
        <f>IFERROR(VLOOKUP(J221,Substituicoes!K:K,1,0),"SS")</f>
        <v>SS</v>
      </c>
      <c r="M221" s="28" t="b">
        <f t="shared" si="27"/>
        <v>1</v>
      </c>
      <c r="N221" s="29">
        <f>IF(AND(K221=L221,LEFT(E221,1)="T"),VLOOKUP(A221,'JOGOS BASE'!A:E,4,0),IF(K221=J221,VLOOKUP(J221,Substituicoes!J:R,6,0),IF(L221=J221,VLOOKUP(Escalacao!J221,Substituicoes!K:R,7,0),0)))</f>
        <v>0</v>
      </c>
      <c r="O221" s="28">
        <f>IF(AND(K221=L221,LEFT(E221,1)="T"),VLOOKUP(A221,'JOGOS BASE'!A:E,5,0),IF(K221=J221,VLOOKUP(J221,Substituicoes!J:R,7,0),IF(L221=J221,VLOOKUP(Escalacao!J221,Substituicoes!K:R,8,0),0)))</f>
        <v>0</v>
      </c>
      <c r="P221" s="28">
        <f t="shared" si="28"/>
        <v>0</v>
      </c>
      <c r="Q221" s="28" t="str">
        <f t="shared" si="29"/>
        <v>617Tuntum - MA</v>
      </c>
      <c r="R221" s="28" t="str">
        <f>VLOOKUP(A221,'JOGOS BASE'!A:H,8)</f>
        <v>15.01.2025 - Tuntum - MA x Imperatriz - MA</v>
      </c>
    </row>
    <row r="222" spans="1:18" ht="30.6">
      <c r="A222" s="15">
        <v>6</v>
      </c>
      <c r="B222" s="46">
        <v>18</v>
      </c>
      <c r="C222" s="45" t="s">
        <v>551</v>
      </c>
      <c r="D222" s="45" t="s">
        <v>552</v>
      </c>
      <c r="E222" s="47" t="s">
        <v>42</v>
      </c>
      <c r="F222" s="47" t="s">
        <v>24</v>
      </c>
      <c r="G222" s="46">
        <v>894147</v>
      </c>
      <c r="H222" s="18" t="s">
        <v>388</v>
      </c>
      <c r="I222" s="26" t="str">
        <f t="shared" si="25"/>
        <v>RUBENS RO</v>
      </c>
      <c r="J222" s="26" t="str">
        <f t="shared" si="26"/>
        <v>6Tuntum - MA18</v>
      </c>
      <c r="K222" s="27" t="str">
        <f>IFERROR(VLOOKUP(J222,Substituicoes!J:J,1,0),"SS")</f>
        <v>SS</v>
      </c>
      <c r="L222" s="27" t="str">
        <f>IFERROR(VLOOKUP(J222,Substituicoes!K:K,1,0),"SS")</f>
        <v>SS</v>
      </c>
      <c r="M222" s="28" t="b">
        <f t="shared" si="27"/>
        <v>1</v>
      </c>
      <c r="N222" s="29">
        <f>IF(AND(K222=L222,LEFT(E222,1)="T"),VLOOKUP(A222,'JOGOS BASE'!A:E,4,0),IF(K222=J222,VLOOKUP(J222,Substituicoes!J:R,6,0),IF(L222=J222,VLOOKUP(Escalacao!J222,Substituicoes!K:R,7,0),0)))</f>
        <v>0</v>
      </c>
      <c r="O222" s="28">
        <f>IF(AND(K222=L222,LEFT(E222,1)="T"),VLOOKUP(A222,'JOGOS BASE'!A:E,5,0),IF(K222=J222,VLOOKUP(J222,Substituicoes!J:R,7,0),IF(L222=J222,VLOOKUP(Escalacao!J222,Substituicoes!K:R,8,0),0)))</f>
        <v>0</v>
      </c>
      <c r="P222" s="28">
        <f t="shared" si="28"/>
        <v>0</v>
      </c>
      <c r="Q222" s="28" t="str">
        <f t="shared" si="29"/>
        <v>618Tuntum - MA</v>
      </c>
      <c r="R222" s="28" t="str">
        <f>VLOOKUP(A222,'JOGOS BASE'!A:H,8)</f>
        <v>15.01.2025 - Tuntum - MA x Imperatriz - MA</v>
      </c>
    </row>
    <row r="223" spans="1:18" ht="20.399999999999999">
      <c r="A223" s="15">
        <v>6</v>
      </c>
      <c r="B223" s="46">
        <v>19</v>
      </c>
      <c r="C223" s="45" t="s">
        <v>553</v>
      </c>
      <c r="D223" s="45" t="s">
        <v>554</v>
      </c>
      <c r="E223" s="47" t="s">
        <v>42</v>
      </c>
      <c r="F223" s="47" t="s">
        <v>24</v>
      </c>
      <c r="G223" s="46">
        <v>628646</v>
      </c>
      <c r="H223" s="18" t="s">
        <v>388</v>
      </c>
      <c r="I223" s="26" t="str">
        <f t="shared" si="25"/>
        <v>ELIAS</v>
      </c>
      <c r="J223" s="26" t="str">
        <f t="shared" si="26"/>
        <v>6Tuntum - MA19</v>
      </c>
      <c r="K223" s="27" t="str">
        <f>IFERROR(VLOOKUP(J223,Substituicoes!J:J,1,0),"SS")</f>
        <v>6Tuntum - MA19</v>
      </c>
      <c r="L223" s="27" t="str">
        <f>IFERROR(VLOOKUP(J223,Substituicoes!K:K,1,0),"SS")</f>
        <v>SS</v>
      </c>
      <c r="M223" s="28" t="b">
        <f t="shared" si="27"/>
        <v>0</v>
      </c>
      <c r="N223" s="29">
        <f>IF(AND(K223=L223,LEFT(E223,1)="T"),VLOOKUP(A223,'JOGOS BASE'!A:E,4,0),IF(K223=J223,VLOOKUP(J223,Substituicoes!J:R,6,0),IF(L223=J223,VLOOKUP(Escalacao!J223,Substituicoes!K:R,7,0),0)))</f>
        <v>0</v>
      </c>
      <c r="O223" s="28">
        <f>IF(AND(K223=L223,LEFT(E223,1)="T"),VLOOKUP(A223,'JOGOS BASE'!A:E,5,0),IF(K223=J223,VLOOKUP(J223,Substituicoes!J:R,7,0),IF(L223=J223,VLOOKUP(Escalacao!J223,Substituicoes!K:R,8,0),0)))</f>
        <v>35</v>
      </c>
      <c r="P223" s="28">
        <f t="shared" si="28"/>
        <v>35</v>
      </c>
      <c r="Q223" s="28" t="str">
        <f t="shared" si="29"/>
        <v>619Tuntum - MA</v>
      </c>
      <c r="R223" s="28" t="str">
        <f>VLOOKUP(A223,'JOGOS BASE'!A:H,8)</f>
        <v>15.01.2025 - Tuntum - MA x Imperatriz - MA</v>
      </c>
    </row>
    <row r="224" spans="1:18" ht="30.6">
      <c r="A224" s="15">
        <v>6</v>
      </c>
      <c r="B224" s="46">
        <v>20</v>
      </c>
      <c r="C224" s="45" t="s">
        <v>555</v>
      </c>
      <c r="D224" s="45" t="s">
        <v>556</v>
      </c>
      <c r="E224" s="47" t="s">
        <v>42</v>
      </c>
      <c r="F224" s="47" t="s">
        <v>24</v>
      </c>
      <c r="G224" s="46">
        <v>739945</v>
      </c>
      <c r="H224" s="18" t="s">
        <v>388</v>
      </c>
      <c r="I224" s="26" t="str">
        <f t="shared" si="25"/>
        <v>RENAN</v>
      </c>
      <c r="J224" s="26" t="str">
        <f t="shared" si="26"/>
        <v>6Tuntum - MA20</v>
      </c>
      <c r="K224" s="27" t="str">
        <f>IFERROR(VLOOKUP(J224,Substituicoes!J:J,1,0),"SS")</f>
        <v>6Tuntum - MA20</v>
      </c>
      <c r="L224" s="27" t="str">
        <f>IFERROR(VLOOKUP(J224,Substituicoes!K:K,1,0),"SS")</f>
        <v>SS</v>
      </c>
      <c r="M224" s="28" t="b">
        <f t="shared" si="27"/>
        <v>0</v>
      </c>
      <c r="N224" s="29">
        <f>IF(AND(K224=L224,LEFT(E224,1)="T"),VLOOKUP(A224,'JOGOS BASE'!A:E,4,0),IF(K224=J224,VLOOKUP(J224,Substituicoes!J:R,6,0),IF(L224=J224,VLOOKUP(Escalacao!J224,Substituicoes!K:R,7,0),0)))</f>
        <v>0</v>
      </c>
      <c r="O224" s="28">
        <f>IF(AND(K224=L224,LEFT(E224,1)="T"),VLOOKUP(A224,'JOGOS BASE'!A:E,5,0),IF(K224=J224,VLOOKUP(J224,Substituicoes!J:R,7,0),IF(L224=J224,VLOOKUP(Escalacao!J224,Substituicoes!K:R,8,0),0)))</f>
        <v>35</v>
      </c>
      <c r="P224" s="28">
        <f t="shared" si="28"/>
        <v>35</v>
      </c>
      <c r="Q224" s="28" t="str">
        <f t="shared" si="29"/>
        <v>620Tuntum - MA</v>
      </c>
      <c r="R224" s="28" t="str">
        <f>VLOOKUP(A224,'JOGOS BASE'!A:H,8)</f>
        <v>15.01.2025 - Tuntum - MA x Imperatriz - MA</v>
      </c>
    </row>
    <row r="225" spans="1:18" ht="30.6">
      <c r="A225" s="15">
        <v>6</v>
      </c>
      <c r="B225" s="46">
        <v>21</v>
      </c>
      <c r="C225" s="45" t="s">
        <v>557</v>
      </c>
      <c r="D225" s="45" t="s">
        <v>558</v>
      </c>
      <c r="E225" s="47" t="s">
        <v>42</v>
      </c>
      <c r="F225" s="47" t="s">
        <v>24</v>
      </c>
      <c r="G225" s="46">
        <v>734676</v>
      </c>
      <c r="H225" s="18" t="s">
        <v>388</v>
      </c>
      <c r="I225" s="26" t="str">
        <f t="shared" si="25"/>
        <v>Kio</v>
      </c>
      <c r="J225" s="26" t="str">
        <f t="shared" si="26"/>
        <v>6Tuntum - MA21</v>
      </c>
      <c r="K225" s="27" t="str">
        <f>IFERROR(VLOOKUP(J225,Substituicoes!J:J,1,0),"SS")</f>
        <v>6Tuntum - MA21</v>
      </c>
      <c r="L225" s="27" t="str">
        <f>IFERROR(VLOOKUP(J225,Substituicoes!K:K,1,0),"SS")</f>
        <v>SS</v>
      </c>
      <c r="M225" s="28" t="b">
        <f t="shared" si="27"/>
        <v>0</v>
      </c>
      <c r="N225" s="29">
        <f>IF(AND(K225=L225,LEFT(E225,1)="T"),VLOOKUP(A225,'JOGOS BASE'!A:E,4,0),IF(K225=J225,VLOOKUP(J225,Substituicoes!J:R,6,0),IF(L225=J225,VLOOKUP(Escalacao!J225,Substituicoes!K:R,7,0),0)))</f>
        <v>0</v>
      </c>
      <c r="O225" s="28">
        <f>IF(AND(K225=L225,LEFT(E225,1)="T"),VLOOKUP(A225,'JOGOS BASE'!A:E,5,0),IF(K225=J225,VLOOKUP(J225,Substituicoes!J:R,7,0),IF(L225=J225,VLOOKUP(Escalacao!J225,Substituicoes!K:R,8,0),0)))</f>
        <v>19</v>
      </c>
      <c r="P225" s="28">
        <f t="shared" si="28"/>
        <v>19</v>
      </c>
      <c r="Q225" s="28" t="str">
        <f t="shared" si="29"/>
        <v>621Tuntum - MA</v>
      </c>
      <c r="R225" s="28" t="str">
        <f>VLOOKUP(A225,'JOGOS BASE'!A:H,8)</f>
        <v>15.01.2025 - Tuntum - MA x Imperatriz - MA</v>
      </c>
    </row>
    <row r="226" spans="1:18" ht="30.6">
      <c r="A226" s="15">
        <v>6</v>
      </c>
      <c r="B226" s="46">
        <v>22</v>
      </c>
      <c r="C226" s="45" t="s">
        <v>559</v>
      </c>
      <c r="D226" s="45" t="s">
        <v>560</v>
      </c>
      <c r="E226" s="47" t="s">
        <v>42</v>
      </c>
      <c r="F226" s="47" t="s">
        <v>24</v>
      </c>
      <c r="G226" s="46">
        <v>647116</v>
      </c>
      <c r="H226" s="18" t="s">
        <v>388</v>
      </c>
      <c r="I226" s="26" t="str">
        <f t="shared" si="25"/>
        <v>ANTONIO</v>
      </c>
      <c r="J226" s="26" t="str">
        <f t="shared" si="26"/>
        <v>6Tuntum - MA22</v>
      </c>
      <c r="K226" s="27" t="str">
        <f>IFERROR(VLOOKUP(J226,Substituicoes!J:J,1,0),"SS")</f>
        <v>SS</v>
      </c>
      <c r="L226" s="27" t="str">
        <f>IFERROR(VLOOKUP(J226,Substituicoes!K:K,1,0),"SS")</f>
        <v>SS</v>
      </c>
      <c r="M226" s="28" t="b">
        <f t="shared" si="27"/>
        <v>1</v>
      </c>
      <c r="N226" s="29">
        <f>IF(AND(K226=L226,LEFT(E226,1)="T"),VLOOKUP(A226,'JOGOS BASE'!A:E,4,0),IF(K226=J226,VLOOKUP(J226,Substituicoes!J:R,6,0),IF(L226=J226,VLOOKUP(Escalacao!J226,Substituicoes!K:R,7,0),0)))</f>
        <v>0</v>
      </c>
      <c r="O226" s="28">
        <f>IF(AND(K226=L226,LEFT(E226,1)="T"),VLOOKUP(A226,'JOGOS BASE'!A:E,5,0),IF(K226=J226,VLOOKUP(J226,Substituicoes!J:R,7,0),IF(L226=J226,VLOOKUP(Escalacao!J226,Substituicoes!K:R,8,0),0)))</f>
        <v>0</v>
      </c>
      <c r="P226" s="28">
        <f t="shared" si="28"/>
        <v>0</v>
      </c>
      <c r="Q226" s="28" t="str">
        <f t="shared" si="29"/>
        <v>622Tuntum - MA</v>
      </c>
      <c r="R226" s="28" t="str">
        <f>VLOOKUP(A226,'JOGOS BASE'!A:H,8)</f>
        <v>15.01.2025 - Tuntum - MA x Imperatriz - MA</v>
      </c>
    </row>
    <row r="227" spans="1:18" ht="20.399999999999999">
      <c r="A227" s="15">
        <v>6</v>
      </c>
      <c r="B227" s="46">
        <v>1</v>
      </c>
      <c r="C227" s="45" t="s">
        <v>21</v>
      </c>
      <c r="D227" s="45" t="s">
        <v>22</v>
      </c>
      <c r="E227" s="47" t="s">
        <v>23</v>
      </c>
      <c r="F227" s="47" t="s">
        <v>24</v>
      </c>
      <c r="G227" s="46">
        <v>459328</v>
      </c>
      <c r="H227" s="18" t="s">
        <v>107</v>
      </c>
      <c r="I227" s="26" t="str">
        <f t="shared" si="25"/>
        <v>Jr Conceiç ...</v>
      </c>
      <c r="J227" s="26" t="str">
        <f t="shared" si="26"/>
        <v>6Imperatriz - MA1</v>
      </c>
      <c r="K227" s="27" t="str">
        <f>IFERROR(VLOOKUP(J227,Substituicoes!J:J,1,0),"SS")</f>
        <v>SS</v>
      </c>
      <c r="L227" s="27" t="str">
        <f>IFERROR(VLOOKUP(J227,Substituicoes!K:K,1,0),"SS")</f>
        <v>SS</v>
      </c>
      <c r="M227" s="28" t="b">
        <f t="shared" si="27"/>
        <v>1</v>
      </c>
      <c r="N227" s="29">
        <f>IF(AND(K227=L227,LEFT(E227,1)="T"),VLOOKUP(A227,'JOGOS BASE'!A:E,4,0),IF(K227=J227,VLOOKUP(J227,Substituicoes!J:R,6,0),IF(L227=J227,VLOOKUP(Escalacao!J227,Substituicoes!K:R,7,0),0)))</f>
        <v>50</v>
      </c>
      <c r="O227" s="28">
        <f>IF(AND(K227=L227,LEFT(E227,1)="T"),VLOOKUP(A227,'JOGOS BASE'!A:E,5,0),IF(K227=J227,VLOOKUP(J227,Substituicoes!J:R,7,0),IF(L227=J227,VLOOKUP(Escalacao!J227,Substituicoes!K:R,8,0),0)))</f>
        <v>50</v>
      </c>
      <c r="P227" s="28">
        <f t="shared" si="28"/>
        <v>100</v>
      </c>
      <c r="Q227" s="28" t="str">
        <f t="shared" si="29"/>
        <v>61Imperatriz - MA</v>
      </c>
      <c r="R227" s="28" t="str">
        <f>VLOOKUP(A227,'JOGOS BASE'!A:H,8)</f>
        <v>15.01.2025 - Tuntum - MA x Imperatriz - MA</v>
      </c>
    </row>
    <row r="228" spans="1:18" ht="30.6">
      <c r="A228" s="15">
        <v>6</v>
      </c>
      <c r="B228" s="46">
        <v>2</v>
      </c>
      <c r="C228" s="45" t="s">
        <v>561</v>
      </c>
      <c r="D228" s="45" t="s">
        <v>562</v>
      </c>
      <c r="E228" s="47" t="s">
        <v>26</v>
      </c>
      <c r="F228" s="47" t="s">
        <v>24</v>
      </c>
      <c r="G228" s="46">
        <v>191387</v>
      </c>
      <c r="H228" s="18" t="s">
        <v>107</v>
      </c>
      <c r="I228" s="26" t="str">
        <f t="shared" si="25"/>
        <v>Ceara</v>
      </c>
      <c r="J228" s="26" t="str">
        <f t="shared" si="26"/>
        <v>6Imperatriz - MA2</v>
      </c>
      <c r="K228" s="27" t="str">
        <f>IFERROR(VLOOKUP(J228,Substituicoes!J:J,1,0),"SS")</f>
        <v>SS</v>
      </c>
      <c r="L228" s="27" t="str">
        <f>IFERROR(VLOOKUP(J228,Substituicoes!K:K,1,0),"SS")</f>
        <v>SS</v>
      </c>
      <c r="M228" s="28" t="b">
        <f t="shared" si="27"/>
        <v>1</v>
      </c>
      <c r="N228" s="29">
        <f>IF(AND(K228=L228,LEFT(E228,1)="T"),VLOOKUP(A228,'JOGOS BASE'!A:E,4,0),IF(K228=J228,VLOOKUP(J228,Substituicoes!J:R,6,0),IF(L228=J228,VLOOKUP(Escalacao!J228,Substituicoes!K:R,7,0),0)))</f>
        <v>50</v>
      </c>
      <c r="O228" s="28">
        <f>IF(AND(K228=L228,LEFT(E228,1)="T"),VLOOKUP(A228,'JOGOS BASE'!A:E,5,0),IF(K228=J228,VLOOKUP(J228,Substituicoes!J:R,7,0),IF(L228=J228,VLOOKUP(Escalacao!J228,Substituicoes!K:R,8,0),0)))</f>
        <v>50</v>
      </c>
      <c r="P228" s="28">
        <f t="shared" si="28"/>
        <v>100</v>
      </c>
      <c r="Q228" s="28" t="str">
        <f t="shared" si="29"/>
        <v>62Imperatriz - MA</v>
      </c>
      <c r="R228" s="28" t="str">
        <f>VLOOKUP(A228,'JOGOS BASE'!A:H,8)</f>
        <v>15.01.2025 - Tuntum - MA x Imperatriz - MA</v>
      </c>
    </row>
    <row r="229" spans="1:18" ht="20.399999999999999">
      <c r="A229" s="15">
        <v>6</v>
      </c>
      <c r="B229" s="46">
        <v>3</v>
      </c>
      <c r="C229" s="45" t="s">
        <v>2</v>
      </c>
      <c r="D229" s="45" t="s">
        <v>27</v>
      </c>
      <c r="E229" s="47" t="s">
        <v>26</v>
      </c>
      <c r="F229" s="47" t="s">
        <v>24</v>
      </c>
      <c r="G229" s="46">
        <v>393115</v>
      </c>
      <c r="H229" s="18" t="s">
        <v>107</v>
      </c>
      <c r="I229" s="26" t="str">
        <f t="shared" si="25"/>
        <v>Andre Penalva</v>
      </c>
      <c r="J229" s="26" t="str">
        <f t="shared" si="26"/>
        <v>6Imperatriz - MA3</v>
      </c>
      <c r="K229" s="27" t="str">
        <f>IFERROR(VLOOKUP(J229,Substituicoes!J:J,1,0),"SS")</f>
        <v>SS</v>
      </c>
      <c r="L229" s="27" t="str">
        <f>IFERROR(VLOOKUP(J229,Substituicoes!K:K,1,0),"SS")</f>
        <v>SS</v>
      </c>
      <c r="M229" s="28" t="b">
        <f t="shared" si="27"/>
        <v>1</v>
      </c>
      <c r="N229" s="29">
        <f>IF(AND(K229=L229,LEFT(E229,1)="T"),VLOOKUP(A229,'JOGOS BASE'!A:E,4,0),IF(K229=J229,VLOOKUP(J229,Substituicoes!J:R,6,0),IF(L229=J229,VLOOKUP(Escalacao!J229,Substituicoes!K:R,7,0),0)))</f>
        <v>50</v>
      </c>
      <c r="O229" s="28">
        <f>IF(AND(K229=L229,LEFT(E229,1)="T"),VLOOKUP(A229,'JOGOS BASE'!A:E,5,0),IF(K229=J229,VLOOKUP(J229,Substituicoes!J:R,7,0),IF(L229=J229,VLOOKUP(Escalacao!J229,Substituicoes!K:R,8,0),0)))</f>
        <v>50</v>
      </c>
      <c r="P229" s="28">
        <f t="shared" si="28"/>
        <v>100</v>
      </c>
      <c r="Q229" s="28" t="str">
        <f t="shared" si="29"/>
        <v>63Imperatriz - MA</v>
      </c>
      <c r="R229" s="28" t="str">
        <f>VLOOKUP(A229,'JOGOS BASE'!A:H,8)</f>
        <v>15.01.2025 - Tuntum - MA x Imperatriz - MA</v>
      </c>
    </row>
    <row r="230" spans="1:18" ht="20.399999999999999">
      <c r="A230" s="15">
        <v>6</v>
      </c>
      <c r="B230" s="46">
        <v>4</v>
      </c>
      <c r="C230" s="45" t="s">
        <v>28</v>
      </c>
      <c r="D230" s="45" t="s">
        <v>29</v>
      </c>
      <c r="E230" s="47" t="s">
        <v>26</v>
      </c>
      <c r="F230" s="47" t="s">
        <v>24</v>
      </c>
      <c r="G230" s="46">
        <v>373479</v>
      </c>
      <c r="H230" s="18" t="s">
        <v>107</v>
      </c>
      <c r="I230" s="26" t="str">
        <f t="shared" si="25"/>
        <v>FELIPE</v>
      </c>
      <c r="J230" s="26" t="str">
        <f t="shared" si="26"/>
        <v>6Imperatriz - MA4</v>
      </c>
      <c r="K230" s="27" t="str">
        <f>IFERROR(VLOOKUP(J230,Substituicoes!J:J,1,0),"SS")</f>
        <v>SS</v>
      </c>
      <c r="L230" s="27" t="str">
        <f>IFERROR(VLOOKUP(J230,Substituicoes!K:K,1,0),"SS")</f>
        <v>SS</v>
      </c>
      <c r="M230" s="28" t="b">
        <f t="shared" si="27"/>
        <v>1</v>
      </c>
      <c r="N230" s="29">
        <f>IF(AND(K230=L230,LEFT(E230,1)="T"),VLOOKUP(A230,'JOGOS BASE'!A:E,4,0),IF(K230=J230,VLOOKUP(J230,Substituicoes!J:R,6,0),IF(L230=J230,VLOOKUP(Escalacao!J230,Substituicoes!K:R,7,0),0)))</f>
        <v>50</v>
      </c>
      <c r="O230" s="28">
        <f>IF(AND(K230=L230,LEFT(E230,1)="T"),VLOOKUP(A230,'JOGOS BASE'!A:E,5,0),IF(K230=J230,VLOOKUP(J230,Substituicoes!J:R,7,0),IF(L230=J230,VLOOKUP(Escalacao!J230,Substituicoes!K:R,8,0),0)))</f>
        <v>50</v>
      </c>
      <c r="P230" s="28">
        <f t="shared" si="28"/>
        <v>100</v>
      </c>
      <c r="Q230" s="28" t="str">
        <f t="shared" si="29"/>
        <v>64Imperatriz - MA</v>
      </c>
      <c r="R230" s="28" t="str">
        <f>VLOOKUP(A230,'JOGOS BASE'!A:H,8)</f>
        <v>15.01.2025 - Tuntum - MA x Imperatriz - MA</v>
      </c>
    </row>
    <row r="231" spans="1:18" ht="30.6">
      <c r="A231" s="15">
        <v>6</v>
      </c>
      <c r="B231" s="46">
        <v>5</v>
      </c>
      <c r="C231" s="45" t="s">
        <v>30</v>
      </c>
      <c r="D231" s="45" t="s">
        <v>31</v>
      </c>
      <c r="E231" s="47" t="s">
        <v>26</v>
      </c>
      <c r="F231" s="47" t="s">
        <v>24</v>
      </c>
      <c r="G231" s="46">
        <v>345029</v>
      </c>
      <c r="H231" s="18" t="s">
        <v>107</v>
      </c>
      <c r="I231" s="26" t="str">
        <f t="shared" si="25"/>
        <v>Jeferson P ...</v>
      </c>
      <c r="J231" s="26" t="str">
        <f t="shared" si="26"/>
        <v>6Imperatriz - MA5</v>
      </c>
      <c r="K231" s="27" t="str">
        <f>IFERROR(VLOOKUP(J231,Substituicoes!J:J,1,0),"SS")</f>
        <v>SS</v>
      </c>
      <c r="L231" s="27" t="str">
        <f>IFERROR(VLOOKUP(J231,Substituicoes!K:K,1,0),"SS")</f>
        <v>SS</v>
      </c>
      <c r="M231" s="28" t="b">
        <f t="shared" si="27"/>
        <v>1</v>
      </c>
      <c r="N231" s="29">
        <f>IF(AND(K231=L231,LEFT(E231,1)="T"),VLOOKUP(A231,'JOGOS BASE'!A:E,4,0),IF(K231=J231,VLOOKUP(J231,Substituicoes!J:R,6,0),IF(L231=J231,VLOOKUP(Escalacao!J231,Substituicoes!K:R,7,0),0)))</f>
        <v>50</v>
      </c>
      <c r="O231" s="28">
        <f>IF(AND(K231=L231,LEFT(E231,1)="T"),VLOOKUP(A231,'JOGOS BASE'!A:E,5,0),IF(K231=J231,VLOOKUP(J231,Substituicoes!J:R,7,0),IF(L231=J231,VLOOKUP(Escalacao!J231,Substituicoes!K:R,8,0),0)))</f>
        <v>50</v>
      </c>
      <c r="P231" s="28">
        <f t="shared" si="28"/>
        <v>100</v>
      </c>
      <c r="Q231" s="28" t="str">
        <f t="shared" si="29"/>
        <v>65Imperatriz - MA</v>
      </c>
      <c r="R231" s="28" t="str">
        <f>VLOOKUP(A231,'JOGOS BASE'!A:H,8)</f>
        <v>15.01.2025 - Tuntum - MA x Imperatriz - MA</v>
      </c>
    </row>
    <row r="232" spans="1:18" ht="30.6">
      <c r="A232" s="15">
        <v>6</v>
      </c>
      <c r="B232" s="46">
        <v>6</v>
      </c>
      <c r="C232" s="45" t="s">
        <v>3</v>
      </c>
      <c r="D232" s="45" t="s">
        <v>32</v>
      </c>
      <c r="E232" s="47" t="s">
        <v>26</v>
      </c>
      <c r="F232" s="47" t="s">
        <v>24</v>
      </c>
      <c r="G232" s="46">
        <v>634279</v>
      </c>
      <c r="H232" s="18" t="s">
        <v>107</v>
      </c>
      <c r="I232" s="26" t="str">
        <f t="shared" si="25"/>
        <v>Negueba</v>
      </c>
      <c r="J232" s="26" t="str">
        <f t="shared" si="26"/>
        <v>6Imperatriz - MA6</v>
      </c>
      <c r="K232" s="27" t="str">
        <f>IFERROR(VLOOKUP(J232,Substituicoes!J:J,1,0),"SS")</f>
        <v>SS</v>
      </c>
      <c r="L232" s="27" t="str">
        <f>IFERROR(VLOOKUP(J232,Substituicoes!K:K,1,0),"SS")</f>
        <v>SS</v>
      </c>
      <c r="M232" s="28" t="b">
        <f t="shared" si="27"/>
        <v>1</v>
      </c>
      <c r="N232" s="29">
        <f>IF(AND(K232=L232,LEFT(E232,1)="T"),VLOOKUP(A232,'JOGOS BASE'!A:E,4,0),IF(K232=J232,VLOOKUP(J232,Substituicoes!J:R,6,0),IF(L232=J232,VLOOKUP(Escalacao!J232,Substituicoes!K:R,7,0),0)))</f>
        <v>50</v>
      </c>
      <c r="O232" s="28">
        <f>IF(AND(K232=L232,LEFT(E232,1)="T"),VLOOKUP(A232,'JOGOS BASE'!A:E,5,0),IF(K232=J232,VLOOKUP(J232,Substituicoes!J:R,7,0),IF(L232=J232,VLOOKUP(Escalacao!J232,Substituicoes!K:R,8,0),0)))</f>
        <v>50</v>
      </c>
      <c r="P232" s="28">
        <f t="shared" si="28"/>
        <v>100</v>
      </c>
      <c r="Q232" s="28" t="str">
        <f t="shared" si="29"/>
        <v>66Imperatriz - MA</v>
      </c>
      <c r="R232" s="28" t="str">
        <f>VLOOKUP(A232,'JOGOS BASE'!A:H,8)</f>
        <v>15.01.2025 - Tuntum - MA x Imperatriz - MA</v>
      </c>
    </row>
    <row r="233" spans="1:18" ht="20.399999999999999">
      <c r="A233" s="15">
        <v>6</v>
      </c>
      <c r="B233" s="46">
        <v>7</v>
      </c>
      <c r="C233" s="45" t="s">
        <v>4</v>
      </c>
      <c r="D233" s="45" t="s">
        <v>33</v>
      </c>
      <c r="E233" s="47" t="s">
        <v>26</v>
      </c>
      <c r="F233" s="47" t="s">
        <v>24</v>
      </c>
      <c r="G233" s="46">
        <v>546130</v>
      </c>
      <c r="H233" s="18" t="s">
        <v>107</v>
      </c>
      <c r="I233" s="26" t="str">
        <f t="shared" si="25"/>
        <v>Felipinho</v>
      </c>
      <c r="J233" s="26" t="str">
        <f t="shared" si="26"/>
        <v>6Imperatriz - MA7</v>
      </c>
      <c r="K233" s="27" t="str">
        <f>IFERROR(VLOOKUP(J233,Substituicoes!J:J,1,0),"SS")</f>
        <v>SS</v>
      </c>
      <c r="L233" s="27" t="str">
        <f>IFERROR(VLOOKUP(J233,Substituicoes!K:K,1,0),"SS")</f>
        <v>6Imperatriz - MA7</v>
      </c>
      <c r="M233" s="28" t="b">
        <f t="shared" si="27"/>
        <v>0</v>
      </c>
      <c r="N233" s="29">
        <f>IF(AND(K233=L233,LEFT(E233,1)="T"),VLOOKUP(A233,'JOGOS BASE'!A:E,4,0),IF(K233=J233,VLOOKUP(J233,Substituicoes!J:R,6,0),IF(L233=J233,VLOOKUP(Escalacao!J233,Substituicoes!K:R,7,0),0)))</f>
        <v>50</v>
      </c>
      <c r="O233" s="28">
        <f>IF(AND(K233=L233,LEFT(E233,1)="T"),VLOOKUP(A233,'JOGOS BASE'!A:E,5,0),IF(K233=J233,VLOOKUP(J233,Substituicoes!J:R,7,0),IF(L233=J233,VLOOKUP(Escalacao!J233,Substituicoes!K:R,8,0),0)))</f>
        <v>41</v>
      </c>
      <c r="P233" s="28">
        <f t="shared" si="28"/>
        <v>91</v>
      </c>
      <c r="Q233" s="28" t="str">
        <f t="shared" si="29"/>
        <v>67Imperatriz - MA</v>
      </c>
      <c r="R233" s="28" t="str">
        <f>VLOOKUP(A233,'JOGOS BASE'!A:H,8)</f>
        <v>15.01.2025 - Tuntum - MA x Imperatriz - MA</v>
      </c>
    </row>
    <row r="234" spans="1:18" ht="30.6">
      <c r="A234" s="15">
        <v>6</v>
      </c>
      <c r="B234" s="46">
        <v>8</v>
      </c>
      <c r="C234" s="45" t="s">
        <v>5</v>
      </c>
      <c r="D234" s="45" t="s">
        <v>34</v>
      </c>
      <c r="E234" s="47" t="s">
        <v>26</v>
      </c>
      <c r="F234" s="47" t="s">
        <v>24</v>
      </c>
      <c r="G234" s="46">
        <v>348355</v>
      </c>
      <c r="H234" s="18" t="s">
        <v>107</v>
      </c>
      <c r="I234" s="26" t="str">
        <f t="shared" si="25"/>
        <v>Felipe Macena</v>
      </c>
      <c r="J234" s="26" t="str">
        <f t="shared" si="26"/>
        <v>6Imperatriz - MA8</v>
      </c>
      <c r="K234" s="27" t="str">
        <f>IFERROR(VLOOKUP(J234,Substituicoes!J:J,1,0),"SS")</f>
        <v>SS</v>
      </c>
      <c r="L234" s="27" t="str">
        <f>IFERROR(VLOOKUP(J234,Substituicoes!K:K,1,0),"SS")</f>
        <v>6Imperatriz - MA8</v>
      </c>
      <c r="M234" s="28" t="b">
        <f t="shared" si="27"/>
        <v>0</v>
      </c>
      <c r="N234" s="29">
        <f>IF(AND(K234=L234,LEFT(E234,1)="T"),VLOOKUP(A234,'JOGOS BASE'!A:E,4,0),IF(K234=J234,VLOOKUP(J234,Substituicoes!J:R,6,0),IF(L234=J234,VLOOKUP(Escalacao!J234,Substituicoes!K:R,7,0),0)))</f>
        <v>50</v>
      </c>
      <c r="O234" s="28">
        <f>IF(AND(K234=L234,LEFT(E234,1)="T"),VLOOKUP(A234,'JOGOS BASE'!A:E,5,0),IF(K234=J234,VLOOKUP(J234,Substituicoes!J:R,7,0),IF(L234=J234,VLOOKUP(Escalacao!J234,Substituicoes!K:R,8,0),0)))</f>
        <v>31</v>
      </c>
      <c r="P234" s="28">
        <f t="shared" si="28"/>
        <v>81</v>
      </c>
      <c r="Q234" s="28" t="str">
        <f t="shared" si="29"/>
        <v>68Imperatriz - MA</v>
      </c>
      <c r="R234" s="28" t="str">
        <f>VLOOKUP(A234,'JOGOS BASE'!A:H,8)</f>
        <v>15.01.2025 - Tuntum - MA x Imperatriz - MA</v>
      </c>
    </row>
    <row r="235" spans="1:18" ht="30.6">
      <c r="A235" s="15">
        <v>6</v>
      </c>
      <c r="B235" s="46">
        <v>9</v>
      </c>
      <c r="C235" s="45" t="s">
        <v>6</v>
      </c>
      <c r="D235" s="45" t="s">
        <v>563</v>
      </c>
      <c r="E235" s="47" t="s">
        <v>26</v>
      </c>
      <c r="F235" s="47" t="s">
        <v>24</v>
      </c>
      <c r="G235" s="46">
        <v>637641</v>
      </c>
      <c r="H235" s="18" t="s">
        <v>107</v>
      </c>
      <c r="I235" s="26" t="str">
        <f t="shared" si="25"/>
        <v>Lussandro</v>
      </c>
      <c r="J235" s="26" t="str">
        <f t="shared" si="26"/>
        <v>6Imperatriz - MA9</v>
      </c>
      <c r="K235" s="27" t="str">
        <f>IFERROR(VLOOKUP(J235,Substituicoes!J:J,1,0),"SS")</f>
        <v>SS</v>
      </c>
      <c r="L235" s="27" t="str">
        <f>IFERROR(VLOOKUP(J235,Substituicoes!K:K,1,0),"SS")</f>
        <v>6Imperatriz - MA9</v>
      </c>
      <c r="M235" s="28" t="b">
        <f t="shared" si="27"/>
        <v>0</v>
      </c>
      <c r="N235" s="29">
        <f>IF(AND(K235=L235,LEFT(E235,1)="T"),VLOOKUP(A235,'JOGOS BASE'!A:E,4,0),IF(K235=J235,VLOOKUP(J235,Substituicoes!J:R,6,0),IF(L235=J235,VLOOKUP(Escalacao!J235,Substituicoes!K:R,7,0),0)))</f>
        <v>50</v>
      </c>
      <c r="O235" s="28">
        <f>IF(AND(K235=L235,LEFT(E235,1)="T"),VLOOKUP(A235,'JOGOS BASE'!A:E,5,0),IF(K235=J235,VLOOKUP(J235,Substituicoes!J:R,7,0),IF(L235=J235,VLOOKUP(Escalacao!J235,Substituicoes!K:R,8,0),0)))</f>
        <v>31</v>
      </c>
      <c r="P235" s="28">
        <f t="shared" si="28"/>
        <v>81</v>
      </c>
      <c r="Q235" s="28" t="str">
        <f t="shared" si="29"/>
        <v>69Imperatriz - MA</v>
      </c>
      <c r="R235" s="28" t="str">
        <f>VLOOKUP(A235,'JOGOS BASE'!A:H,8)</f>
        <v>15.01.2025 - Tuntum - MA x Imperatriz - MA</v>
      </c>
    </row>
    <row r="236" spans="1:18" ht="30.6">
      <c r="A236" s="15">
        <v>6</v>
      </c>
      <c r="B236" s="46">
        <v>10</v>
      </c>
      <c r="C236" s="45" t="s">
        <v>36</v>
      </c>
      <c r="D236" s="45" t="s">
        <v>37</v>
      </c>
      <c r="E236" s="47" t="s">
        <v>26</v>
      </c>
      <c r="F236" s="47" t="s">
        <v>24</v>
      </c>
      <c r="G236" s="46">
        <v>293426</v>
      </c>
      <c r="H236" s="18" t="s">
        <v>107</v>
      </c>
      <c r="I236" s="26" t="str">
        <f t="shared" si="25"/>
        <v>Henrique S ...</v>
      </c>
      <c r="J236" s="26" t="str">
        <f t="shared" si="26"/>
        <v>6Imperatriz - MA10</v>
      </c>
      <c r="K236" s="27" t="str">
        <f>IFERROR(VLOOKUP(J236,Substituicoes!J:J,1,0),"SS")</f>
        <v>SS</v>
      </c>
      <c r="L236" s="27" t="str">
        <f>IFERROR(VLOOKUP(J236,Substituicoes!K:K,1,0),"SS")</f>
        <v>6Imperatriz - MA10</v>
      </c>
      <c r="M236" s="28" t="b">
        <f t="shared" si="27"/>
        <v>0</v>
      </c>
      <c r="N236" s="29">
        <f>IF(AND(K236=L236,LEFT(E236,1)="T"),VLOOKUP(A236,'JOGOS BASE'!A:E,4,0),IF(K236=J236,VLOOKUP(J236,Substituicoes!J:R,6,0),IF(L236=J236,VLOOKUP(Escalacao!J236,Substituicoes!K:R,7,0),0)))</f>
        <v>50</v>
      </c>
      <c r="O236" s="28">
        <f>IF(AND(K236=L236,LEFT(E236,1)="T"),VLOOKUP(A236,'JOGOS BASE'!A:E,5,0),IF(K236=J236,VLOOKUP(J236,Substituicoes!J:R,7,0),IF(L236=J236,VLOOKUP(Escalacao!J236,Substituicoes!K:R,8,0),0)))</f>
        <v>17</v>
      </c>
      <c r="P236" s="28">
        <f t="shared" si="28"/>
        <v>67</v>
      </c>
      <c r="Q236" s="28" t="str">
        <f t="shared" si="29"/>
        <v>610Imperatriz - MA</v>
      </c>
      <c r="R236" s="28" t="str">
        <f>VLOOKUP(A236,'JOGOS BASE'!A:H,8)</f>
        <v>15.01.2025 - Tuntum - MA x Imperatriz - MA</v>
      </c>
    </row>
    <row r="237" spans="1:18" ht="20.399999999999999">
      <c r="A237" s="15">
        <v>6</v>
      </c>
      <c r="B237" s="46">
        <v>19</v>
      </c>
      <c r="C237" s="45" t="s">
        <v>7</v>
      </c>
      <c r="D237" s="45" t="s">
        <v>38</v>
      </c>
      <c r="E237" s="47" t="s">
        <v>26</v>
      </c>
      <c r="F237" s="47" t="s">
        <v>24</v>
      </c>
      <c r="G237" s="46">
        <v>386286</v>
      </c>
      <c r="H237" s="18" t="s">
        <v>107</v>
      </c>
      <c r="I237" s="26" t="str">
        <f t="shared" si="25"/>
        <v>Café</v>
      </c>
      <c r="J237" s="26" t="str">
        <f t="shared" si="26"/>
        <v>6Imperatriz - MA19</v>
      </c>
      <c r="K237" s="27" t="str">
        <f>IFERROR(VLOOKUP(J237,Substituicoes!J:J,1,0),"SS")</f>
        <v>SS</v>
      </c>
      <c r="L237" s="27" t="str">
        <f>IFERROR(VLOOKUP(J237,Substituicoes!K:K,1,0),"SS")</f>
        <v>6Imperatriz - MA19</v>
      </c>
      <c r="M237" s="28" t="b">
        <f t="shared" si="27"/>
        <v>0</v>
      </c>
      <c r="N237" s="29">
        <f>IF(AND(K237=L237,LEFT(E237,1)="T"),VLOOKUP(A237,'JOGOS BASE'!A:E,4,0),IF(K237=J237,VLOOKUP(J237,Substituicoes!J:R,6,0),IF(L237=J237,VLOOKUP(Escalacao!J237,Substituicoes!K:R,7,0),0)))</f>
        <v>50</v>
      </c>
      <c r="O237" s="28">
        <f>IF(AND(K237=L237,LEFT(E237,1)="T"),VLOOKUP(A237,'JOGOS BASE'!A:E,5,0),IF(K237=J237,VLOOKUP(J237,Substituicoes!J:R,7,0),IF(L237=J237,VLOOKUP(Escalacao!J237,Substituicoes!K:R,8,0),0)))</f>
        <v>17</v>
      </c>
      <c r="P237" s="28">
        <f t="shared" si="28"/>
        <v>67</v>
      </c>
      <c r="Q237" s="28" t="str">
        <f t="shared" si="29"/>
        <v>619Imperatriz - MA</v>
      </c>
      <c r="R237" s="28" t="str">
        <f>VLOOKUP(A237,'JOGOS BASE'!A:H,8)</f>
        <v>15.01.2025 - Tuntum - MA x Imperatriz - MA</v>
      </c>
    </row>
    <row r="238" spans="1:18" ht="30.6">
      <c r="A238" s="15">
        <v>6</v>
      </c>
      <c r="B238" s="46">
        <v>12</v>
      </c>
      <c r="C238" s="45" t="s">
        <v>8</v>
      </c>
      <c r="D238" s="45" t="s">
        <v>39</v>
      </c>
      <c r="E238" s="47" t="s">
        <v>40</v>
      </c>
      <c r="F238" s="47" t="s">
        <v>24</v>
      </c>
      <c r="G238" s="46">
        <v>426518</v>
      </c>
      <c r="H238" s="18" t="s">
        <v>107</v>
      </c>
      <c r="I238" s="26" t="str">
        <f t="shared" si="25"/>
        <v>Redson</v>
      </c>
      <c r="J238" s="26" t="str">
        <f t="shared" si="26"/>
        <v>6Imperatriz - MA12</v>
      </c>
      <c r="K238" s="27" t="str">
        <f>IFERROR(VLOOKUP(J238,Substituicoes!J:J,1,0),"SS")</f>
        <v>SS</v>
      </c>
      <c r="L238" s="27" t="str">
        <f>IFERROR(VLOOKUP(J238,Substituicoes!K:K,1,0),"SS")</f>
        <v>SS</v>
      </c>
      <c r="M238" s="28" t="b">
        <f t="shared" si="27"/>
        <v>1</v>
      </c>
      <c r="N238" s="29">
        <f>IF(AND(K238=L238,LEFT(E238,1)="T"),VLOOKUP(A238,'JOGOS BASE'!A:E,4,0),IF(K238=J238,VLOOKUP(J238,Substituicoes!J:R,6,0),IF(L238=J238,VLOOKUP(Escalacao!J238,Substituicoes!K:R,7,0),0)))</f>
        <v>0</v>
      </c>
      <c r="O238" s="28">
        <f>IF(AND(K238=L238,LEFT(E238,1)="T"),VLOOKUP(A238,'JOGOS BASE'!A:E,5,0),IF(K238=J238,VLOOKUP(J238,Substituicoes!J:R,7,0),IF(L238=J238,VLOOKUP(Escalacao!J238,Substituicoes!K:R,8,0),0)))</f>
        <v>0</v>
      </c>
      <c r="P238" s="28">
        <f t="shared" si="28"/>
        <v>0</v>
      </c>
      <c r="Q238" s="28" t="str">
        <f t="shared" si="29"/>
        <v>612Imperatriz - MA</v>
      </c>
      <c r="R238" s="28" t="str">
        <f>VLOOKUP(A238,'JOGOS BASE'!A:H,8)</f>
        <v>15.01.2025 - Tuntum - MA x Imperatriz - MA</v>
      </c>
    </row>
    <row r="239" spans="1:18" ht="30.6">
      <c r="A239" s="15">
        <v>6</v>
      </c>
      <c r="B239" s="46">
        <v>11</v>
      </c>
      <c r="C239" s="45" t="s">
        <v>51</v>
      </c>
      <c r="D239" s="45" t="s">
        <v>564</v>
      </c>
      <c r="E239" s="47" t="s">
        <v>42</v>
      </c>
      <c r="F239" s="47" t="s">
        <v>24</v>
      </c>
      <c r="G239" s="46">
        <v>611147</v>
      </c>
      <c r="H239" s="18" t="s">
        <v>107</v>
      </c>
      <c r="I239" s="26" t="str">
        <f t="shared" si="25"/>
        <v>WYLDSON</v>
      </c>
      <c r="J239" s="26" t="str">
        <f t="shared" si="26"/>
        <v>6Imperatriz - MA11</v>
      </c>
      <c r="K239" s="27" t="str">
        <f>IFERROR(VLOOKUP(J239,Substituicoes!J:J,1,0),"SS")</f>
        <v>6Imperatriz - MA11</v>
      </c>
      <c r="L239" s="27" t="str">
        <f>IFERROR(VLOOKUP(J239,Substituicoes!K:K,1,0),"SS")</f>
        <v>SS</v>
      </c>
      <c r="M239" s="28" t="b">
        <f t="shared" si="27"/>
        <v>0</v>
      </c>
      <c r="N239" s="29">
        <f>IF(AND(K239=L239,LEFT(E239,1)="T"),VLOOKUP(A239,'JOGOS BASE'!A:E,4,0),IF(K239=J239,VLOOKUP(J239,Substituicoes!J:R,6,0),IF(L239=J239,VLOOKUP(Escalacao!J239,Substituicoes!K:R,7,0),0)))</f>
        <v>0</v>
      </c>
      <c r="O239" s="28">
        <f>IF(AND(K239=L239,LEFT(E239,1)="T"),VLOOKUP(A239,'JOGOS BASE'!A:E,5,0),IF(K239=J239,VLOOKUP(J239,Substituicoes!J:R,7,0),IF(L239=J239,VLOOKUP(Escalacao!J239,Substituicoes!K:R,8,0),0)))</f>
        <v>33</v>
      </c>
      <c r="P239" s="28">
        <f t="shared" si="28"/>
        <v>33</v>
      </c>
      <c r="Q239" s="28" t="str">
        <f t="shared" si="29"/>
        <v>611Imperatriz - MA</v>
      </c>
      <c r="R239" s="28" t="str">
        <f>VLOOKUP(A239,'JOGOS BASE'!A:H,8)</f>
        <v>15.01.2025 - Tuntum - MA x Imperatriz - MA</v>
      </c>
    </row>
    <row r="240" spans="1:18" ht="30.6">
      <c r="A240" s="15">
        <v>6</v>
      </c>
      <c r="B240" s="46">
        <v>13</v>
      </c>
      <c r="C240" s="45" t="s">
        <v>9</v>
      </c>
      <c r="D240" s="45" t="s">
        <v>41</v>
      </c>
      <c r="E240" s="47" t="s">
        <v>42</v>
      </c>
      <c r="F240" s="47" t="s">
        <v>24</v>
      </c>
      <c r="G240" s="46">
        <v>460285</v>
      </c>
      <c r="H240" s="18" t="s">
        <v>107</v>
      </c>
      <c r="I240" s="26" t="str">
        <f t="shared" si="25"/>
        <v>Max Maraba</v>
      </c>
      <c r="J240" s="26" t="str">
        <f t="shared" si="26"/>
        <v>6Imperatriz - MA13</v>
      </c>
      <c r="K240" s="27" t="str">
        <f>IFERROR(VLOOKUP(J240,Substituicoes!J:J,1,0),"SS")</f>
        <v>SS</v>
      </c>
      <c r="L240" s="27" t="str">
        <f>IFERROR(VLOOKUP(J240,Substituicoes!K:K,1,0),"SS")</f>
        <v>SS</v>
      </c>
      <c r="M240" s="28" t="b">
        <f t="shared" si="27"/>
        <v>1</v>
      </c>
      <c r="N240" s="29">
        <f>IF(AND(K240=L240,LEFT(E240,1)="T"),VLOOKUP(A240,'JOGOS BASE'!A:E,4,0),IF(K240=J240,VLOOKUP(J240,Substituicoes!J:R,6,0),IF(L240=J240,VLOOKUP(Escalacao!J240,Substituicoes!K:R,7,0),0)))</f>
        <v>0</v>
      </c>
      <c r="O240" s="28">
        <f>IF(AND(K240=L240,LEFT(E240,1)="T"),VLOOKUP(A240,'JOGOS BASE'!A:E,5,0),IF(K240=J240,VLOOKUP(J240,Substituicoes!J:R,7,0),IF(L240=J240,VLOOKUP(Escalacao!J240,Substituicoes!K:R,8,0),0)))</f>
        <v>0</v>
      </c>
      <c r="P240" s="28">
        <f t="shared" si="28"/>
        <v>0</v>
      </c>
      <c r="Q240" s="28" t="str">
        <f t="shared" si="29"/>
        <v>613Imperatriz - MA</v>
      </c>
      <c r="R240" s="28" t="str">
        <f>VLOOKUP(A240,'JOGOS BASE'!A:H,8)</f>
        <v>15.01.2025 - Tuntum - MA x Imperatriz - MA</v>
      </c>
    </row>
    <row r="241" spans="1:18" ht="30.6">
      <c r="A241" s="15">
        <v>6</v>
      </c>
      <c r="B241" s="46">
        <v>14</v>
      </c>
      <c r="C241" s="45" t="s">
        <v>43</v>
      </c>
      <c r="D241" s="45" t="s">
        <v>44</v>
      </c>
      <c r="E241" s="47" t="s">
        <v>42</v>
      </c>
      <c r="F241" s="47" t="s">
        <v>24</v>
      </c>
      <c r="G241" s="46">
        <v>782606</v>
      </c>
      <c r="H241" s="18" t="s">
        <v>107</v>
      </c>
      <c r="I241" s="26" t="str">
        <f t="shared" si="25"/>
        <v>Raylson</v>
      </c>
      <c r="J241" s="26" t="str">
        <f t="shared" si="26"/>
        <v>6Imperatriz - MA14</v>
      </c>
      <c r="K241" s="27" t="str">
        <f>IFERROR(VLOOKUP(J241,Substituicoes!J:J,1,0),"SS")</f>
        <v>SS</v>
      </c>
      <c r="L241" s="27" t="str">
        <f>IFERROR(VLOOKUP(J241,Substituicoes!K:K,1,0),"SS")</f>
        <v>SS</v>
      </c>
      <c r="M241" s="28" t="b">
        <f t="shared" si="27"/>
        <v>1</v>
      </c>
      <c r="N241" s="29">
        <f>IF(AND(K241=L241,LEFT(E241,1)="T"),VLOOKUP(A241,'JOGOS BASE'!A:E,4,0),IF(K241=J241,VLOOKUP(J241,Substituicoes!J:R,6,0),IF(L241=J241,VLOOKUP(Escalacao!J241,Substituicoes!K:R,7,0),0)))</f>
        <v>0</v>
      </c>
      <c r="O241" s="28">
        <f>IF(AND(K241=L241,LEFT(E241,1)="T"),VLOOKUP(A241,'JOGOS BASE'!A:E,5,0),IF(K241=J241,VLOOKUP(J241,Substituicoes!J:R,7,0),IF(L241=J241,VLOOKUP(Escalacao!J241,Substituicoes!K:R,8,0),0)))</f>
        <v>0</v>
      </c>
      <c r="P241" s="28">
        <f t="shared" si="28"/>
        <v>0</v>
      </c>
      <c r="Q241" s="28" t="str">
        <f t="shared" si="29"/>
        <v>614Imperatriz - MA</v>
      </c>
      <c r="R241" s="28" t="str">
        <f>VLOOKUP(A241,'JOGOS BASE'!A:H,8)</f>
        <v>15.01.2025 - Tuntum - MA x Imperatriz - MA</v>
      </c>
    </row>
    <row r="242" spans="1:18" ht="30.6">
      <c r="A242" s="15">
        <v>6</v>
      </c>
      <c r="B242" s="46">
        <v>15</v>
      </c>
      <c r="C242" s="45" t="s">
        <v>45</v>
      </c>
      <c r="D242" s="45" t="s">
        <v>46</v>
      </c>
      <c r="E242" s="47" t="s">
        <v>42</v>
      </c>
      <c r="F242" s="47" t="s">
        <v>24</v>
      </c>
      <c r="G242" s="46">
        <v>500483</v>
      </c>
      <c r="H242" s="18" t="s">
        <v>107</v>
      </c>
      <c r="I242" s="26" t="str">
        <f t="shared" si="25"/>
        <v>CARLOS</v>
      </c>
      <c r="J242" s="26" t="str">
        <f t="shared" si="26"/>
        <v>6Imperatriz - MA15</v>
      </c>
      <c r="K242" s="27" t="str">
        <f>IFERROR(VLOOKUP(J242,Substituicoes!J:J,1,0),"SS")</f>
        <v>6Imperatriz - MA15</v>
      </c>
      <c r="L242" s="27" t="str">
        <f>IFERROR(VLOOKUP(J242,Substituicoes!K:K,1,0),"SS")</f>
        <v>SS</v>
      </c>
      <c r="M242" s="28" t="b">
        <f t="shared" si="27"/>
        <v>0</v>
      </c>
      <c r="N242" s="29">
        <f>IF(AND(K242=L242,LEFT(E242,1)="T"),VLOOKUP(A242,'JOGOS BASE'!A:E,4,0),IF(K242=J242,VLOOKUP(J242,Substituicoes!J:R,6,0),IF(L242=J242,VLOOKUP(Escalacao!J242,Substituicoes!K:R,7,0),0)))</f>
        <v>0</v>
      </c>
      <c r="O242" s="28">
        <f>IF(AND(K242=L242,LEFT(E242,1)="T"),VLOOKUP(A242,'JOGOS BASE'!A:E,5,0),IF(K242=J242,VLOOKUP(J242,Substituicoes!J:R,7,0),IF(L242=J242,VLOOKUP(Escalacao!J242,Substituicoes!K:R,8,0),0)))</f>
        <v>9</v>
      </c>
      <c r="P242" s="28">
        <f t="shared" si="28"/>
        <v>9</v>
      </c>
      <c r="Q242" s="28" t="str">
        <f t="shared" si="29"/>
        <v>615Imperatriz - MA</v>
      </c>
      <c r="R242" s="28" t="str">
        <f>VLOOKUP(A242,'JOGOS BASE'!A:H,8)</f>
        <v>15.01.2025 - Tuntum - MA x Imperatriz - MA</v>
      </c>
    </row>
    <row r="243" spans="1:18" ht="30.6">
      <c r="A243" s="15">
        <v>6</v>
      </c>
      <c r="B243" s="46">
        <v>16</v>
      </c>
      <c r="C243" s="45" t="s">
        <v>565</v>
      </c>
      <c r="D243" s="45" t="s">
        <v>566</v>
      </c>
      <c r="E243" s="47" t="s">
        <v>42</v>
      </c>
      <c r="F243" s="47" t="s">
        <v>24</v>
      </c>
      <c r="G243" s="46">
        <v>300045</v>
      </c>
      <c r="H243" s="18" t="s">
        <v>107</v>
      </c>
      <c r="I243" s="26" t="str">
        <f t="shared" si="25"/>
        <v>Gleidson</v>
      </c>
      <c r="J243" s="26" t="str">
        <f t="shared" si="26"/>
        <v>6Imperatriz - MA16</v>
      </c>
      <c r="K243" s="27" t="str">
        <f>IFERROR(VLOOKUP(J243,Substituicoes!J:J,1,0),"SS")</f>
        <v>6Imperatriz - MA16</v>
      </c>
      <c r="L243" s="27" t="str">
        <f>IFERROR(VLOOKUP(J243,Substituicoes!K:K,1,0),"SS")</f>
        <v>SS</v>
      </c>
      <c r="M243" s="28" t="b">
        <f t="shared" si="27"/>
        <v>0</v>
      </c>
      <c r="N243" s="29">
        <f>IF(AND(K243=L243,LEFT(E243,1)="T"),VLOOKUP(A243,'JOGOS BASE'!A:E,4,0),IF(K243=J243,VLOOKUP(J243,Substituicoes!J:R,6,0),IF(L243=J243,VLOOKUP(Escalacao!J243,Substituicoes!K:R,7,0),0)))</f>
        <v>0</v>
      </c>
      <c r="O243" s="28">
        <f>IF(AND(K243=L243,LEFT(E243,1)="T"),VLOOKUP(A243,'JOGOS BASE'!A:E,5,0),IF(K243=J243,VLOOKUP(J243,Substituicoes!J:R,7,0),IF(L243=J243,VLOOKUP(Escalacao!J243,Substituicoes!K:R,8,0),0)))</f>
        <v>19</v>
      </c>
      <c r="P243" s="28">
        <f t="shared" si="28"/>
        <v>19</v>
      </c>
      <c r="Q243" s="28" t="str">
        <f t="shared" si="29"/>
        <v>616Imperatriz - MA</v>
      </c>
      <c r="R243" s="28" t="str">
        <f>VLOOKUP(A243,'JOGOS BASE'!A:H,8)</f>
        <v>15.01.2025 - Tuntum - MA x Imperatriz - MA</v>
      </c>
    </row>
    <row r="244" spans="1:18" ht="30.6">
      <c r="A244" s="15">
        <v>6</v>
      </c>
      <c r="B244" s="46">
        <v>17</v>
      </c>
      <c r="C244" s="45" t="s">
        <v>10</v>
      </c>
      <c r="D244" s="45" t="s">
        <v>49</v>
      </c>
      <c r="E244" s="47" t="s">
        <v>42</v>
      </c>
      <c r="F244" s="47" t="s">
        <v>24</v>
      </c>
      <c r="G244" s="46">
        <v>647823</v>
      </c>
      <c r="H244" s="18" t="s">
        <v>107</v>
      </c>
      <c r="I244" s="26" t="str">
        <f t="shared" si="25"/>
        <v>Pedro Zuccolo</v>
      </c>
      <c r="J244" s="26" t="str">
        <f t="shared" si="26"/>
        <v>6Imperatriz - MA17</v>
      </c>
      <c r="K244" s="27" t="str">
        <f>IFERROR(VLOOKUP(J244,Substituicoes!J:J,1,0),"SS")</f>
        <v>SS</v>
      </c>
      <c r="L244" s="27" t="str">
        <f>IFERROR(VLOOKUP(J244,Substituicoes!K:K,1,0),"SS")</f>
        <v>SS</v>
      </c>
      <c r="M244" s="28" t="b">
        <f t="shared" si="27"/>
        <v>1</v>
      </c>
      <c r="N244" s="29">
        <f>IF(AND(K244=L244,LEFT(E244,1)="T"),VLOOKUP(A244,'JOGOS BASE'!A:E,4,0),IF(K244=J244,VLOOKUP(J244,Substituicoes!J:R,6,0),IF(L244=J244,VLOOKUP(Escalacao!J244,Substituicoes!K:R,7,0),0)))</f>
        <v>0</v>
      </c>
      <c r="O244" s="28">
        <f>IF(AND(K244=L244,LEFT(E244,1)="T"),VLOOKUP(A244,'JOGOS BASE'!A:E,5,0),IF(K244=J244,VLOOKUP(J244,Substituicoes!J:R,7,0),IF(L244=J244,VLOOKUP(Escalacao!J244,Substituicoes!K:R,8,0),0)))</f>
        <v>0</v>
      </c>
      <c r="P244" s="28">
        <f t="shared" si="28"/>
        <v>0</v>
      </c>
      <c r="Q244" s="28" t="str">
        <f t="shared" si="29"/>
        <v>617Imperatriz - MA</v>
      </c>
      <c r="R244" s="28" t="str">
        <f>VLOOKUP(A244,'JOGOS BASE'!A:H,8)</f>
        <v>15.01.2025 - Tuntum - MA x Imperatriz - MA</v>
      </c>
    </row>
    <row r="245" spans="1:18" ht="30.6">
      <c r="A245" s="15">
        <v>6</v>
      </c>
      <c r="B245" s="46">
        <v>18</v>
      </c>
      <c r="C245" s="45" t="s">
        <v>567</v>
      </c>
      <c r="D245" s="45" t="s">
        <v>568</v>
      </c>
      <c r="E245" s="47" t="s">
        <v>42</v>
      </c>
      <c r="F245" s="47" t="s">
        <v>24</v>
      </c>
      <c r="G245" s="46">
        <v>179773</v>
      </c>
      <c r="H245" s="18" t="s">
        <v>107</v>
      </c>
      <c r="I245" s="26" t="str">
        <f t="shared" si="25"/>
        <v>Rafael Gra ...</v>
      </c>
      <c r="J245" s="26" t="str">
        <f t="shared" si="26"/>
        <v>6Imperatriz - MA18</v>
      </c>
      <c r="K245" s="27" t="str">
        <f>IFERROR(VLOOKUP(J245,Substituicoes!J:J,1,0),"SS")</f>
        <v>6Imperatriz - MA18</v>
      </c>
      <c r="L245" s="27" t="str">
        <f>IFERROR(VLOOKUP(J245,Substituicoes!K:K,1,0),"SS")</f>
        <v>SS</v>
      </c>
      <c r="M245" s="28" t="b">
        <f t="shared" si="27"/>
        <v>0</v>
      </c>
      <c r="N245" s="29">
        <f>IF(AND(K245=L245,LEFT(E245,1)="T"),VLOOKUP(A245,'JOGOS BASE'!A:E,4,0),IF(K245=J245,VLOOKUP(J245,Substituicoes!J:R,6,0),IF(L245=J245,VLOOKUP(Escalacao!J245,Substituicoes!K:R,7,0),0)))</f>
        <v>0</v>
      </c>
      <c r="O245" s="28">
        <f>IF(AND(K245=L245,LEFT(E245,1)="T"),VLOOKUP(A245,'JOGOS BASE'!A:E,5,0),IF(K245=J245,VLOOKUP(J245,Substituicoes!J:R,7,0),IF(L245=J245,VLOOKUP(Escalacao!J245,Substituicoes!K:R,8,0),0)))</f>
        <v>19</v>
      </c>
      <c r="P245" s="28">
        <f t="shared" si="28"/>
        <v>19</v>
      </c>
      <c r="Q245" s="28" t="str">
        <f t="shared" si="29"/>
        <v>618Imperatriz - MA</v>
      </c>
      <c r="R245" s="28" t="str">
        <f>VLOOKUP(A245,'JOGOS BASE'!A:H,8)</f>
        <v>15.01.2025 - Tuntum - MA x Imperatriz - MA</v>
      </c>
    </row>
    <row r="246" spans="1:18" ht="30.6">
      <c r="A246" s="15">
        <v>6</v>
      </c>
      <c r="B246" s="46">
        <v>20</v>
      </c>
      <c r="C246" s="45" t="s">
        <v>11</v>
      </c>
      <c r="D246" s="45" t="s">
        <v>50</v>
      </c>
      <c r="E246" s="47" t="s">
        <v>42</v>
      </c>
      <c r="F246" s="47" t="s">
        <v>24</v>
      </c>
      <c r="G246" s="46">
        <v>753179</v>
      </c>
      <c r="H246" s="18" t="s">
        <v>107</v>
      </c>
      <c r="I246" s="26" t="str">
        <f t="shared" si="25"/>
        <v>Xinayder</v>
      </c>
      <c r="J246" s="26" t="str">
        <f t="shared" si="26"/>
        <v>6Imperatriz - MA20</v>
      </c>
      <c r="K246" s="27" t="str">
        <f>IFERROR(VLOOKUP(J246,Substituicoes!J:J,1,0),"SS")</f>
        <v>SS</v>
      </c>
      <c r="L246" s="27" t="str">
        <f>IFERROR(VLOOKUP(J246,Substituicoes!K:K,1,0),"SS")</f>
        <v>SS</v>
      </c>
      <c r="M246" s="28" t="b">
        <f t="shared" si="27"/>
        <v>1</v>
      </c>
      <c r="N246" s="29">
        <f>IF(AND(K246=L246,LEFT(E246,1)="T"),VLOOKUP(A246,'JOGOS BASE'!A:E,4,0),IF(K246=J246,VLOOKUP(J246,Substituicoes!J:R,6,0),IF(L246=J246,VLOOKUP(Escalacao!J246,Substituicoes!K:R,7,0),0)))</f>
        <v>0</v>
      </c>
      <c r="O246" s="28">
        <f>IF(AND(K246=L246,LEFT(E246,1)="T"),VLOOKUP(A246,'JOGOS BASE'!A:E,5,0),IF(K246=J246,VLOOKUP(J246,Substituicoes!J:R,7,0),IF(L246=J246,VLOOKUP(Escalacao!J246,Substituicoes!K:R,8,0),0)))</f>
        <v>0</v>
      </c>
      <c r="P246" s="28">
        <f t="shared" si="28"/>
        <v>0</v>
      </c>
      <c r="Q246" s="28" t="str">
        <f t="shared" si="29"/>
        <v>620Imperatriz - MA</v>
      </c>
      <c r="R246" s="28" t="str">
        <f>VLOOKUP(A246,'JOGOS BASE'!A:H,8)</f>
        <v>15.01.2025 - Tuntum - MA x Imperatriz - MA</v>
      </c>
    </row>
    <row r="247" spans="1:18" ht="30.6">
      <c r="A247" s="15">
        <v>6</v>
      </c>
      <c r="B247" s="46">
        <v>22</v>
      </c>
      <c r="C247" s="45" t="s">
        <v>57</v>
      </c>
      <c r="D247" s="45" t="s">
        <v>58</v>
      </c>
      <c r="E247" s="47" t="s">
        <v>42</v>
      </c>
      <c r="F247" s="47" t="s">
        <v>24</v>
      </c>
      <c r="G247" s="46">
        <v>762150</v>
      </c>
      <c r="H247" s="18" t="s">
        <v>107</v>
      </c>
      <c r="I247" s="26" t="str">
        <f t="shared" si="25"/>
        <v>Junior</v>
      </c>
      <c r="J247" s="26" t="str">
        <f t="shared" si="26"/>
        <v>6Imperatriz - MA22</v>
      </c>
      <c r="K247" s="27" t="str">
        <f>IFERROR(VLOOKUP(J247,Substituicoes!J:J,1,0),"SS")</f>
        <v>6Imperatriz - MA22</v>
      </c>
      <c r="L247" s="27" t="str">
        <f>IFERROR(VLOOKUP(J247,Substituicoes!K:K,1,0),"SS")</f>
        <v>SS</v>
      </c>
      <c r="M247" s="28" t="b">
        <f t="shared" si="27"/>
        <v>0</v>
      </c>
      <c r="N247" s="29">
        <f>IF(AND(K247=L247,LEFT(E247,1)="T"),VLOOKUP(A247,'JOGOS BASE'!A:E,4,0),IF(K247=J247,VLOOKUP(J247,Substituicoes!J:R,6,0),IF(L247=J247,VLOOKUP(Escalacao!J247,Substituicoes!K:R,7,0),0)))</f>
        <v>0</v>
      </c>
      <c r="O247" s="28">
        <f>IF(AND(K247=L247,LEFT(E247,1)="T"),VLOOKUP(A247,'JOGOS BASE'!A:E,5,0),IF(K247=J247,VLOOKUP(J247,Substituicoes!J:R,7,0),IF(L247=J247,VLOOKUP(Escalacao!J247,Substituicoes!K:R,8,0),0)))</f>
        <v>33</v>
      </c>
      <c r="P247" s="28">
        <f t="shared" si="28"/>
        <v>33</v>
      </c>
      <c r="Q247" s="28" t="str">
        <f t="shared" si="29"/>
        <v>622Imperatriz - MA</v>
      </c>
      <c r="R247" s="28" t="str">
        <f>VLOOKUP(A247,'JOGOS BASE'!A:H,8)</f>
        <v>15.01.2025 - Tuntum - MA x Imperatriz - MA</v>
      </c>
    </row>
    <row r="248" spans="1:18" ht="30.6">
      <c r="A248" s="15">
        <v>6</v>
      </c>
      <c r="B248" s="46">
        <v>26</v>
      </c>
      <c r="C248" s="45" t="s">
        <v>569</v>
      </c>
      <c r="D248" s="45" t="s">
        <v>570</v>
      </c>
      <c r="E248" s="47" t="s">
        <v>42</v>
      </c>
      <c r="F248" s="47" t="s">
        <v>24</v>
      </c>
      <c r="G248" s="46">
        <v>644343</v>
      </c>
      <c r="H248" s="18" t="s">
        <v>107</v>
      </c>
      <c r="I248" s="26" t="str">
        <f t="shared" si="25"/>
        <v>WESLLEY</v>
      </c>
      <c r="J248" s="26" t="str">
        <f t="shared" si="26"/>
        <v>6Imperatriz - MA26</v>
      </c>
      <c r="K248" s="27" t="str">
        <f>IFERROR(VLOOKUP(J248,Substituicoes!J:J,1,0),"SS")</f>
        <v>SS</v>
      </c>
      <c r="L248" s="27" t="str">
        <f>IFERROR(VLOOKUP(J248,Substituicoes!K:K,1,0),"SS")</f>
        <v>SS</v>
      </c>
      <c r="M248" s="28" t="b">
        <f t="shared" si="27"/>
        <v>1</v>
      </c>
      <c r="N248" s="29">
        <f>IF(AND(K248=L248,LEFT(E248,1)="T"),VLOOKUP(A248,'JOGOS BASE'!A:E,4,0),IF(K248=J248,VLOOKUP(J248,Substituicoes!J:R,6,0),IF(L248=J248,VLOOKUP(Escalacao!J248,Substituicoes!K:R,7,0),0)))</f>
        <v>0</v>
      </c>
      <c r="O248" s="28">
        <f>IF(AND(K248=L248,LEFT(E248,1)="T"),VLOOKUP(A248,'JOGOS BASE'!A:E,5,0),IF(K248=J248,VLOOKUP(J248,Substituicoes!J:R,7,0),IF(L248=J248,VLOOKUP(Escalacao!J248,Substituicoes!K:R,8,0),0)))</f>
        <v>0</v>
      </c>
      <c r="P248" s="28">
        <f t="shared" si="28"/>
        <v>0</v>
      </c>
      <c r="Q248" s="28" t="str">
        <f t="shared" si="29"/>
        <v>626Imperatriz - MA</v>
      </c>
      <c r="R248" s="28" t="str">
        <f>VLOOKUP(A248,'JOGOS BASE'!A:H,8)</f>
        <v>15.01.2025 - Tuntum - MA x Imperatriz - MA</v>
      </c>
    </row>
    <row r="249" spans="1:18" ht="20.399999999999999">
      <c r="A249" s="15">
        <v>7</v>
      </c>
      <c r="B249" s="46">
        <v>1</v>
      </c>
      <c r="C249" s="45" t="s">
        <v>21</v>
      </c>
      <c r="D249" s="45" t="s">
        <v>22</v>
      </c>
      <c r="E249" s="47" t="s">
        <v>23</v>
      </c>
      <c r="F249" s="47" t="s">
        <v>24</v>
      </c>
      <c r="G249" s="46">
        <v>459328</v>
      </c>
      <c r="H249" s="18" t="s">
        <v>107</v>
      </c>
      <c r="I249" s="26" t="str">
        <f t="shared" ref="I249:I290" si="30">C249</f>
        <v>Jr Conceiç ...</v>
      </c>
      <c r="J249" s="26" t="str">
        <f t="shared" ref="J249:J290" si="31">A249&amp;H249&amp;B249</f>
        <v>7Imperatriz - MA1</v>
      </c>
      <c r="K249" s="27" t="str">
        <f>IFERROR(VLOOKUP(J249,Substituicoes!J:J,1,0),"SS")</f>
        <v>SS</v>
      </c>
      <c r="L249" s="27" t="str">
        <f>IFERROR(VLOOKUP(J249,Substituicoes!K:K,1,0),"SS")</f>
        <v>SS</v>
      </c>
      <c r="M249" s="28" t="b">
        <f t="shared" ref="M249:M290" si="32">K249=L249</f>
        <v>1</v>
      </c>
      <c r="N249" s="29">
        <f>IF(AND(K249=L249,LEFT(E249,1)="T"),VLOOKUP(A249,'JOGOS BASE'!A:E,4,0),IF(K249=J249,VLOOKUP(J249,Substituicoes!J:R,6,0),IF(L249=J249,VLOOKUP(Escalacao!J249,Substituicoes!K:R,7,0),0)))</f>
        <v>48</v>
      </c>
      <c r="O249" s="28">
        <f>IF(AND(K249=L249,LEFT(E249,1)="T"),VLOOKUP(A249,'JOGOS BASE'!A:E,5,0),IF(K249=J249,VLOOKUP(J249,Substituicoes!J:R,7,0),IF(L249=J249,VLOOKUP(Escalacao!J249,Substituicoes!K:R,8,0),0)))</f>
        <v>51</v>
      </c>
      <c r="P249" s="28">
        <f t="shared" ref="P249:P290" si="33">N249+O249</f>
        <v>99</v>
      </c>
      <c r="Q249" s="28" t="str">
        <f t="shared" ref="Q249:Q290" si="34">A249&amp;B249&amp;H249</f>
        <v>71Imperatriz - MA</v>
      </c>
      <c r="R249" s="28" t="str">
        <f>VLOOKUP(A249,'JOGOS BASE'!A:H,8)</f>
        <v>18.01.2025 - Imperatriz - MA x Pinheiro - MA</v>
      </c>
    </row>
    <row r="250" spans="1:18" ht="30.6">
      <c r="A250" s="15">
        <v>7</v>
      </c>
      <c r="B250" s="46">
        <v>2</v>
      </c>
      <c r="C250" s="45" t="s">
        <v>1</v>
      </c>
      <c r="D250" s="45" t="s">
        <v>25</v>
      </c>
      <c r="E250" s="47" t="s">
        <v>26</v>
      </c>
      <c r="F250" s="47" t="s">
        <v>24</v>
      </c>
      <c r="G250" s="46">
        <v>451402</v>
      </c>
      <c r="H250" s="18" t="s">
        <v>107</v>
      </c>
      <c r="I250" s="26" t="str">
        <f t="shared" si="30"/>
        <v>Fabricio</v>
      </c>
      <c r="J250" s="26" t="str">
        <f t="shared" si="31"/>
        <v>7Imperatriz - MA2</v>
      </c>
      <c r="K250" s="27" t="str">
        <f>IFERROR(VLOOKUP(J250,Substituicoes!J:J,1,0),"SS")</f>
        <v>SS</v>
      </c>
      <c r="L250" s="27" t="str">
        <f>IFERROR(VLOOKUP(J250,Substituicoes!K:K,1,0),"SS")</f>
        <v>SS</v>
      </c>
      <c r="M250" s="28" t="b">
        <f t="shared" si="32"/>
        <v>1</v>
      </c>
      <c r="N250" s="29">
        <f>IF(AND(K250=L250,LEFT(E250,1)="T"),VLOOKUP(A250,'JOGOS BASE'!A:E,4,0),IF(K250=J250,VLOOKUP(J250,Substituicoes!J:R,6,0),IF(L250=J250,VLOOKUP(Escalacao!J250,Substituicoes!K:R,7,0),0)))</f>
        <v>48</v>
      </c>
      <c r="O250" s="28">
        <f>IF(AND(K250=L250,LEFT(E250,1)="T"),VLOOKUP(A250,'JOGOS BASE'!A:E,5,0),IF(K250=J250,VLOOKUP(J250,Substituicoes!J:R,7,0),IF(L250=J250,VLOOKUP(Escalacao!J250,Substituicoes!K:R,8,0),0)))</f>
        <v>51</v>
      </c>
      <c r="P250" s="28">
        <f t="shared" si="33"/>
        <v>99</v>
      </c>
      <c r="Q250" s="28" t="str">
        <f t="shared" si="34"/>
        <v>72Imperatriz - MA</v>
      </c>
      <c r="R250" s="28" t="str">
        <f>VLOOKUP(A250,'JOGOS BASE'!A:H,8)</f>
        <v>18.01.2025 - Imperatriz - MA x Pinheiro - MA</v>
      </c>
    </row>
    <row r="251" spans="1:18" ht="20.399999999999999">
      <c r="A251" s="15">
        <v>7</v>
      </c>
      <c r="B251" s="46">
        <v>3</v>
      </c>
      <c r="C251" s="45" t="s">
        <v>2</v>
      </c>
      <c r="D251" s="45" t="s">
        <v>27</v>
      </c>
      <c r="E251" s="47" t="s">
        <v>26</v>
      </c>
      <c r="F251" s="47" t="s">
        <v>24</v>
      </c>
      <c r="G251" s="46">
        <v>393115</v>
      </c>
      <c r="H251" s="18" t="s">
        <v>107</v>
      </c>
      <c r="I251" s="26" t="str">
        <f t="shared" si="30"/>
        <v>Andre Penalva</v>
      </c>
      <c r="J251" s="26" t="str">
        <f t="shared" si="31"/>
        <v>7Imperatriz - MA3</v>
      </c>
      <c r="K251" s="27" t="str">
        <f>IFERROR(VLOOKUP(J251,Substituicoes!J:J,1,0),"SS")</f>
        <v>SS</v>
      </c>
      <c r="L251" s="27" t="str">
        <f>IFERROR(VLOOKUP(J251,Substituicoes!K:K,1,0),"SS")</f>
        <v>7Imperatriz - MA3</v>
      </c>
      <c r="M251" s="28" t="b">
        <f t="shared" si="32"/>
        <v>0</v>
      </c>
      <c r="N251" s="29">
        <f>IF(AND(K251=L251,LEFT(E251,1)="T"),VLOOKUP(A251,'JOGOS BASE'!A:E,4,0),IF(K251=J251,VLOOKUP(J251,Substituicoes!J:R,6,0),IF(L251=J251,VLOOKUP(Escalacao!J251,Substituicoes!K:R,7,0),0)))</f>
        <v>48</v>
      </c>
      <c r="O251" s="28">
        <f>IF(AND(K251=L251,LEFT(E251,1)="T"),VLOOKUP(A251,'JOGOS BASE'!A:E,5,0),IF(K251=J251,VLOOKUP(J251,Substituicoes!J:R,7,0),IF(L251=J251,VLOOKUP(Escalacao!J251,Substituicoes!K:R,8,0),0)))</f>
        <v>30</v>
      </c>
      <c r="P251" s="28">
        <f t="shared" si="33"/>
        <v>78</v>
      </c>
      <c r="Q251" s="28" t="str">
        <f t="shared" si="34"/>
        <v>73Imperatriz - MA</v>
      </c>
      <c r="R251" s="28" t="str">
        <f>VLOOKUP(A251,'JOGOS BASE'!A:H,8)</f>
        <v>18.01.2025 - Imperatriz - MA x Pinheiro - MA</v>
      </c>
    </row>
    <row r="252" spans="1:18" ht="20.399999999999999">
      <c r="A252" s="15">
        <v>7</v>
      </c>
      <c r="B252" s="46">
        <v>4</v>
      </c>
      <c r="C252" s="45" t="s">
        <v>28</v>
      </c>
      <c r="D252" s="45" t="s">
        <v>29</v>
      </c>
      <c r="E252" s="47" t="s">
        <v>26</v>
      </c>
      <c r="F252" s="47" t="s">
        <v>24</v>
      </c>
      <c r="G252" s="46">
        <v>373479</v>
      </c>
      <c r="H252" s="18" t="s">
        <v>107</v>
      </c>
      <c r="I252" s="26" t="str">
        <f t="shared" si="30"/>
        <v>FELIPE</v>
      </c>
      <c r="J252" s="26" t="str">
        <f t="shared" si="31"/>
        <v>7Imperatriz - MA4</v>
      </c>
      <c r="K252" s="27" t="str">
        <f>IFERROR(VLOOKUP(J252,Substituicoes!J:J,1,0),"SS")</f>
        <v>SS</v>
      </c>
      <c r="L252" s="27" t="str">
        <f>IFERROR(VLOOKUP(J252,Substituicoes!K:K,1,0),"SS")</f>
        <v>SS</v>
      </c>
      <c r="M252" s="28" t="b">
        <f t="shared" si="32"/>
        <v>1</v>
      </c>
      <c r="N252" s="29">
        <f>IF(AND(K252=L252,LEFT(E252,1)="T"),VLOOKUP(A252,'JOGOS BASE'!A:E,4,0),IF(K252=J252,VLOOKUP(J252,Substituicoes!J:R,6,0),IF(L252=J252,VLOOKUP(Escalacao!J252,Substituicoes!K:R,7,0),0)))</f>
        <v>48</v>
      </c>
      <c r="O252" s="28">
        <f>IF(AND(K252=L252,LEFT(E252,1)="T"),VLOOKUP(A252,'JOGOS BASE'!A:E,5,0),IF(K252=J252,VLOOKUP(J252,Substituicoes!J:R,7,0),IF(L252=J252,VLOOKUP(Escalacao!J252,Substituicoes!K:R,8,0),0)))</f>
        <v>51</v>
      </c>
      <c r="P252" s="28">
        <f t="shared" si="33"/>
        <v>99</v>
      </c>
      <c r="Q252" s="28" t="str">
        <f t="shared" si="34"/>
        <v>74Imperatriz - MA</v>
      </c>
      <c r="R252" s="28" t="str">
        <f>VLOOKUP(A252,'JOGOS BASE'!A:H,8)</f>
        <v>18.01.2025 - Imperatriz - MA x Pinheiro - MA</v>
      </c>
    </row>
    <row r="253" spans="1:18" ht="30.6">
      <c r="A253" s="15">
        <v>7</v>
      </c>
      <c r="B253" s="46">
        <v>5</v>
      </c>
      <c r="C253" s="45" t="s">
        <v>30</v>
      </c>
      <c r="D253" s="45" t="s">
        <v>31</v>
      </c>
      <c r="E253" s="47" t="s">
        <v>26</v>
      </c>
      <c r="F253" s="47" t="s">
        <v>24</v>
      </c>
      <c r="G253" s="46">
        <v>345029</v>
      </c>
      <c r="H253" s="18" t="s">
        <v>107</v>
      </c>
      <c r="I253" s="26" t="str">
        <f t="shared" si="30"/>
        <v>Jeferson P ...</v>
      </c>
      <c r="J253" s="26" t="str">
        <f t="shared" si="31"/>
        <v>7Imperatriz - MA5</v>
      </c>
      <c r="K253" s="27" t="str">
        <f>IFERROR(VLOOKUP(J253,Substituicoes!J:J,1,0),"SS")</f>
        <v>SS</v>
      </c>
      <c r="L253" s="27" t="str">
        <f>IFERROR(VLOOKUP(J253,Substituicoes!K:K,1,0),"SS")</f>
        <v>7Imperatriz - MA5</v>
      </c>
      <c r="M253" s="28" t="b">
        <f t="shared" si="32"/>
        <v>0</v>
      </c>
      <c r="N253" s="29">
        <f>IF(AND(K253=L253,LEFT(E253,1)="T"),VLOOKUP(A253,'JOGOS BASE'!A:E,4,0),IF(K253=J253,VLOOKUP(J253,Substituicoes!J:R,6,0),IF(L253=J253,VLOOKUP(Escalacao!J253,Substituicoes!K:R,7,0),0)))</f>
        <v>48</v>
      </c>
      <c r="O253" s="28">
        <f>IF(AND(K253=L253,LEFT(E253,1)="T"),VLOOKUP(A253,'JOGOS BASE'!A:E,5,0),IF(K253=J253,VLOOKUP(J253,Substituicoes!J:R,7,0),IF(L253=J253,VLOOKUP(Escalacao!J253,Substituicoes!K:R,8,0),0)))</f>
        <v>0</v>
      </c>
      <c r="P253" s="28">
        <f t="shared" si="33"/>
        <v>48</v>
      </c>
      <c r="Q253" s="28" t="str">
        <f t="shared" si="34"/>
        <v>75Imperatriz - MA</v>
      </c>
      <c r="R253" s="28" t="str">
        <f>VLOOKUP(A253,'JOGOS BASE'!A:H,8)</f>
        <v>18.01.2025 - Imperatriz - MA x Pinheiro - MA</v>
      </c>
    </row>
    <row r="254" spans="1:18" ht="30.6">
      <c r="A254" s="15">
        <v>7</v>
      </c>
      <c r="B254" s="46">
        <v>6</v>
      </c>
      <c r="C254" s="45" t="s">
        <v>3</v>
      </c>
      <c r="D254" s="45" t="s">
        <v>32</v>
      </c>
      <c r="E254" s="47" t="s">
        <v>26</v>
      </c>
      <c r="F254" s="47" t="s">
        <v>24</v>
      </c>
      <c r="G254" s="46">
        <v>634279</v>
      </c>
      <c r="H254" s="18" t="s">
        <v>107</v>
      </c>
      <c r="I254" s="26" t="str">
        <f t="shared" si="30"/>
        <v>Negueba</v>
      </c>
      <c r="J254" s="26" t="str">
        <f t="shared" si="31"/>
        <v>7Imperatriz - MA6</v>
      </c>
      <c r="K254" s="27" t="str">
        <f>IFERROR(VLOOKUP(J254,Substituicoes!J:J,1,0),"SS")</f>
        <v>SS</v>
      </c>
      <c r="L254" s="27" t="str">
        <f>IFERROR(VLOOKUP(J254,Substituicoes!K:K,1,0),"SS")</f>
        <v>SS</v>
      </c>
      <c r="M254" s="28" t="b">
        <f t="shared" si="32"/>
        <v>1</v>
      </c>
      <c r="N254" s="29">
        <f>IF(AND(K254=L254,LEFT(E254,1)="T"),VLOOKUP(A254,'JOGOS BASE'!A:E,4,0),IF(K254=J254,VLOOKUP(J254,Substituicoes!J:R,6,0),IF(L254=J254,VLOOKUP(Escalacao!J254,Substituicoes!K:R,7,0),0)))</f>
        <v>48</v>
      </c>
      <c r="O254" s="28">
        <f>IF(AND(K254=L254,LEFT(E254,1)="T"),VLOOKUP(A254,'JOGOS BASE'!A:E,5,0),IF(K254=J254,VLOOKUP(J254,Substituicoes!J:R,7,0),IF(L254=J254,VLOOKUP(Escalacao!J254,Substituicoes!K:R,8,0),0)))</f>
        <v>51</v>
      </c>
      <c r="P254" s="28">
        <f t="shared" si="33"/>
        <v>99</v>
      </c>
      <c r="Q254" s="28" t="str">
        <f t="shared" si="34"/>
        <v>76Imperatriz - MA</v>
      </c>
      <c r="R254" s="28" t="str">
        <f>VLOOKUP(A254,'JOGOS BASE'!A:H,8)</f>
        <v>18.01.2025 - Imperatriz - MA x Pinheiro - MA</v>
      </c>
    </row>
    <row r="255" spans="1:18" ht="30.6">
      <c r="A255" s="15">
        <v>7</v>
      </c>
      <c r="B255" s="46">
        <v>7</v>
      </c>
      <c r="C255" s="45" t="s">
        <v>569</v>
      </c>
      <c r="D255" s="45" t="s">
        <v>570</v>
      </c>
      <c r="E255" s="47" t="s">
        <v>26</v>
      </c>
      <c r="F255" s="47" t="s">
        <v>24</v>
      </c>
      <c r="G255" s="46">
        <v>644343</v>
      </c>
      <c r="H255" s="18" t="s">
        <v>107</v>
      </c>
      <c r="I255" s="26" t="str">
        <f t="shared" si="30"/>
        <v>WESLLEY</v>
      </c>
      <c r="J255" s="26" t="str">
        <f t="shared" si="31"/>
        <v>7Imperatriz - MA7</v>
      </c>
      <c r="K255" s="27" t="str">
        <f>IFERROR(VLOOKUP(J255,Substituicoes!J:J,1,0),"SS")</f>
        <v>SS</v>
      </c>
      <c r="L255" s="27" t="str">
        <f>IFERROR(VLOOKUP(J255,Substituicoes!K:K,1,0),"SS")</f>
        <v>SS</v>
      </c>
      <c r="M255" s="28" t="b">
        <f t="shared" si="32"/>
        <v>1</v>
      </c>
      <c r="N255" s="29">
        <f>IF(AND(K255=L255,LEFT(E255,1)="T"),VLOOKUP(A255,'JOGOS BASE'!A:E,4,0),IF(K255=J255,VLOOKUP(J255,Substituicoes!J:R,6,0),IF(L255=J255,VLOOKUP(Escalacao!J255,Substituicoes!K:R,7,0),0)))</f>
        <v>48</v>
      </c>
      <c r="O255" s="28">
        <f>IF(AND(K255=L255,LEFT(E255,1)="T"),VLOOKUP(A255,'JOGOS BASE'!A:E,5,0),IF(K255=J255,VLOOKUP(J255,Substituicoes!J:R,7,0),IF(L255=J255,VLOOKUP(Escalacao!J255,Substituicoes!K:R,8,0),0)))</f>
        <v>51</v>
      </c>
      <c r="P255" s="28">
        <f t="shared" si="33"/>
        <v>99</v>
      </c>
      <c r="Q255" s="28" t="str">
        <f t="shared" si="34"/>
        <v>77Imperatriz - MA</v>
      </c>
      <c r="R255" s="28" t="str">
        <f>VLOOKUP(A255,'JOGOS BASE'!A:H,8)</f>
        <v>18.01.2025 - Imperatriz - MA x Pinheiro - MA</v>
      </c>
    </row>
    <row r="256" spans="1:18" ht="30.6">
      <c r="A256" s="15">
        <v>7</v>
      </c>
      <c r="B256" s="46">
        <v>8</v>
      </c>
      <c r="C256" s="45" t="s">
        <v>5</v>
      </c>
      <c r="D256" s="45" t="s">
        <v>34</v>
      </c>
      <c r="E256" s="47" t="s">
        <v>26</v>
      </c>
      <c r="F256" s="47" t="s">
        <v>24</v>
      </c>
      <c r="G256" s="46">
        <v>348355</v>
      </c>
      <c r="H256" s="18" t="s">
        <v>107</v>
      </c>
      <c r="I256" s="26" t="str">
        <f t="shared" si="30"/>
        <v>Felipe Macena</v>
      </c>
      <c r="J256" s="26" t="str">
        <f t="shared" si="31"/>
        <v>7Imperatriz - MA8</v>
      </c>
      <c r="K256" s="27" t="str">
        <f>IFERROR(VLOOKUP(J256,Substituicoes!J:J,1,0),"SS")</f>
        <v>SS</v>
      </c>
      <c r="L256" s="27" t="str">
        <f>IFERROR(VLOOKUP(J256,Substituicoes!K:K,1,0),"SS")</f>
        <v>SS</v>
      </c>
      <c r="M256" s="28" t="b">
        <f t="shared" si="32"/>
        <v>1</v>
      </c>
      <c r="N256" s="29">
        <f>IF(AND(K256=L256,LEFT(E256,1)="T"),VLOOKUP(A256,'JOGOS BASE'!A:E,4,0),IF(K256=J256,VLOOKUP(J256,Substituicoes!J:R,6,0),IF(L256=J256,VLOOKUP(Escalacao!J256,Substituicoes!K:R,7,0),0)))</f>
        <v>48</v>
      </c>
      <c r="O256" s="28">
        <f>IF(AND(K256=L256,LEFT(E256,1)="T"),VLOOKUP(A256,'JOGOS BASE'!A:E,5,0),IF(K256=J256,VLOOKUP(J256,Substituicoes!J:R,7,0),IF(L256=J256,VLOOKUP(Escalacao!J256,Substituicoes!K:R,8,0),0)))</f>
        <v>51</v>
      </c>
      <c r="P256" s="28">
        <f t="shared" si="33"/>
        <v>99</v>
      </c>
      <c r="Q256" s="28" t="str">
        <f t="shared" si="34"/>
        <v>78Imperatriz - MA</v>
      </c>
      <c r="R256" s="28" t="str">
        <f>VLOOKUP(A256,'JOGOS BASE'!A:H,8)</f>
        <v>18.01.2025 - Imperatriz - MA x Pinheiro - MA</v>
      </c>
    </row>
    <row r="257" spans="1:18" ht="30.6">
      <c r="A257" s="15">
        <v>7</v>
      </c>
      <c r="B257" s="46">
        <v>9</v>
      </c>
      <c r="C257" s="45" t="s">
        <v>6</v>
      </c>
      <c r="D257" s="45" t="s">
        <v>35</v>
      </c>
      <c r="E257" s="47" t="s">
        <v>26</v>
      </c>
      <c r="F257" s="47" t="s">
        <v>24</v>
      </c>
      <c r="G257" s="46">
        <v>637641</v>
      </c>
      <c r="H257" s="18" t="s">
        <v>107</v>
      </c>
      <c r="I257" s="26" t="str">
        <f t="shared" si="30"/>
        <v>Lussandro</v>
      </c>
      <c r="J257" s="26" t="str">
        <f t="shared" si="31"/>
        <v>7Imperatriz - MA9</v>
      </c>
      <c r="K257" s="27" t="str">
        <f>IFERROR(VLOOKUP(J257,Substituicoes!J:J,1,0),"SS")</f>
        <v>SS</v>
      </c>
      <c r="L257" s="27" t="str">
        <f>IFERROR(VLOOKUP(J257,Substituicoes!K:K,1,0),"SS")</f>
        <v>7Imperatriz - MA9</v>
      </c>
      <c r="M257" s="28" t="b">
        <f t="shared" si="32"/>
        <v>0</v>
      </c>
      <c r="N257" s="29">
        <f>IF(AND(K257=L257,LEFT(E257,1)="T"),VLOOKUP(A257,'JOGOS BASE'!A:E,4,0),IF(K257=J257,VLOOKUP(J257,Substituicoes!J:R,6,0),IF(L257=J257,VLOOKUP(Escalacao!J257,Substituicoes!K:R,7,0),0)))</f>
        <v>48</v>
      </c>
      <c r="O257" s="28">
        <f>IF(AND(K257=L257,LEFT(E257,1)="T"),VLOOKUP(A257,'JOGOS BASE'!A:E,5,0),IF(K257=J257,VLOOKUP(J257,Substituicoes!J:R,7,0),IF(L257=J257,VLOOKUP(Escalacao!J257,Substituicoes!K:R,8,0),0)))</f>
        <v>24</v>
      </c>
      <c r="P257" s="28">
        <f t="shared" si="33"/>
        <v>72</v>
      </c>
      <c r="Q257" s="28" t="str">
        <f t="shared" si="34"/>
        <v>79Imperatriz - MA</v>
      </c>
      <c r="R257" s="28" t="str">
        <f>VLOOKUP(A257,'JOGOS BASE'!A:H,8)</f>
        <v>18.01.2025 - Imperatriz - MA x Pinheiro - MA</v>
      </c>
    </row>
    <row r="258" spans="1:18" ht="30.6">
      <c r="A258" s="15">
        <v>7</v>
      </c>
      <c r="B258" s="46">
        <v>10</v>
      </c>
      <c r="C258" s="45" t="s">
        <v>36</v>
      </c>
      <c r="D258" s="45" t="s">
        <v>37</v>
      </c>
      <c r="E258" s="47" t="s">
        <v>26</v>
      </c>
      <c r="F258" s="47" t="s">
        <v>24</v>
      </c>
      <c r="G258" s="46">
        <v>293426</v>
      </c>
      <c r="H258" s="18" t="s">
        <v>107</v>
      </c>
      <c r="I258" s="26" t="str">
        <f t="shared" si="30"/>
        <v>Henrique S ...</v>
      </c>
      <c r="J258" s="26" t="str">
        <f t="shared" si="31"/>
        <v>7Imperatriz - MA10</v>
      </c>
      <c r="K258" s="27" t="str">
        <f>IFERROR(VLOOKUP(J258,Substituicoes!J:J,1,0),"SS")</f>
        <v>SS</v>
      </c>
      <c r="L258" s="27" t="str">
        <f>IFERROR(VLOOKUP(J258,Substituicoes!K:K,1,0),"SS")</f>
        <v>7Imperatriz - MA10</v>
      </c>
      <c r="M258" s="28" t="b">
        <f t="shared" si="32"/>
        <v>0</v>
      </c>
      <c r="N258" s="29">
        <f>IF(AND(K258=L258,LEFT(E258,1)="T"),VLOOKUP(A258,'JOGOS BASE'!A:E,4,0),IF(K258=J258,VLOOKUP(J258,Substituicoes!J:R,6,0),IF(L258=J258,VLOOKUP(Escalacao!J258,Substituicoes!K:R,7,0),0)))</f>
        <v>48</v>
      </c>
      <c r="O258" s="28">
        <f>IF(AND(K258=L258,LEFT(E258,1)="T"),VLOOKUP(A258,'JOGOS BASE'!A:E,5,0),IF(K258=J258,VLOOKUP(J258,Substituicoes!J:R,7,0),IF(L258=J258,VLOOKUP(Escalacao!J258,Substituicoes!K:R,8,0),0)))</f>
        <v>30</v>
      </c>
      <c r="P258" s="28">
        <f t="shared" si="33"/>
        <v>78</v>
      </c>
      <c r="Q258" s="28" t="str">
        <f t="shared" si="34"/>
        <v>710Imperatriz - MA</v>
      </c>
      <c r="R258" s="28" t="str">
        <f>VLOOKUP(A258,'JOGOS BASE'!A:H,8)</f>
        <v>18.01.2025 - Imperatriz - MA x Pinheiro - MA</v>
      </c>
    </row>
    <row r="259" spans="1:18" ht="20.399999999999999">
      <c r="A259" s="15">
        <v>7</v>
      </c>
      <c r="B259" s="46">
        <v>19</v>
      </c>
      <c r="C259" s="45" t="s">
        <v>7</v>
      </c>
      <c r="D259" s="45" t="s">
        <v>38</v>
      </c>
      <c r="E259" s="47" t="s">
        <v>26</v>
      </c>
      <c r="F259" s="47" t="s">
        <v>24</v>
      </c>
      <c r="G259" s="46">
        <v>386286</v>
      </c>
      <c r="H259" s="18" t="s">
        <v>107</v>
      </c>
      <c r="I259" s="26" t="str">
        <f t="shared" si="30"/>
        <v>Café</v>
      </c>
      <c r="J259" s="26" t="str">
        <f t="shared" si="31"/>
        <v>7Imperatriz - MA19</v>
      </c>
      <c r="K259" s="27" t="str">
        <f>IFERROR(VLOOKUP(J259,Substituicoes!J:J,1,0),"SS")</f>
        <v>SS</v>
      </c>
      <c r="L259" s="27" t="str">
        <f>IFERROR(VLOOKUP(J259,Substituicoes!K:K,1,0),"SS")</f>
        <v>7Imperatriz - MA19</v>
      </c>
      <c r="M259" s="28" t="b">
        <f t="shared" si="32"/>
        <v>0</v>
      </c>
      <c r="N259" s="29">
        <f>IF(AND(K259=L259,LEFT(E259,1)="T"),VLOOKUP(A259,'JOGOS BASE'!A:E,4,0),IF(K259=J259,VLOOKUP(J259,Substituicoes!J:R,6,0),IF(L259=J259,VLOOKUP(Escalacao!J259,Substituicoes!K:R,7,0),0)))</f>
        <v>48</v>
      </c>
      <c r="O259" s="28">
        <f>IF(AND(K259=L259,LEFT(E259,1)="T"),VLOOKUP(A259,'JOGOS BASE'!A:E,5,0),IF(K259=J259,VLOOKUP(J259,Substituicoes!J:R,7,0),IF(L259=J259,VLOOKUP(Escalacao!J259,Substituicoes!K:R,8,0),0)))</f>
        <v>24</v>
      </c>
      <c r="P259" s="28">
        <f t="shared" si="33"/>
        <v>72</v>
      </c>
      <c r="Q259" s="28" t="str">
        <f t="shared" si="34"/>
        <v>719Imperatriz - MA</v>
      </c>
      <c r="R259" s="28" t="str">
        <f>VLOOKUP(A259,'JOGOS BASE'!A:H,8)</f>
        <v>18.01.2025 - Imperatriz - MA x Pinheiro - MA</v>
      </c>
    </row>
    <row r="260" spans="1:18" ht="30.6">
      <c r="A260" s="15">
        <v>7</v>
      </c>
      <c r="B260" s="46">
        <v>12</v>
      </c>
      <c r="C260" s="45" t="s">
        <v>8</v>
      </c>
      <c r="D260" s="45" t="s">
        <v>39</v>
      </c>
      <c r="E260" s="47" t="s">
        <v>40</v>
      </c>
      <c r="F260" s="47" t="s">
        <v>24</v>
      </c>
      <c r="G260" s="46">
        <v>426518</v>
      </c>
      <c r="H260" s="18" t="s">
        <v>107</v>
      </c>
      <c r="I260" s="26" t="str">
        <f t="shared" si="30"/>
        <v>Redson</v>
      </c>
      <c r="J260" s="26" t="str">
        <f t="shared" si="31"/>
        <v>7Imperatriz - MA12</v>
      </c>
      <c r="K260" s="27" t="str">
        <f>IFERROR(VLOOKUP(J260,Substituicoes!J:J,1,0),"SS")</f>
        <v>SS</v>
      </c>
      <c r="L260" s="27" t="str">
        <f>IFERROR(VLOOKUP(J260,Substituicoes!K:K,1,0),"SS")</f>
        <v>SS</v>
      </c>
      <c r="M260" s="28" t="b">
        <f t="shared" si="32"/>
        <v>1</v>
      </c>
      <c r="N260" s="29">
        <f>IF(AND(K260=L260,LEFT(E260,1)="T"),VLOOKUP(A260,'JOGOS BASE'!A:E,4,0),IF(K260=J260,VLOOKUP(J260,Substituicoes!J:R,6,0),IF(L260=J260,VLOOKUP(Escalacao!J260,Substituicoes!K:R,7,0),0)))</f>
        <v>0</v>
      </c>
      <c r="O260" s="28">
        <f>IF(AND(K260=L260,LEFT(E260,1)="T"),VLOOKUP(A260,'JOGOS BASE'!A:E,5,0),IF(K260=J260,VLOOKUP(J260,Substituicoes!J:R,7,0),IF(L260=J260,VLOOKUP(Escalacao!J260,Substituicoes!K:R,8,0),0)))</f>
        <v>0</v>
      </c>
      <c r="P260" s="28">
        <f t="shared" si="33"/>
        <v>0</v>
      </c>
      <c r="Q260" s="28" t="str">
        <f t="shared" si="34"/>
        <v>712Imperatriz - MA</v>
      </c>
      <c r="R260" s="28" t="str">
        <f>VLOOKUP(A260,'JOGOS BASE'!A:H,8)</f>
        <v>18.01.2025 - Imperatriz - MA x Pinheiro - MA</v>
      </c>
    </row>
    <row r="261" spans="1:18" ht="30.6">
      <c r="A261" s="15">
        <v>7</v>
      </c>
      <c r="B261" s="46">
        <v>11</v>
      </c>
      <c r="C261" s="45" t="s">
        <v>51</v>
      </c>
      <c r="D261" s="45" t="s">
        <v>52</v>
      </c>
      <c r="E261" s="47" t="s">
        <v>42</v>
      </c>
      <c r="F261" s="47" t="s">
        <v>24</v>
      </c>
      <c r="G261" s="46">
        <v>611147</v>
      </c>
      <c r="H261" s="18" t="s">
        <v>107</v>
      </c>
      <c r="I261" s="26" t="str">
        <f t="shared" si="30"/>
        <v>WYLDSON</v>
      </c>
      <c r="J261" s="26" t="str">
        <f t="shared" si="31"/>
        <v>7Imperatriz - MA11</v>
      </c>
      <c r="K261" s="27" t="str">
        <f>IFERROR(VLOOKUP(J261,Substituicoes!J:J,1,0),"SS")</f>
        <v>7Imperatriz - MA11</v>
      </c>
      <c r="L261" s="27" t="str">
        <f>IFERROR(VLOOKUP(J261,Substituicoes!K:K,1,0),"SS")</f>
        <v>SS</v>
      </c>
      <c r="M261" s="28" t="b">
        <f t="shared" si="32"/>
        <v>0</v>
      </c>
      <c r="N261" s="29">
        <f>IF(AND(K261=L261,LEFT(E261,1)="T"),VLOOKUP(A261,'JOGOS BASE'!A:E,4,0),IF(K261=J261,VLOOKUP(J261,Substituicoes!J:R,6,0),IF(L261=J261,VLOOKUP(Escalacao!J261,Substituicoes!K:R,7,0),0)))</f>
        <v>0</v>
      </c>
      <c r="O261" s="28">
        <f>IF(AND(K261=L261,LEFT(E261,1)="T"),VLOOKUP(A261,'JOGOS BASE'!A:E,5,0),IF(K261=J261,VLOOKUP(J261,Substituicoes!J:R,7,0),IF(L261=J261,VLOOKUP(Escalacao!J261,Substituicoes!K:R,8,0),0)))</f>
        <v>51</v>
      </c>
      <c r="P261" s="28">
        <f t="shared" si="33"/>
        <v>51</v>
      </c>
      <c r="Q261" s="28" t="str">
        <f t="shared" si="34"/>
        <v>711Imperatriz - MA</v>
      </c>
      <c r="R261" s="28" t="str">
        <f>VLOOKUP(A261,'JOGOS BASE'!A:H,8)</f>
        <v>18.01.2025 - Imperatriz - MA x Pinheiro - MA</v>
      </c>
    </row>
    <row r="262" spans="1:18" ht="30.6">
      <c r="A262" s="15">
        <v>7</v>
      </c>
      <c r="B262" s="46">
        <v>13</v>
      </c>
      <c r="C262" s="45" t="s">
        <v>43</v>
      </c>
      <c r="D262" s="45" t="s">
        <v>44</v>
      </c>
      <c r="E262" s="47" t="s">
        <v>42</v>
      </c>
      <c r="F262" s="47" t="s">
        <v>24</v>
      </c>
      <c r="G262" s="46">
        <v>782606</v>
      </c>
      <c r="H262" s="18" t="s">
        <v>107</v>
      </c>
      <c r="I262" s="26" t="str">
        <f t="shared" si="30"/>
        <v>Raylson</v>
      </c>
      <c r="J262" s="26" t="str">
        <f t="shared" si="31"/>
        <v>7Imperatriz - MA13</v>
      </c>
      <c r="K262" s="27" t="str">
        <f>IFERROR(VLOOKUP(J262,Substituicoes!J:J,1,0),"SS")</f>
        <v>7Imperatriz - MA13</v>
      </c>
      <c r="L262" s="27" t="str">
        <f>IFERROR(VLOOKUP(J262,Substituicoes!K:K,1,0),"SS")</f>
        <v>SS</v>
      </c>
      <c r="M262" s="28" t="b">
        <f t="shared" si="32"/>
        <v>0</v>
      </c>
      <c r="N262" s="29">
        <f>IF(AND(K262=L262,LEFT(E262,1)="T"),VLOOKUP(A262,'JOGOS BASE'!A:E,4,0),IF(K262=J262,VLOOKUP(J262,Substituicoes!J:R,6,0),IF(L262=J262,VLOOKUP(Escalacao!J262,Substituicoes!K:R,7,0),0)))</f>
        <v>0</v>
      </c>
      <c r="O262" s="28">
        <f>IF(AND(K262=L262,LEFT(E262,1)="T"),VLOOKUP(A262,'JOGOS BASE'!A:E,5,0),IF(K262=J262,VLOOKUP(J262,Substituicoes!J:R,7,0),IF(L262=J262,VLOOKUP(Escalacao!J262,Substituicoes!K:R,8,0),0)))</f>
        <v>21</v>
      </c>
      <c r="P262" s="28">
        <f t="shared" si="33"/>
        <v>21</v>
      </c>
      <c r="Q262" s="28" t="str">
        <f t="shared" si="34"/>
        <v>713Imperatriz - MA</v>
      </c>
      <c r="R262" s="28" t="str">
        <f>VLOOKUP(A262,'JOGOS BASE'!A:H,8)</f>
        <v>18.01.2025 - Imperatriz - MA x Pinheiro - MA</v>
      </c>
    </row>
    <row r="263" spans="1:18" ht="30.6">
      <c r="A263" s="15">
        <v>7</v>
      </c>
      <c r="B263" s="46">
        <v>14</v>
      </c>
      <c r="C263" s="45" t="s">
        <v>565</v>
      </c>
      <c r="D263" s="45" t="s">
        <v>566</v>
      </c>
      <c r="E263" s="47" t="s">
        <v>42</v>
      </c>
      <c r="F263" s="47" t="s">
        <v>24</v>
      </c>
      <c r="G263" s="46">
        <v>300045</v>
      </c>
      <c r="H263" s="18" t="s">
        <v>107</v>
      </c>
      <c r="I263" s="26" t="str">
        <f t="shared" si="30"/>
        <v>Gleidson</v>
      </c>
      <c r="J263" s="26" t="str">
        <f t="shared" si="31"/>
        <v>7Imperatriz - MA14</v>
      </c>
      <c r="K263" s="27" t="str">
        <f>IFERROR(VLOOKUP(J263,Substituicoes!J:J,1,0),"SS")</f>
        <v>7Imperatriz - MA14</v>
      </c>
      <c r="L263" s="27" t="str">
        <f>IFERROR(VLOOKUP(J263,Substituicoes!K:K,1,0),"SS")</f>
        <v>SS</v>
      </c>
      <c r="M263" s="28" t="b">
        <f t="shared" si="32"/>
        <v>0</v>
      </c>
      <c r="N263" s="29">
        <f>IF(AND(K263=L263,LEFT(E263,1)="T"),VLOOKUP(A263,'JOGOS BASE'!A:E,4,0),IF(K263=J263,VLOOKUP(J263,Substituicoes!J:R,6,0),IF(L263=J263,VLOOKUP(Escalacao!J263,Substituicoes!K:R,7,0),0)))</f>
        <v>0</v>
      </c>
      <c r="O263" s="28">
        <f>IF(AND(K263=L263,LEFT(E263,1)="T"),VLOOKUP(A263,'JOGOS BASE'!A:E,5,0),IF(K263=J263,VLOOKUP(J263,Substituicoes!J:R,7,0),IF(L263=J263,VLOOKUP(Escalacao!J263,Substituicoes!K:R,8,0),0)))</f>
        <v>21</v>
      </c>
      <c r="P263" s="28">
        <f t="shared" si="33"/>
        <v>21</v>
      </c>
      <c r="Q263" s="28" t="str">
        <f t="shared" si="34"/>
        <v>714Imperatriz - MA</v>
      </c>
      <c r="R263" s="28" t="str">
        <f>VLOOKUP(A263,'JOGOS BASE'!A:H,8)</f>
        <v>18.01.2025 - Imperatriz - MA x Pinheiro - MA</v>
      </c>
    </row>
    <row r="264" spans="1:18" ht="30.6">
      <c r="A264" s="15">
        <v>7</v>
      </c>
      <c r="B264" s="46">
        <v>15</v>
      </c>
      <c r="C264" s="45" t="s">
        <v>45</v>
      </c>
      <c r="D264" s="45" t="s">
        <v>46</v>
      </c>
      <c r="E264" s="47" t="s">
        <v>42</v>
      </c>
      <c r="F264" s="47" t="s">
        <v>24</v>
      </c>
      <c r="G264" s="46">
        <v>500483</v>
      </c>
      <c r="H264" s="18" t="s">
        <v>107</v>
      </c>
      <c r="I264" s="26" t="str">
        <f t="shared" si="30"/>
        <v>CARLOS</v>
      </c>
      <c r="J264" s="26" t="str">
        <f t="shared" si="31"/>
        <v>7Imperatriz - MA15</v>
      </c>
      <c r="K264" s="27" t="str">
        <f>IFERROR(VLOOKUP(J264,Substituicoes!J:J,1,0),"SS")</f>
        <v>SS</v>
      </c>
      <c r="L264" s="27" t="str">
        <f>IFERROR(VLOOKUP(J264,Substituicoes!K:K,1,0),"SS")</f>
        <v>SS</v>
      </c>
      <c r="M264" s="28" t="b">
        <f t="shared" si="32"/>
        <v>1</v>
      </c>
      <c r="N264" s="29">
        <f>IF(AND(K264=L264,LEFT(E264,1)="T"),VLOOKUP(A264,'JOGOS BASE'!A:E,4,0),IF(K264=J264,VLOOKUP(J264,Substituicoes!J:R,6,0),IF(L264=J264,VLOOKUP(Escalacao!J264,Substituicoes!K:R,7,0),0)))</f>
        <v>0</v>
      </c>
      <c r="O264" s="28">
        <f>IF(AND(K264=L264,LEFT(E264,1)="T"),VLOOKUP(A264,'JOGOS BASE'!A:E,5,0),IF(K264=J264,VLOOKUP(J264,Substituicoes!J:R,7,0),IF(L264=J264,VLOOKUP(Escalacao!J264,Substituicoes!K:R,8,0),0)))</f>
        <v>0</v>
      </c>
      <c r="P264" s="28">
        <f t="shared" si="33"/>
        <v>0</v>
      </c>
      <c r="Q264" s="28" t="str">
        <f t="shared" si="34"/>
        <v>715Imperatriz - MA</v>
      </c>
      <c r="R264" s="28" t="str">
        <f>VLOOKUP(A264,'JOGOS BASE'!A:H,8)</f>
        <v>18.01.2025 - Imperatriz - MA x Pinheiro - MA</v>
      </c>
    </row>
    <row r="265" spans="1:18" ht="20.399999999999999">
      <c r="A265" s="15">
        <v>7</v>
      </c>
      <c r="B265" s="46">
        <v>16</v>
      </c>
      <c r="C265" s="45" t="s">
        <v>577</v>
      </c>
      <c r="D265" s="45" t="s">
        <v>578</v>
      </c>
      <c r="E265" s="47" t="s">
        <v>42</v>
      </c>
      <c r="F265" s="47" t="s">
        <v>24</v>
      </c>
      <c r="G265" s="46">
        <v>651714</v>
      </c>
      <c r="H265" s="18" t="s">
        <v>107</v>
      </c>
      <c r="I265" s="26" t="str">
        <f t="shared" si="30"/>
        <v>GUSTAVO LI</v>
      </c>
      <c r="J265" s="26" t="str">
        <f t="shared" si="31"/>
        <v>7Imperatriz - MA16</v>
      </c>
      <c r="K265" s="27" t="str">
        <f>IFERROR(VLOOKUP(J265,Substituicoes!J:J,1,0),"SS")</f>
        <v>SS</v>
      </c>
      <c r="L265" s="27" t="str">
        <f>IFERROR(VLOOKUP(J265,Substituicoes!K:K,1,0),"SS")</f>
        <v>SS</v>
      </c>
      <c r="M265" s="28" t="b">
        <f t="shared" si="32"/>
        <v>1</v>
      </c>
      <c r="N265" s="29">
        <f>IF(AND(K265=L265,LEFT(E265,1)="T"),VLOOKUP(A265,'JOGOS BASE'!A:E,4,0),IF(K265=J265,VLOOKUP(J265,Substituicoes!J:R,6,0),IF(L265=J265,VLOOKUP(Escalacao!J265,Substituicoes!K:R,7,0),0)))</f>
        <v>0</v>
      </c>
      <c r="O265" s="28">
        <f>IF(AND(K265=L265,LEFT(E265,1)="T"),VLOOKUP(A265,'JOGOS BASE'!A:E,5,0),IF(K265=J265,VLOOKUP(J265,Substituicoes!J:R,7,0),IF(L265=J265,VLOOKUP(Escalacao!J265,Substituicoes!K:R,8,0),0)))</f>
        <v>0</v>
      </c>
      <c r="P265" s="28">
        <f t="shared" si="33"/>
        <v>0</v>
      </c>
      <c r="Q265" s="28" t="str">
        <f t="shared" si="34"/>
        <v>716Imperatriz - MA</v>
      </c>
      <c r="R265" s="28" t="str">
        <f>VLOOKUP(A265,'JOGOS BASE'!A:H,8)</f>
        <v>18.01.2025 - Imperatriz - MA x Pinheiro - MA</v>
      </c>
    </row>
    <row r="266" spans="1:18" ht="30.6">
      <c r="A266" s="15">
        <v>7</v>
      </c>
      <c r="B266" s="46">
        <v>17</v>
      </c>
      <c r="C266" s="45" t="s">
        <v>10</v>
      </c>
      <c r="D266" s="45" t="s">
        <v>49</v>
      </c>
      <c r="E266" s="47" t="s">
        <v>42</v>
      </c>
      <c r="F266" s="47" t="s">
        <v>24</v>
      </c>
      <c r="G266" s="46">
        <v>647823</v>
      </c>
      <c r="H266" s="18" t="s">
        <v>107</v>
      </c>
      <c r="I266" s="26" t="str">
        <f t="shared" si="30"/>
        <v>Pedro Zuccolo</v>
      </c>
      <c r="J266" s="26" t="str">
        <f t="shared" si="31"/>
        <v>7Imperatriz - MA17</v>
      </c>
      <c r="K266" s="27" t="str">
        <f>IFERROR(VLOOKUP(J266,Substituicoes!J:J,1,0),"SS")</f>
        <v>SS</v>
      </c>
      <c r="L266" s="27" t="str">
        <f>IFERROR(VLOOKUP(J266,Substituicoes!K:K,1,0),"SS")</f>
        <v>SS</v>
      </c>
      <c r="M266" s="28" t="b">
        <f t="shared" si="32"/>
        <v>1</v>
      </c>
      <c r="N266" s="29">
        <f>IF(AND(K266=L266,LEFT(E266,1)="T"),VLOOKUP(A266,'JOGOS BASE'!A:E,4,0),IF(K266=J266,VLOOKUP(J266,Substituicoes!J:R,6,0),IF(L266=J266,VLOOKUP(Escalacao!J266,Substituicoes!K:R,7,0),0)))</f>
        <v>0</v>
      </c>
      <c r="O266" s="28">
        <f>IF(AND(K266=L266,LEFT(E266,1)="T"),VLOOKUP(A266,'JOGOS BASE'!A:E,5,0),IF(K266=J266,VLOOKUP(J266,Substituicoes!J:R,7,0),IF(L266=J266,VLOOKUP(Escalacao!J266,Substituicoes!K:R,8,0),0)))</f>
        <v>0</v>
      </c>
      <c r="P266" s="28">
        <f t="shared" si="33"/>
        <v>0</v>
      </c>
      <c r="Q266" s="28" t="str">
        <f t="shared" si="34"/>
        <v>717Imperatriz - MA</v>
      </c>
      <c r="R266" s="28" t="str">
        <f>VLOOKUP(A266,'JOGOS BASE'!A:H,8)</f>
        <v>18.01.2025 - Imperatriz - MA x Pinheiro - MA</v>
      </c>
    </row>
    <row r="267" spans="1:18" ht="30.6">
      <c r="A267" s="15">
        <v>7</v>
      </c>
      <c r="B267" s="46">
        <v>18</v>
      </c>
      <c r="C267" s="45" t="s">
        <v>567</v>
      </c>
      <c r="D267" s="45" t="s">
        <v>568</v>
      </c>
      <c r="E267" s="47" t="s">
        <v>42</v>
      </c>
      <c r="F267" s="47" t="s">
        <v>24</v>
      </c>
      <c r="G267" s="46">
        <v>179773</v>
      </c>
      <c r="H267" s="18" t="s">
        <v>107</v>
      </c>
      <c r="I267" s="26" t="str">
        <f t="shared" si="30"/>
        <v>Rafael Gra ...</v>
      </c>
      <c r="J267" s="26" t="str">
        <f t="shared" si="31"/>
        <v>7Imperatriz - MA18</v>
      </c>
      <c r="K267" s="27" t="str">
        <f>IFERROR(VLOOKUP(J267,Substituicoes!J:J,1,0),"SS")</f>
        <v>SS</v>
      </c>
      <c r="L267" s="27" t="str">
        <f>IFERROR(VLOOKUP(J267,Substituicoes!K:K,1,0),"SS")</f>
        <v>SS</v>
      </c>
      <c r="M267" s="28" t="b">
        <f t="shared" si="32"/>
        <v>1</v>
      </c>
      <c r="N267" s="29">
        <f>IF(AND(K267=L267,LEFT(E267,1)="T"),VLOOKUP(A267,'JOGOS BASE'!A:E,4,0),IF(K267=J267,VLOOKUP(J267,Substituicoes!J:R,6,0),IF(L267=J267,VLOOKUP(Escalacao!J267,Substituicoes!K:R,7,0),0)))</f>
        <v>0</v>
      </c>
      <c r="O267" s="28">
        <f>IF(AND(K267=L267,LEFT(E267,1)="T"),VLOOKUP(A267,'JOGOS BASE'!A:E,5,0),IF(K267=J267,VLOOKUP(J267,Substituicoes!J:R,7,0),IF(L267=J267,VLOOKUP(Escalacao!J267,Substituicoes!K:R,8,0),0)))</f>
        <v>0</v>
      </c>
      <c r="P267" s="28">
        <f t="shared" si="33"/>
        <v>0</v>
      </c>
      <c r="Q267" s="28" t="str">
        <f t="shared" si="34"/>
        <v>718Imperatriz - MA</v>
      </c>
      <c r="R267" s="28" t="str">
        <f>VLOOKUP(A267,'JOGOS BASE'!A:H,8)</f>
        <v>18.01.2025 - Imperatriz - MA x Pinheiro - MA</v>
      </c>
    </row>
    <row r="268" spans="1:18" ht="30.6">
      <c r="A268" s="15">
        <v>7</v>
      </c>
      <c r="B268" s="46">
        <v>20</v>
      </c>
      <c r="C268" s="45" t="s">
        <v>11</v>
      </c>
      <c r="D268" s="45" t="s">
        <v>50</v>
      </c>
      <c r="E268" s="47" t="s">
        <v>42</v>
      </c>
      <c r="F268" s="47" t="s">
        <v>24</v>
      </c>
      <c r="G268" s="46">
        <v>753179</v>
      </c>
      <c r="H268" s="18" t="s">
        <v>107</v>
      </c>
      <c r="I268" s="26" t="str">
        <f t="shared" si="30"/>
        <v>Xinayder</v>
      </c>
      <c r="J268" s="26" t="str">
        <f t="shared" si="31"/>
        <v>7Imperatriz - MA20</v>
      </c>
      <c r="K268" s="27" t="str">
        <f>IFERROR(VLOOKUP(J268,Substituicoes!J:J,1,0),"SS")</f>
        <v>SS</v>
      </c>
      <c r="L268" s="27" t="str">
        <f>IFERROR(VLOOKUP(J268,Substituicoes!K:K,1,0),"SS")</f>
        <v>SS</v>
      </c>
      <c r="M268" s="28" t="b">
        <f t="shared" si="32"/>
        <v>1</v>
      </c>
      <c r="N268" s="29">
        <f>IF(AND(K268=L268,LEFT(E268,1)="T"),VLOOKUP(A268,'JOGOS BASE'!A:E,4,0),IF(K268=J268,VLOOKUP(J268,Substituicoes!J:R,6,0),IF(L268=J268,VLOOKUP(Escalacao!J268,Substituicoes!K:R,7,0),0)))</f>
        <v>0</v>
      </c>
      <c r="O268" s="28">
        <f>IF(AND(K268=L268,LEFT(E268,1)="T"),VLOOKUP(A268,'JOGOS BASE'!A:E,5,0),IF(K268=J268,VLOOKUP(J268,Substituicoes!J:R,7,0),IF(L268=J268,VLOOKUP(Escalacao!J268,Substituicoes!K:R,8,0),0)))</f>
        <v>0</v>
      </c>
      <c r="P268" s="28">
        <f t="shared" si="33"/>
        <v>0</v>
      </c>
      <c r="Q268" s="28" t="str">
        <f t="shared" si="34"/>
        <v>720Imperatriz - MA</v>
      </c>
      <c r="R268" s="28" t="str">
        <f>VLOOKUP(A268,'JOGOS BASE'!A:H,8)</f>
        <v>18.01.2025 - Imperatriz - MA x Pinheiro - MA</v>
      </c>
    </row>
    <row r="269" spans="1:18" ht="30.6">
      <c r="A269" s="15">
        <v>7</v>
      </c>
      <c r="B269" s="46">
        <v>21</v>
      </c>
      <c r="C269" s="45" t="s">
        <v>47</v>
      </c>
      <c r="D269" s="45" t="s">
        <v>48</v>
      </c>
      <c r="E269" s="47" t="s">
        <v>42</v>
      </c>
      <c r="F269" s="47" t="s">
        <v>24</v>
      </c>
      <c r="G269" s="46">
        <v>762553</v>
      </c>
      <c r="H269" s="18" t="s">
        <v>107</v>
      </c>
      <c r="I269" s="26" t="str">
        <f t="shared" si="30"/>
        <v>ADRIAN</v>
      </c>
      <c r="J269" s="26" t="str">
        <f t="shared" si="31"/>
        <v>7Imperatriz - MA21</v>
      </c>
      <c r="K269" s="27" t="str">
        <f>IFERROR(VLOOKUP(J269,Substituicoes!J:J,1,0),"SS")</f>
        <v>7Imperatriz - MA21</v>
      </c>
      <c r="L269" s="27" t="str">
        <f>IFERROR(VLOOKUP(J269,Substituicoes!K:K,1,0),"SS")</f>
        <v>SS</v>
      </c>
      <c r="M269" s="28" t="b">
        <f t="shared" si="32"/>
        <v>0</v>
      </c>
      <c r="N269" s="29">
        <f>IF(AND(K269=L269,LEFT(E269,1)="T"),VLOOKUP(A269,'JOGOS BASE'!A:E,4,0),IF(K269=J269,VLOOKUP(J269,Substituicoes!J:R,6,0),IF(L269=J269,VLOOKUP(Escalacao!J269,Substituicoes!K:R,7,0),0)))</f>
        <v>0</v>
      </c>
      <c r="O269" s="28">
        <f>IF(AND(K269=L269,LEFT(E269,1)="T"),VLOOKUP(A269,'JOGOS BASE'!A:E,5,0),IF(K269=J269,VLOOKUP(J269,Substituicoes!J:R,7,0),IF(L269=J269,VLOOKUP(Escalacao!J269,Substituicoes!K:R,8,0),0)))</f>
        <v>27</v>
      </c>
      <c r="P269" s="28">
        <f t="shared" si="33"/>
        <v>27</v>
      </c>
      <c r="Q269" s="28" t="str">
        <f t="shared" si="34"/>
        <v>721Imperatriz - MA</v>
      </c>
      <c r="R269" s="28" t="str">
        <f>VLOOKUP(A269,'JOGOS BASE'!A:H,8)</f>
        <v>18.01.2025 - Imperatriz - MA x Pinheiro - MA</v>
      </c>
    </row>
    <row r="270" spans="1:18" ht="30.6">
      <c r="A270" s="15">
        <v>7</v>
      </c>
      <c r="B270" s="46">
        <v>22</v>
      </c>
      <c r="C270" s="45" t="s">
        <v>57</v>
      </c>
      <c r="D270" s="45" t="s">
        <v>58</v>
      </c>
      <c r="E270" s="47" t="s">
        <v>42</v>
      </c>
      <c r="F270" s="47" t="s">
        <v>24</v>
      </c>
      <c r="G270" s="46">
        <v>762150</v>
      </c>
      <c r="H270" s="18" t="s">
        <v>107</v>
      </c>
      <c r="I270" s="26" t="str">
        <f t="shared" si="30"/>
        <v>Junior</v>
      </c>
      <c r="J270" s="26" t="str">
        <f t="shared" si="31"/>
        <v>7Imperatriz - MA22</v>
      </c>
      <c r="K270" s="27" t="str">
        <f>IFERROR(VLOOKUP(J270,Substituicoes!J:J,1,0),"SS")</f>
        <v>7Imperatriz - MA22</v>
      </c>
      <c r="L270" s="27" t="str">
        <f>IFERROR(VLOOKUP(J270,Substituicoes!K:K,1,0),"SS")</f>
        <v>SS</v>
      </c>
      <c r="M270" s="28" t="b">
        <f t="shared" si="32"/>
        <v>0</v>
      </c>
      <c r="N270" s="29">
        <f>IF(AND(K270=L270,LEFT(E270,1)="T"),VLOOKUP(A270,'JOGOS BASE'!A:E,4,0),IF(K270=J270,VLOOKUP(J270,Substituicoes!J:R,6,0),IF(L270=J270,VLOOKUP(Escalacao!J270,Substituicoes!K:R,7,0),0)))</f>
        <v>0</v>
      </c>
      <c r="O270" s="28">
        <f>IF(AND(K270=L270,LEFT(E270,1)="T"),VLOOKUP(A270,'JOGOS BASE'!A:E,5,0),IF(K270=J270,VLOOKUP(J270,Substituicoes!J:R,7,0),IF(L270=J270,VLOOKUP(Escalacao!J270,Substituicoes!K:R,8,0),0)))</f>
        <v>27</v>
      </c>
      <c r="P270" s="28">
        <f t="shared" si="33"/>
        <v>27</v>
      </c>
      <c r="Q270" s="28" t="str">
        <f t="shared" si="34"/>
        <v>722Imperatriz - MA</v>
      </c>
      <c r="R270" s="28" t="str">
        <f>VLOOKUP(A270,'JOGOS BASE'!A:H,8)</f>
        <v>18.01.2025 - Imperatriz - MA x Pinheiro - MA</v>
      </c>
    </row>
    <row r="271" spans="1:18" ht="30.6">
      <c r="A271" s="15">
        <v>7</v>
      </c>
      <c r="B271" s="46">
        <v>23</v>
      </c>
      <c r="C271" s="45" t="s">
        <v>579</v>
      </c>
      <c r="D271" s="45" t="s">
        <v>580</v>
      </c>
      <c r="E271" s="47" t="s">
        <v>42</v>
      </c>
      <c r="F271" s="47" t="s">
        <v>24</v>
      </c>
      <c r="G271" s="46">
        <v>798027</v>
      </c>
      <c r="H271" s="18" t="s">
        <v>107</v>
      </c>
      <c r="I271" s="26" t="str">
        <f t="shared" si="30"/>
        <v>Alexsander</v>
      </c>
      <c r="J271" s="26" t="str">
        <f t="shared" si="31"/>
        <v>7Imperatriz - MA23</v>
      </c>
      <c r="K271" s="27" t="str">
        <f>IFERROR(VLOOKUP(J271,Substituicoes!J:J,1,0),"SS")</f>
        <v>SS</v>
      </c>
      <c r="L271" s="27" t="str">
        <f>IFERROR(VLOOKUP(J271,Substituicoes!K:K,1,0),"SS")</f>
        <v>SS</v>
      </c>
      <c r="M271" s="28" t="b">
        <f t="shared" si="32"/>
        <v>1</v>
      </c>
      <c r="N271" s="29">
        <f>IF(AND(K271=L271,LEFT(E271,1)="T"),VLOOKUP(A271,'JOGOS BASE'!A:E,4,0),IF(K271=J271,VLOOKUP(J271,Substituicoes!J:R,6,0),IF(L271=J271,VLOOKUP(Escalacao!J271,Substituicoes!K:R,7,0),0)))</f>
        <v>0</v>
      </c>
      <c r="O271" s="28">
        <f>IF(AND(K271=L271,LEFT(E271,1)="T"),VLOOKUP(A271,'JOGOS BASE'!A:E,5,0),IF(K271=J271,VLOOKUP(J271,Substituicoes!J:R,7,0),IF(L271=J271,VLOOKUP(Escalacao!J271,Substituicoes!K:R,8,0),0)))</f>
        <v>0</v>
      </c>
      <c r="P271" s="28">
        <f t="shared" si="33"/>
        <v>0</v>
      </c>
      <c r="Q271" s="28" t="str">
        <f t="shared" si="34"/>
        <v>723Imperatriz - MA</v>
      </c>
      <c r="R271" s="28" t="str">
        <f>VLOOKUP(A271,'JOGOS BASE'!A:H,8)</f>
        <v>18.01.2025 - Imperatriz - MA x Pinheiro - MA</v>
      </c>
    </row>
    <row r="272" spans="1:18" ht="30.6">
      <c r="A272" s="15">
        <v>7</v>
      </c>
      <c r="B272" s="46">
        <v>1</v>
      </c>
      <c r="C272" s="45" t="s">
        <v>301</v>
      </c>
      <c r="D272" s="45" t="s">
        <v>302</v>
      </c>
      <c r="E272" s="47" t="s">
        <v>23</v>
      </c>
      <c r="F272" s="47" t="s">
        <v>24</v>
      </c>
      <c r="G272" s="46">
        <v>530809</v>
      </c>
      <c r="H272" s="15" t="s">
        <v>368</v>
      </c>
      <c r="I272" s="26" t="str">
        <f t="shared" si="30"/>
        <v>Mateus</v>
      </c>
      <c r="J272" s="26" t="str">
        <f t="shared" si="31"/>
        <v>7Pinheiro - MA1</v>
      </c>
      <c r="K272" s="27" t="str">
        <f>IFERROR(VLOOKUP(J272,Substituicoes!J:J,1,0),"SS")</f>
        <v>SS</v>
      </c>
      <c r="L272" s="27" t="str">
        <f>IFERROR(VLOOKUP(J272,Substituicoes!K:K,1,0),"SS")</f>
        <v>SS</v>
      </c>
      <c r="M272" s="28" t="b">
        <f t="shared" si="32"/>
        <v>1</v>
      </c>
      <c r="N272" s="29">
        <f>IF(AND(K272=L272,LEFT(E272,1)="T"),VLOOKUP(A272,'JOGOS BASE'!A:E,4,0),IF(K272=J272,VLOOKUP(J272,Substituicoes!J:R,6,0),IF(L272=J272,VLOOKUP(Escalacao!J272,Substituicoes!K:R,7,0),0)))</f>
        <v>48</v>
      </c>
      <c r="O272" s="28">
        <f>IF(AND(K272=L272,LEFT(E272,1)="T"),VLOOKUP(A272,'JOGOS BASE'!A:E,5,0),IF(K272=J272,VLOOKUP(J272,Substituicoes!J:R,7,0),IF(L272=J272,VLOOKUP(Escalacao!J272,Substituicoes!K:R,8,0),0)))</f>
        <v>51</v>
      </c>
      <c r="P272" s="28">
        <f t="shared" si="33"/>
        <v>99</v>
      </c>
      <c r="Q272" s="28" t="str">
        <f t="shared" si="34"/>
        <v>71Pinheiro - MA</v>
      </c>
      <c r="R272" s="28" t="str">
        <f>VLOOKUP(A272,'JOGOS BASE'!A:H,8)</f>
        <v>18.01.2025 - Imperatriz - MA x Pinheiro - MA</v>
      </c>
    </row>
    <row r="273" spans="1:18" ht="20.399999999999999">
      <c r="A273" s="15">
        <v>7</v>
      </c>
      <c r="B273" s="46">
        <v>2</v>
      </c>
      <c r="C273" s="45" t="s">
        <v>303</v>
      </c>
      <c r="D273" s="45" t="s">
        <v>304</v>
      </c>
      <c r="E273" s="47" t="s">
        <v>26</v>
      </c>
      <c r="F273" s="47" t="s">
        <v>56</v>
      </c>
      <c r="G273" s="46">
        <v>748495</v>
      </c>
      <c r="H273" s="15" t="s">
        <v>368</v>
      </c>
      <c r="I273" s="26" t="str">
        <f t="shared" si="30"/>
        <v>Italo</v>
      </c>
      <c r="J273" s="26" t="str">
        <f t="shared" si="31"/>
        <v>7Pinheiro - MA2</v>
      </c>
      <c r="K273" s="27" t="str">
        <f>IFERROR(VLOOKUP(J273,Substituicoes!J:J,1,0),"SS")</f>
        <v>SS</v>
      </c>
      <c r="L273" s="27" t="str">
        <f>IFERROR(VLOOKUP(J273,Substituicoes!K:K,1,0),"SS")</f>
        <v>SS</v>
      </c>
      <c r="M273" s="28" t="b">
        <f t="shared" si="32"/>
        <v>1</v>
      </c>
      <c r="N273" s="29">
        <f>IF(AND(K273=L273,LEFT(E273,1)="T"),VLOOKUP(A273,'JOGOS BASE'!A:E,4,0),IF(K273=J273,VLOOKUP(J273,Substituicoes!J:R,6,0),IF(L273=J273,VLOOKUP(Escalacao!J273,Substituicoes!K:R,7,0),0)))</f>
        <v>48</v>
      </c>
      <c r="O273" s="28">
        <f>IF(AND(K273=L273,LEFT(E273,1)="T"),VLOOKUP(A273,'JOGOS BASE'!A:E,5,0),IF(K273=J273,VLOOKUP(J273,Substituicoes!J:R,7,0),IF(L273=J273,VLOOKUP(Escalacao!J273,Substituicoes!K:R,8,0),0)))</f>
        <v>51</v>
      </c>
      <c r="P273" s="28">
        <f t="shared" si="33"/>
        <v>99</v>
      </c>
      <c r="Q273" s="28" t="str">
        <f t="shared" si="34"/>
        <v>72Pinheiro - MA</v>
      </c>
      <c r="R273" s="28" t="str">
        <f>VLOOKUP(A273,'JOGOS BASE'!A:H,8)</f>
        <v>18.01.2025 - Imperatriz - MA x Pinheiro - MA</v>
      </c>
    </row>
    <row r="274" spans="1:18" ht="30.6">
      <c r="A274" s="15">
        <v>7</v>
      </c>
      <c r="B274" s="46">
        <v>3</v>
      </c>
      <c r="C274" s="45" t="s">
        <v>305</v>
      </c>
      <c r="D274" s="45" t="s">
        <v>306</v>
      </c>
      <c r="E274" s="47" t="s">
        <v>26</v>
      </c>
      <c r="F274" s="47" t="s">
        <v>24</v>
      </c>
      <c r="G274" s="46">
        <v>619339</v>
      </c>
      <c r="H274" s="15" t="s">
        <v>368</v>
      </c>
      <c r="I274" s="26" t="str">
        <f t="shared" si="30"/>
        <v>Henrique</v>
      </c>
      <c r="J274" s="26" t="str">
        <f t="shared" si="31"/>
        <v>7Pinheiro - MA3</v>
      </c>
      <c r="K274" s="27" t="str">
        <f>IFERROR(VLOOKUP(J274,Substituicoes!J:J,1,0),"SS")</f>
        <v>SS</v>
      </c>
      <c r="L274" s="27" t="str">
        <f>IFERROR(VLOOKUP(J274,Substituicoes!K:K,1,0),"SS")</f>
        <v>SS</v>
      </c>
      <c r="M274" s="28" t="b">
        <f t="shared" si="32"/>
        <v>1</v>
      </c>
      <c r="N274" s="29">
        <f>IF(AND(K274=L274,LEFT(E274,1)="T"),VLOOKUP(A274,'JOGOS BASE'!A:E,4,0),IF(K274=J274,VLOOKUP(J274,Substituicoes!J:R,6,0),IF(L274=J274,VLOOKUP(Escalacao!J274,Substituicoes!K:R,7,0),0)))</f>
        <v>48</v>
      </c>
      <c r="O274" s="28">
        <f>IF(AND(K274=L274,LEFT(E274,1)="T"),VLOOKUP(A274,'JOGOS BASE'!A:E,5,0),IF(K274=J274,VLOOKUP(J274,Substituicoes!J:R,7,0),IF(L274=J274,VLOOKUP(Escalacao!J274,Substituicoes!K:R,8,0),0)))</f>
        <v>51</v>
      </c>
      <c r="P274" s="28">
        <f t="shared" si="33"/>
        <v>99</v>
      </c>
      <c r="Q274" s="28" t="str">
        <f t="shared" si="34"/>
        <v>73Pinheiro - MA</v>
      </c>
      <c r="R274" s="28" t="str">
        <f>VLOOKUP(A274,'JOGOS BASE'!A:H,8)</f>
        <v>18.01.2025 - Imperatriz - MA x Pinheiro - MA</v>
      </c>
    </row>
    <row r="275" spans="1:18" ht="30.6">
      <c r="A275" s="15">
        <v>7</v>
      </c>
      <c r="B275" s="46">
        <v>4</v>
      </c>
      <c r="C275" s="45" t="s">
        <v>307</v>
      </c>
      <c r="D275" s="45" t="s">
        <v>308</v>
      </c>
      <c r="E275" s="47" t="s">
        <v>26</v>
      </c>
      <c r="F275" s="47" t="s">
        <v>24</v>
      </c>
      <c r="G275" s="46">
        <v>710616</v>
      </c>
      <c r="H275" s="15" t="s">
        <v>368</v>
      </c>
      <c r="I275" s="26" t="str">
        <f t="shared" si="30"/>
        <v>Rikelmmer</v>
      </c>
      <c r="J275" s="26" t="str">
        <f t="shared" si="31"/>
        <v>7Pinheiro - MA4</v>
      </c>
      <c r="K275" s="27" t="str">
        <f>IFERROR(VLOOKUP(J275,Substituicoes!J:J,1,0),"SS")</f>
        <v>SS</v>
      </c>
      <c r="L275" s="27" t="str">
        <f>IFERROR(VLOOKUP(J275,Substituicoes!K:K,1,0),"SS")</f>
        <v>SS</v>
      </c>
      <c r="M275" s="28" t="b">
        <f t="shared" si="32"/>
        <v>1</v>
      </c>
      <c r="N275" s="29">
        <f>IF(AND(K275=L275,LEFT(E275,1)="T"),VLOOKUP(A275,'JOGOS BASE'!A:E,4,0),IF(K275=J275,VLOOKUP(J275,Substituicoes!J:R,6,0),IF(L275=J275,VLOOKUP(Escalacao!J275,Substituicoes!K:R,7,0),0)))</f>
        <v>48</v>
      </c>
      <c r="O275" s="28">
        <f>IF(AND(K275=L275,LEFT(E275,1)="T"),VLOOKUP(A275,'JOGOS BASE'!A:E,5,0),IF(K275=J275,VLOOKUP(J275,Substituicoes!J:R,7,0),IF(L275=J275,VLOOKUP(Escalacao!J275,Substituicoes!K:R,8,0),0)))</f>
        <v>51</v>
      </c>
      <c r="P275" s="28">
        <f t="shared" si="33"/>
        <v>99</v>
      </c>
      <c r="Q275" s="28" t="str">
        <f t="shared" si="34"/>
        <v>74Pinheiro - MA</v>
      </c>
      <c r="R275" s="28" t="str">
        <f>VLOOKUP(A275,'JOGOS BASE'!A:H,8)</f>
        <v>18.01.2025 - Imperatriz - MA x Pinheiro - MA</v>
      </c>
    </row>
    <row r="276" spans="1:18" ht="20.399999999999999">
      <c r="A276" s="15">
        <v>7</v>
      </c>
      <c r="B276" s="46">
        <v>5</v>
      </c>
      <c r="C276" s="45" t="s">
        <v>309</v>
      </c>
      <c r="D276" s="45" t="s">
        <v>310</v>
      </c>
      <c r="E276" s="47" t="s">
        <v>26</v>
      </c>
      <c r="F276" s="47" t="s">
        <v>24</v>
      </c>
      <c r="G276" s="46">
        <v>537343</v>
      </c>
      <c r="H276" s="15" t="s">
        <v>368</v>
      </c>
      <c r="I276" s="26" t="str">
        <f t="shared" si="30"/>
        <v>Rayandeson</v>
      </c>
      <c r="J276" s="26" t="str">
        <f t="shared" si="31"/>
        <v>7Pinheiro - MA5</v>
      </c>
      <c r="K276" s="27" t="str">
        <f>IFERROR(VLOOKUP(J276,Substituicoes!J:J,1,0),"SS")</f>
        <v>SS</v>
      </c>
      <c r="L276" s="27" t="str">
        <f>IFERROR(VLOOKUP(J276,Substituicoes!K:K,1,0),"SS")</f>
        <v>SS</v>
      </c>
      <c r="M276" s="28" t="b">
        <f t="shared" si="32"/>
        <v>1</v>
      </c>
      <c r="N276" s="29">
        <f>IF(AND(K276=L276,LEFT(E276,1)="T"),VLOOKUP(A276,'JOGOS BASE'!A:E,4,0),IF(K276=J276,VLOOKUP(J276,Substituicoes!J:R,6,0),IF(L276=J276,VLOOKUP(Escalacao!J276,Substituicoes!K:R,7,0),0)))</f>
        <v>48</v>
      </c>
      <c r="O276" s="28">
        <f>IF(AND(K276=L276,LEFT(E276,1)="T"),VLOOKUP(A276,'JOGOS BASE'!A:E,5,0),IF(K276=J276,VLOOKUP(J276,Substituicoes!J:R,7,0),IF(L276=J276,VLOOKUP(Escalacao!J276,Substituicoes!K:R,8,0),0)))</f>
        <v>51</v>
      </c>
      <c r="P276" s="28">
        <f t="shared" si="33"/>
        <v>99</v>
      </c>
      <c r="Q276" s="28" t="str">
        <f t="shared" si="34"/>
        <v>75Pinheiro - MA</v>
      </c>
      <c r="R276" s="28" t="str">
        <f>VLOOKUP(A276,'JOGOS BASE'!A:H,8)</f>
        <v>18.01.2025 - Imperatriz - MA x Pinheiro - MA</v>
      </c>
    </row>
    <row r="277" spans="1:18" ht="20.399999999999999">
      <c r="A277" s="15">
        <v>7</v>
      </c>
      <c r="B277" s="46">
        <v>6</v>
      </c>
      <c r="C277" s="45" t="s">
        <v>246</v>
      </c>
      <c r="D277" s="45" t="s">
        <v>311</v>
      </c>
      <c r="E277" s="47" t="s">
        <v>26</v>
      </c>
      <c r="F277" s="47" t="s">
        <v>24</v>
      </c>
      <c r="G277" s="46">
        <v>637743</v>
      </c>
      <c r="H277" s="15" t="s">
        <v>368</v>
      </c>
      <c r="I277" s="26" t="str">
        <f t="shared" si="30"/>
        <v>Gabriel</v>
      </c>
      <c r="J277" s="26" t="str">
        <f t="shared" si="31"/>
        <v>7Pinheiro - MA6</v>
      </c>
      <c r="K277" s="27" t="str">
        <f>IFERROR(VLOOKUP(J277,Substituicoes!J:J,1,0),"SS")</f>
        <v>SS</v>
      </c>
      <c r="L277" s="27" t="str">
        <f>IFERROR(VLOOKUP(J277,Substituicoes!K:K,1,0),"SS")</f>
        <v>7Pinheiro - MA6</v>
      </c>
      <c r="M277" s="28" t="b">
        <f t="shared" si="32"/>
        <v>0</v>
      </c>
      <c r="N277" s="29">
        <f>IF(AND(K277=L277,LEFT(E277,1)="T"),VLOOKUP(A277,'JOGOS BASE'!A:E,4,0),IF(K277=J277,VLOOKUP(J277,Substituicoes!J:R,6,0),IF(L277=J277,VLOOKUP(Escalacao!J277,Substituicoes!K:R,7,0),0)))</f>
        <v>48</v>
      </c>
      <c r="O277" s="28">
        <f>IF(AND(K277=L277,LEFT(E277,1)="T"),VLOOKUP(A277,'JOGOS BASE'!A:E,5,0),IF(K277=J277,VLOOKUP(J277,Substituicoes!J:R,7,0),IF(L277=J277,VLOOKUP(Escalacao!J277,Substituicoes!K:R,8,0),0)))</f>
        <v>0</v>
      </c>
      <c r="P277" s="28">
        <f t="shared" si="33"/>
        <v>48</v>
      </c>
      <c r="Q277" s="28" t="str">
        <f t="shared" si="34"/>
        <v>76Pinheiro - MA</v>
      </c>
      <c r="R277" s="28" t="str">
        <f>VLOOKUP(A277,'JOGOS BASE'!A:H,8)</f>
        <v>18.01.2025 - Imperatriz - MA x Pinheiro - MA</v>
      </c>
    </row>
    <row r="278" spans="1:18" ht="20.399999999999999">
      <c r="A278" s="15">
        <v>7</v>
      </c>
      <c r="B278" s="46">
        <v>7</v>
      </c>
      <c r="C278" s="45" t="s">
        <v>312</v>
      </c>
      <c r="D278" s="45" t="s">
        <v>313</v>
      </c>
      <c r="E278" s="47" t="s">
        <v>26</v>
      </c>
      <c r="F278" s="47" t="s">
        <v>24</v>
      </c>
      <c r="G278" s="46">
        <v>738325</v>
      </c>
      <c r="H278" s="15" t="s">
        <v>368</v>
      </c>
      <c r="I278" s="26" t="str">
        <f t="shared" si="30"/>
        <v>FRANCISCO</v>
      </c>
      <c r="J278" s="26" t="str">
        <f t="shared" si="31"/>
        <v>7Pinheiro - MA7</v>
      </c>
      <c r="K278" s="27" t="str">
        <f>IFERROR(VLOOKUP(J278,Substituicoes!J:J,1,0),"SS")</f>
        <v>SS</v>
      </c>
      <c r="L278" s="27" t="str">
        <f>IFERROR(VLOOKUP(J278,Substituicoes!K:K,1,0),"SS")</f>
        <v>SS</v>
      </c>
      <c r="M278" s="28" t="b">
        <f t="shared" si="32"/>
        <v>1</v>
      </c>
      <c r="N278" s="29">
        <f>IF(AND(K278=L278,LEFT(E278,1)="T"),VLOOKUP(A278,'JOGOS BASE'!A:E,4,0),IF(K278=J278,VLOOKUP(J278,Substituicoes!J:R,6,0),IF(L278=J278,VLOOKUP(Escalacao!J278,Substituicoes!K:R,7,0),0)))</f>
        <v>48</v>
      </c>
      <c r="O278" s="28">
        <f>IF(AND(K278=L278,LEFT(E278,1)="T"),VLOOKUP(A278,'JOGOS BASE'!A:E,5,0),IF(K278=J278,VLOOKUP(J278,Substituicoes!J:R,7,0),IF(L278=J278,VLOOKUP(Escalacao!J278,Substituicoes!K:R,8,0),0)))</f>
        <v>51</v>
      </c>
      <c r="P278" s="28">
        <f t="shared" si="33"/>
        <v>99</v>
      </c>
      <c r="Q278" s="28" t="str">
        <f t="shared" si="34"/>
        <v>77Pinheiro - MA</v>
      </c>
      <c r="R278" s="28" t="str">
        <f>VLOOKUP(A278,'JOGOS BASE'!A:H,8)</f>
        <v>18.01.2025 - Imperatriz - MA x Pinheiro - MA</v>
      </c>
    </row>
    <row r="279" spans="1:18" ht="20.399999999999999">
      <c r="A279" s="15">
        <v>7</v>
      </c>
      <c r="B279" s="46">
        <v>8</v>
      </c>
      <c r="C279" s="45" t="s">
        <v>314</v>
      </c>
      <c r="D279" s="45" t="s">
        <v>315</v>
      </c>
      <c r="E279" s="47" t="s">
        <v>26</v>
      </c>
      <c r="F279" s="47" t="s">
        <v>24</v>
      </c>
      <c r="G279" s="46">
        <v>552300</v>
      </c>
      <c r="H279" s="15" t="s">
        <v>368</v>
      </c>
      <c r="I279" s="26" t="str">
        <f t="shared" si="30"/>
        <v>Tulio</v>
      </c>
      <c r="J279" s="26" t="str">
        <f t="shared" si="31"/>
        <v>7Pinheiro - MA8</v>
      </c>
      <c r="K279" s="27" t="str">
        <f>IFERROR(VLOOKUP(J279,Substituicoes!J:J,1,0),"SS")</f>
        <v>SS</v>
      </c>
      <c r="L279" s="27" t="str">
        <f>IFERROR(VLOOKUP(J279,Substituicoes!K:K,1,0),"SS")</f>
        <v>SS</v>
      </c>
      <c r="M279" s="28" t="b">
        <f t="shared" si="32"/>
        <v>1</v>
      </c>
      <c r="N279" s="29">
        <f>IF(AND(K279=L279,LEFT(E279,1)="T"),VLOOKUP(A279,'JOGOS BASE'!A:E,4,0),IF(K279=J279,VLOOKUP(J279,Substituicoes!J:R,6,0),IF(L279=J279,VLOOKUP(Escalacao!J279,Substituicoes!K:R,7,0),0)))</f>
        <v>48</v>
      </c>
      <c r="O279" s="28">
        <f>IF(AND(K279=L279,LEFT(E279,1)="T"),VLOOKUP(A279,'JOGOS BASE'!A:E,5,0),IF(K279=J279,VLOOKUP(J279,Substituicoes!J:R,7,0),IF(L279=J279,VLOOKUP(Escalacao!J279,Substituicoes!K:R,8,0),0)))</f>
        <v>51</v>
      </c>
      <c r="P279" s="28">
        <f t="shared" si="33"/>
        <v>99</v>
      </c>
      <c r="Q279" s="28" t="str">
        <f t="shared" si="34"/>
        <v>78Pinheiro - MA</v>
      </c>
      <c r="R279" s="28" t="str">
        <f>VLOOKUP(A279,'JOGOS BASE'!A:H,8)</f>
        <v>18.01.2025 - Imperatriz - MA x Pinheiro - MA</v>
      </c>
    </row>
    <row r="280" spans="1:18" ht="30.6">
      <c r="A280" s="15">
        <v>7</v>
      </c>
      <c r="B280" s="46">
        <v>9</v>
      </c>
      <c r="C280" s="45" t="s">
        <v>316</v>
      </c>
      <c r="D280" s="45" t="s">
        <v>317</v>
      </c>
      <c r="E280" s="47" t="s">
        <v>26</v>
      </c>
      <c r="F280" s="47" t="s">
        <v>24</v>
      </c>
      <c r="G280" s="46">
        <v>464141</v>
      </c>
      <c r="H280" s="15" t="s">
        <v>368</v>
      </c>
      <c r="I280" s="26" t="str">
        <f t="shared" si="30"/>
        <v>Cleber</v>
      </c>
      <c r="J280" s="26" t="str">
        <f t="shared" si="31"/>
        <v>7Pinheiro - MA9</v>
      </c>
      <c r="K280" s="27" t="str">
        <f>IFERROR(VLOOKUP(J280,Substituicoes!J:J,1,0),"SS")</f>
        <v>SS</v>
      </c>
      <c r="L280" s="27" t="str">
        <f>IFERROR(VLOOKUP(J280,Substituicoes!K:K,1,0),"SS")</f>
        <v>7Pinheiro - MA9</v>
      </c>
      <c r="M280" s="28" t="b">
        <f t="shared" si="32"/>
        <v>0</v>
      </c>
      <c r="N280" s="29">
        <f>IF(AND(K280=L280,LEFT(E280,1)="T"),VLOOKUP(A280,'JOGOS BASE'!A:E,4,0),IF(K280=J280,VLOOKUP(J280,Substituicoes!J:R,6,0),IF(L280=J280,VLOOKUP(Escalacao!J280,Substituicoes!K:R,7,0),0)))</f>
        <v>48</v>
      </c>
      <c r="O280" s="28">
        <f>IF(AND(K280=L280,LEFT(E280,1)="T"),VLOOKUP(A280,'JOGOS BASE'!A:E,5,0),IF(K280=J280,VLOOKUP(J280,Substituicoes!J:R,7,0),IF(L280=J280,VLOOKUP(Escalacao!J280,Substituicoes!K:R,8,0),0)))</f>
        <v>30</v>
      </c>
      <c r="P280" s="28">
        <f t="shared" si="33"/>
        <v>78</v>
      </c>
      <c r="Q280" s="28" t="str">
        <f t="shared" si="34"/>
        <v>79Pinheiro - MA</v>
      </c>
      <c r="R280" s="28" t="str">
        <f>VLOOKUP(A280,'JOGOS BASE'!A:H,8)</f>
        <v>18.01.2025 - Imperatriz - MA x Pinheiro - MA</v>
      </c>
    </row>
    <row r="281" spans="1:18" ht="20.399999999999999">
      <c r="A281" s="15">
        <v>7</v>
      </c>
      <c r="B281" s="46">
        <v>10</v>
      </c>
      <c r="C281" s="45" t="s">
        <v>318</v>
      </c>
      <c r="D281" s="45" t="s">
        <v>319</v>
      </c>
      <c r="E281" s="47" t="s">
        <v>26</v>
      </c>
      <c r="F281" s="47" t="s">
        <v>24</v>
      </c>
      <c r="G281" s="46">
        <v>554277</v>
      </c>
      <c r="H281" s="15" t="s">
        <v>368</v>
      </c>
      <c r="I281" s="26" t="str">
        <f t="shared" si="30"/>
        <v>Neto</v>
      </c>
      <c r="J281" s="26" t="str">
        <f t="shared" si="31"/>
        <v>7Pinheiro - MA10</v>
      </c>
      <c r="K281" s="27" t="str">
        <f>IFERROR(VLOOKUP(J281,Substituicoes!J:J,1,0),"SS")</f>
        <v>SS</v>
      </c>
      <c r="L281" s="27" t="str">
        <f>IFERROR(VLOOKUP(J281,Substituicoes!K:K,1,0),"SS")</f>
        <v>SS</v>
      </c>
      <c r="M281" s="28" t="b">
        <f t="shared" si="32"/>
        <v>1</v>
      </c>
      <c r="N281" s="29">
        <f>IF(AND(K281=L281,LEFT(E281,1)="T"),VLOOKUP(A281,'JOGOS BASE'!A:E,4,0),IF(K281=J281,VLOOKUP(J281,Substituicoes!J:R,6,0),IF(L281=J281,VLOOKUP(Escalacao!J281,Substituicoes!K:R,7,0),0)))</f>
        <v>48</v>
      </c>
      <c r="O281" s="28">
        <f>IF(AND(K281=L281,LEFT(E281,1)="T"),VLOOKUP(A281,'JOGOS BASE'!A:E,5,0),IF(K281=J281,VLOOKUP(J281,Substituicoes!J:R,7,0),IF(L281=J281,VLOOKUP(Escalacao!J281,Substituicoes!K:R,8,0),0)))</f>
        <v>51</v>
      </c>
      <c r="P281" s="28">
        <f t="shared" si="33"/>
        <v>99</v>
      </c>
      <c r="Q281" s="28" t="str">
        <f t="shared" si="34"/>
        <v>710Pinheiro - MA</v>
      </c>
      <c r="R281" s="28" t="str">
        <f>VLOOKUP(A281,'JOGOS BASE'!A:H,8)</f>
        <v>18.01.2025 - Imperatriz - MA x Pinheiro - MA</v>
      </c>
    </row>
    <row r="282" spans="1:18" ht="30.6">
      <c r="A282" s="15">
        <v>7</v>
      </c>
      <c r="B282" s="46">
        <v>11</v>
      </c>
      <c r="C282" s="45" t="s">
        <v>320</v>
      </c>
      <c r="D282" s="45" t="s">
        <v>581</v>
      </c>
      <c r="E282" s="47" t="s">
        <v>26</v>
      </c>
      <c r="F282" s="47" t="s">
        <v>24</v>
      </c>
      <c r="G282" s="46">
        <v>612866</v>
      </c>
      <c r="H282" s="15" t="s">
        <v>368</v>
      </c>
      <c r="I282" s="26" t="str">
        <f t="shared" si="30"/>
        <v>Joao Pedro</v>
      </c>
      <c r="J282" s="26" t="str">
        <f t="shared" si="31"/>
        <v>7Pinheiro - MA11</v>
      </c>
      <c r="K282" s="27" t="str">
        <f>IFERROR(VLOOKUP(J282,Substituicoes!J:J,1,0),"SS")</f>
        <v>SS</v>
      </c>
      <c r="L282" s="27" t="str">
        <f>IFERROR(VLOOKUP(J282,Substituicoes!K:K,1,0),"SS")</f>
        <v>7Pinheiro - MA11</v>
      </c>
      <c r="M282" s="28" t="b">
        <f t="shared" si="32"/>
        <v>0</v>
      </c>
      <c r="N282" s="29">
        <f>IF(AND(K282=L282,LEFT(E282,1)="T"),VLOOKUP(A282,'JOGOS BASE'!A:E,4,0),IF(K282=J282,VLOOKUP(J282,Substituicoes!J:R,6,0),IF(L282=J282,VLOOKUP(Escalacao!J282,Substituicoes!K:R,7,0),0)))</f>
        <v>48</v>
      </c>
      <c r="O282" s="28">
        <f>IF(AND(K282=L282,LEFT(E282,1)="T"),VLOOKUP(A282,'JOGOS BASE'!A:E,5,0),IF(K282=J282,VLOOKUP(J282,Substituicoes!J:R,7,0),IF(L282=J282,VLOOKUP(Escalacao!J282,Substituicoes!K:R,8,0),0)))</f>
        <v>0</v>
      </c>
      <c r="P282" s="28">
        <f t="shared" si="33"/>
        <v>48</v>
      </c>
      <c r="Q282" s="28" t="str">
        <f t="shared" si="34"/>
        <v>711Pinheiro - MA</v>
      </c>
      <c r="R282" s="28" t="str">
        <f>VLOOKUP(A282,'JOGOS BASE'!A:H,8)</f>
        <v>18.01.2025 - Imperatriz - MA x Pinheiro - MA</v>
      </c>
    </row>
    <row r="283" spans="1:18" ht="20.399999999999999">
      <c r="A283" s="15">
        <v>7</v>
      </c>
      <c r="B283" s="46">
        <v>12</v>
      </c>
      <c r="C283" s="45" t="s">
        <v>322</v>
      </c>
      <c r="D283" s="45" t="s">
        <v>323</v>
      </c>
      <c r="E283" s="47" t="s">
        <v>40</v>
      </c>
      <c r="F283" s="47" t="s">
        <v>24</v>
      </c>
      <c r="G283" s="46">
        <v>637255</v>
      </c>
      <c r="H283" s="15" t="s">
        <v>368</v>
      </c>
      <c r="I283" s="26" t="str">
        <f t="shared" si="30"/>
        <v>LUAN</v>
      </c>
      <c r="J283" s="26" t="str">
        <f t="shared" si="31"/>
        <v>7Pinheiro - MA12</v>
      </c>
      <c r="K283" s="27" t="str">
        <f>IFERROR(VLOOKUP(J283,Substituicoes!J:J,1,0),"SS")</f>
        <v>SS</v>
      </c>
      <c r="L283" s="27" t="str">
        <f>IFERROR(VLOOKUP(J283,Substituicoes!K:K,1,0),"SS")</f>
        <v>SS</v>
      </c>
      <c r="M283" s="28" t="b">
        <f t="shared" si="32"/>
        <v>1</v>
      </c>
      <c r="N283" s="29">
        <f>IF(AND(K283=L283,LEFT(E283,1)="T"),VLOOKUP(A283,'JOGOS BASE'!A:E,4,0),IF(K283=J283,VLOOKUP(J283,Substituicoes!J:R,6,0),IF(L283=J283,VLOOKUP(Escalacao!J283,Substituicoes!K:R,7,0),0)))</f>
        <v>0</v>
      </c>
      <c r="O283" s="28">
        <f>IF(AND(K283=L283,LEFT(E283,1)="T"),VLOOKUP(A283,'JOGOS BASE'!A:E,5,0),IF(K283=J283,VLOOKUP(J283,Substituicoes!J:R,7,0),IF(L283=J283,VLOOKUP(Escalacao!J283,Substituicoes!K:R,8,0),0)))</f>
        <v>0</v>
      </c>
      <c r="P283" s="28">
        <f t="shared" si="33"/>
        <v>0</v>
      </c>
      <c r="Q283" s="28" t="str">
        <f t="shared" si="34"/>
        <v>712Pinheiro - MA</v>
      </c>
      <c r="R283" s="28" t="str">
        <f>VLOOKUP(A283,'JOGOS BASE'!A:H,8)</f>
        <v>18.01.2025 - Imperatriz - MA x Pinheiro - MA</v>
      </c>
    </row>
    <row r="284" spans="1:18" ht="30.6">
      <c r="A284" s="15">
        <v>7</v>
      </c>
      <c r="B284" s="46">
        <v>13</v>
      </c>
      <c r="C284" s="45" t="s">
        <v>324</v>
      </c>
      <c r="D284" s="45" t="s">
        <v>325</v>
      </c>
      <c r="E284" s="47" t="s">
        <v>42</v>
      </c>
      <c r="F284" s="47" t="s">
        <v>24</v>
      </c>
      <c r="G284" s="46">
        <v>554265</v>
      </c>
      <c r="H284" s="15" t="s">
        <v>368</v>
      </c>
      <c r="I284" s="26" t="str">
        <f t="shared" si="30"/>
        <v>Aldomir</v>
      </c>
      <c r="J284" s="26" t="str">
        <f t="shared" si="31"/>
        <v>7Pinheiro - MA13</v>
      </c>
      <c r="K284" s="27" t="str">
        <f>IFERROR(VLOOKUP(J284,Substituicoes!J:J,1,0),"SS")</f>
        <v>SS</v>
      </c>
      <c r="L284" s="27" t="str">
        <f>IFERROR(VLOOKUP(J284,Substituicoes!K:K,1,0),"SS")</f>
        <v>SS</v>
      </c>
      <c r="M284" s="28" t="b">
        <f t="shared" si="32"/>
        <v>1</v>
      </c>
      <c r="N284" s="29">
        <f>IF(AND(K284=L284,LEFT(E284,1)="T"),VLOOKUP(A284,'JOGOS BASE'!A:E,4,0),IF(K284=J284,VLOOKUP(J284,Substituicoes!J:R,6,0),IF(L284=J284,VLOOKUP(Escalacao!J284,Substituicoes!K:R,7,0),0)))</f>
        <v>0</v>
      </c>
      <c r="O284" s="28">
        <f>IF(AND(K284=L284,LEFT(E284,1)="T"),VLOOKUP(A284,'JOGOS BASE'!A:E,5,0),IF(K284=J284,VLOOKUP(J284,Substituicoes!J:R,7,0),IF(L284=J284,VLOOKUP(Escalacao!J284,Substituicoes!K:R,8,0),0)))</f>
        <v>0</v>
      </c>
      <c r="P284" s="28">
        <f t="shared" si="33"/>
        <v>0</v>
      </c>
      <c r="Q284" s="28" t="str">
        <f t="shared" si="34"/>
        <v>713Pinheiro - MA</v>
      </c>
      <c r="R284" s="28" t="str">
        <f>VLOOKUP(A284,'JOGOS BASE'!A:H,8)</f>
        <v>18.01.2025 - Imperatriz - MA x Pinheiro - MA</v>
      </c>
    </row>
    <row r="285" spans="1:18" ht="20.399999999999999">
      <c r="A285" s="15">
        <v>7</v>
      </c>
      <c r="B285" s="46">
        <v>14</v>
      </c>
      <c r="C285" s="45" t="s">
        <v>326</v>
      </c>
      <c r="D285" s="45" t="s">
        <v>327</v>
      </c>
      <c r="E285" s="47" t="s">
        <v>42</v>
      </c>
      <c r="F285" s="47" t="s">
        <v>56</v>
      </c>
      <c r="G285" s="46">
        <v>804398</v>
      </c>
      <c r="H285" s="15" t="s">
        <v>368</v>
      </c>
      <c r="I285" s="26" t="str">
        <f t="shared" si="30"/>
        <v>Igor Mineiro</v>
      </c>
      <c r="J285" s="26" t="str">
        <f t="shared" si="31"/>
        <v>7Pinheiro - MA14</v>
      </c>
      <c r="K285" s="27" t="str">
        <f>IFERROR(VLOOKUP(J285,Substituicoes!J:J,1,0),"SS")</f>
        <v>SS</v>
      </c>
      <c r="L285" s="27" t="str">
        <f>IFERROR(VLOOKUP(J285,Substituicoes!K:K,1,0),"SS")</f>
        <v>SS</v>
      </c>
      <c r="M285" s="28" t="b">
        <f t="shared" si="32"/>
        <v>1</v>
      </c>
      <c r="N285" s="29">
        <f>IF(AND(K285=L285,LEFT(E285,1)="T"),VLOOKUP(A285,'JOGOS BASE'!A:E,4,0),IF(K285=J285,VLOOKUP(J285,Substituicoes!J:R,6,0),IF(L285=J285,VLOOKUP(Escalacao!J285,Substituicoes!K:R,7,0),0)))</f>
        <v>0</v>
      </c>
      <c r="O285" s="28">
        <f>IF(AND(K285=L285,LEFT(E285,1)="T"),VLOOKUP(A285,'JOGOS BASE'!A:E,5,0),IF(K285=J285,VLOOKUP(J285,Substituicoes!J:R,7,0),IF(L285=J285,VLOOKUP(Escalacao!J285,Substituicoes!K:R,8,0),0)))</f>
        <v>0</v>
      </c>
      <c r="P285" s="28">
        <f t="shared" si="33"/>
        <v>0</v>
      </c>
      <c r="Q285" s="28" t="str">
        <f t="shared" si="34"/>
        <v>714Pinheiro - MA</v>
      </c>
      <c r="R285" s="28" t="str">
        <f>VLOOKUP(A285,'JOGOS BASE'!A:H,8)</f>
        <v>18.01.2025 - Imperatriz - MA x Pinheiro - MA</v>
      </c>
    </row>
    <row r="286" spans="1:18" ht="30.6">
      <c r="A286" s="15">
        <v>7</v>
      </c>
      <c r="B286" s="46">
        <v>15</v>
      </c>
      <c r="C286" s="45" t="s">
        <v>328</v>
      </c>
      <c r="D286" s="45" t="s">
        <v>329</v>
      </c>
      <c r="E286" s="47" t="s">
        <v>42</v>
      </c>
      <c r="F286" s="47" t="s">
        <v>56</v>
      </c>
      <c r="G286" s="46">
        <v>779893</v>
      </c>
      <c r="H286" s="15" t="s">
        <v>368</v>
      </c>
      <c r="I286" s="26" t="str">
        <f t="shared" si="30"/>
        <v>George</v>
      </c>
      <c r="J286" s="26" t="str">
        <f t="shared" si="31"/>
        <v>7Pinheiro - MA15</v>
      </c>
      <c r="K286" s="27" t="str">
        <f>IFERROR(VLOOKUP(J286,Substituicoes!J:J,1,0),"SS")</f>
        <v>7Pinheiro - MA15</v>
      </c>
      <c r="L286" s="27" t="str">
        <f>IFERROR(VLOOKUP(J286,Substituicoes!K:K,1,0),"SS")</f>
        <v>SS</v>
      </c>
      <c r="M286" s="28" t="b">
        <f t="shared" si="32"/>
        <v>0</v>
      </c>
      <c r="N286" s="29">
        <f>IF(AND(K286=L286,LEFT(E286,1)="T"),VLOOKUP(A286,'JOGOS BASE'!A:E,4,0),IF(K286=J286,VLOOKUP(J286,Substituicoes!J:R,6,0),IF(L286=J286,VLOOKUP(Escalacao!J286,Substituicoes!K:R,7,0),0)))</f>
        <v>0</v>
      </c>
      <c r="O286" s="28">
        <f>IF(AND(K286=L286,LEFT(E286,1)="T"),VLOOKUP(A286,'JOGOS BASE'!A:E,5,0),IF(K286=J286,VLOOKUP(J286,Substituicoes!J:R,7,0),IF(L286=J286,VLOOKUP(Escalacao!J286,Substituicoes!K:R,8,0),0)))</f>
        <v>51</v>
      </c>
      <c r="P286" s="28">
        <f t="shared" si="33"/>
        <v>51</v>
      </c>
      <c r="Q286" s="28" t="str">
        <f t="shared" si="34"/>
        <v>715Pinheiro - MA</v>
      </c>
      <c r="R286" s="28" t="str">
        <f>VLOOKUP(A286,'JOGOS BASE'!A:H,8)</f>
        <v>18.01.2025 - Imperatriz - MA x Pinheiro - MA</v>
      </c>
    </row>
    <row r="287" spans="1:18" ht="20.399999999999999">
      <c r="A287" s="15">
        <v>7</v>
      </c>
      <c r="B287" s="46">
        <v>16</v>
      </c>
      <c r="C287" s="45" t="s">
        <v>214</v>
      </c>
      <c r="D287" s="45" t="s">
        <v>330</v>
      </c>
      <c r="E287" s="47" t="s">
        <v>42</v>
      </c>
      <c r="F287" s="47" t="s">
        <v>24</v>
      </c>
      <c r="G287" s="46">
        <v>559235</v>
      </c>
      <c r="H287" s="15" t="s">
        <v>368</v>
      </c>
      <c r="I287" s="26" t="str">
        <f t="shared" si="30"/>
        <v>Jean</v>
      </c>
      <c r="J287" s="26" t="str">
        <f t="shared" si="31"/>
        <v>7Pinheiro - MA16</v>
      </c>
      <c r="K287" s="27" t="str">
        <f>IFERROR(VLOOKUP(J287,Substituicoes!J:J,1,0),"SS")</f>
        <v>SS</v>
      </c>
      <c r="L287" s="27" t="str">
        <f>IFERROR(VLOOKUP(J287,Substituicoes!K:K,1,0),"SS")</f>
        <v>SS</v>
      </c>
      <c r="M287" s="28" t="b">
        <f t="shared" si="32"/>
        <v>1</v>
      </c>
      <c r="N287" s="29">
        <f>IF(AND(K287=L287,LEFT(E287,1)="T"),VLOOKUP(A287,'JOGOS BASE'!A:E,4,0),IF(K287=J287,VLOOKUP(J287,Substituicoes!J:R,6,0),IF(L287=J287,VLOOKUP(Escalacao!J287,Substituicoes!K:R,7,0),0)))</f>
        <v>0</v>
      </c>
      <c r="O287" s="28">
        <f>IF(AND(K287=L287,LEFT(E287,1)="T"),VLOOKUP(A287,'JOGOS BASE'!A:E,5,0),IF(K287=J287,VLOOKUP(J287,Substituicoes!J:R,7,0),IF(L287=J287,VLOOKUP(Escalacao!J287,Substituicoes!K:R,8,0),0)))</f>
        <v>0</v>
      </c>
      <c r="P287" s="28">
        <f t="shared" si="33"/>
        <v>0</v>
      </c>
      <c r="Q287" s="28" t="str">
        <f t="shared" si="34"/>
        <v>716Pinheiro - MA</v>
      </c>
      <c r="R287" s="28" t="str">
        <f>VLOOKUP(A287,'JOGOS BASE'!A:H,8)</f>
        <v>18.01.2025 - Imperatriz - MA x Pinheiro - MA</v>
      </c>
    </row>
    <row r="288" spans="1:18" ht="30.6">
      <c r="A288" s="15">
        <v>7</v>
      </c>
      <c r="B288" s="46">
        <v>17</v>
      </c>
      <c r="C288" s="45" t="s">
        <v>331</v>
      </c>
      <c r="D288" s="45" t="s">
        <v>332</v>
      </c>
      <c r="E288" s="47" t="s">
        <v>42</v>
      </c>
      <c r="F288" s="47" t="s">
        <v>24</v>
      </c>
      <c r="G288" s="46">
        <v>816868</v>
      </c>
      <c r="H288" s="15" t="s">
        <v>368</v>
      </c>
      <c r="I288" s="26" t="str">
        <f t="shared" si="30"/>
        <v>KAYKY</v>
      </c>
      <c r="J288" s="26" t="str">
        <f t="shared" si="31"/>
        <v>7Pinheiro - MA17</v>
      </c>
      <c r="K288" s="27" t="str">
        <f>IFERROR(VLOOKUP(J288,Substituicoes!J:J,1,0),"SS")</f>
        <v>7Pinheiro - MA17</v>
      </c>
      <c r="L288" s="27" t="str">
        <f>IFERROR(VLOOKUP(J288,Substituicoes!K:K,1,0),"SS")</f>
        <v>SS</v>
      </c>
      <c r="M288" s="28" t="b">
        <f t="shared" si="32"/>
        <v>0</v>
      </c>
      <c r="N288" s="29">
        <f>IF(AND(K288=L288,LEFT(E288,1)="T"),VLOOKUP(A288,'JOGOS BASE'!A:E,4,0),IF(K288=J288,VLOOKUP(J288,Substituicoes!J:R,6,0),IF(L288=J288,VLOOKUP(Escalacao!J288,Substituicoes!K:R,7,0),0)))</f>
        <v>0</v>
      </c>
      <c r="O288" s="28">
        <f>IF(AND(K288=L288,LEFT(E288,1)="T"),VLOOKUP(A288,'JOGOS BASE'!A:E,5,0),IF(K288=J288,VLOOKUP(J288,Substituicoes!J:R,7,0),IF(L288=J288,VLOOKUP(Escalacao!J288,Substituicoes!K:R,8,0),0)))</f>
        <v>21</v>
      </c>
      <c r="P288" s="28">
        <f t="shared" si="33"/>
        <v>21</v>
      </c>
      <c r="Q288" s="28" t="str">
        <f t="shared" si="34"/>
        <v>717Pinheiro - MA</v>
      </c>
      <c r="R288" s="28" t="str">
        <f>VLOOKUP(A288,'JOGOS BASE'!A:H,8)</f>
        <v>18.01.2025 - Imperatriz - MA x Pinheiro - MA</v>
      </c>
    </row>
    <row r="289" spans="1:18" ht="30.6">
      <c r="A289" s="15">
        <v>7</v>
      </c>
      <c r="B289" s="46">
        <v>18</v>
      </c>
      <c r="C289" s="45" t="s">
        <v>333</v>
      </c>
      <c r="D289" s="45" t="s">
        <v>582</v>
      </c>
      <c r="E289" s="47" t="s">
        <v>42</v>
      </c>
      <c r="F289" s="47" t="s">
        <v>24</v>
      </c>
      <c r="G289" s="46">
        <v>710709</v>
      </c>
      <c r="H289" s="15" t="s">
        <v>368</v>
      </c>
      <c r="I289" s="26" t="str">
        <f t="shared" si="30"/>
        <v>BASTICO</v>
      </c>
      <c r="J289" s="26" t="str">
        <f t="shared" si="31"/>
        <v>7Pinheiro - MA18</v>
      </c>
      <c r="K289" s="27" t="str">
        <f>IFERROR(VLOOKUP(J289,Substituicoes!J:J,1,0),"SS")</f>
        <v>7Pinheiro - MA18</v>
      </c>
      <c r="L289" s="27" t="str">
        <f>IFERROR(VLOOKUP(J289,Substituicoes!K:K,1,0),"SS")</f>
        <v>SS</v>
      </c>
      <c r="M289" s="28" t="b">
        <f t="shared" si="32"/>
        <v>0</v>
      </c>
      <c r="N289" s="29">
        <f>IF(AND(K289=L289,LEFT(E289,1)="T"),VLOOKUP(A289,'JOGOS BASE'!A:E,4,0),IF(K289=J289,VLOOKUP(J289,Substituicoes!J:R,6,0),IF(L289=J289,VLOOKUP(Escalacao!J289,Substituicoes!K:R,7,0),0)))</f>
        <v>0</v>
      </c>
      <c r="O289" s="28">
        <f>IF(AND(K289=L289,LEFT(E289,1)="T"),VLOOKUP(A289,'JOGOS BASE'!A:E,5,0),IF(K289=J289,VLOOKUP(J289,Substituicoes!J:R,7,0),IF(L289=J289,VLOOKUP(Escalacao!J289,Substituicoes!K:R,8,0),0)))</f>
        <v>51</v>
      </c>
      <c r="P289" s="28">
        <f t="shared" si="33"/>
        <v>51</v>
      </c>
      <c r="Q289" s="28" t="str">
        <f t="shared" si="34"/>
        <v>718Pinheiro - MA</v>
      </c>
      <c r="R289" s="28" t="str">
        <f>VLOOKUP(A289,'JOGOS BASE'!A:H,8)</f>
        <v>18.01.2025 - Imperatriz - MA x Pinheiro - MA</v>
      </c>
    </row>
    <row r="290" spans="1:18" ht="30.6">
      <c r="A290" s="15">
        <v>7</v>
      </c>
      <c r="B290" s="46">
        <v>19</v>
      </c>
      <c r="C290" s="45" t="s">
        <v>392</v>
      </c>
      <c r="D290" s="45" t="s">
        <v>393</v>
      </c>
      <c r="E290" s="47" t="s">
        <v>42</v>
      </c>
      <c r="F290" s="47" t="s">
        <v>56</v>
      </c>
      <c r="G290" s="46">
        <v>894254</v>
      </c>
      <c r="H290" s="15" t="s">
        <v>368</v>
      </c>
      <c r="I290" s="26" t="str">
        <f t="shared" si="30"/>
        <v>ANDERSON</v>
      </c>
      <c r="J290" s="26" t="str">
        <f t="shared" si="31"/>
        <v>7Pinheiro - MA19</v>
      </c>
      <c r="K290" s="27" t="str">
        <f>IFERROR(VLOOKUP(J290,Substituicoes!J:J,1,0),"SS")</f>
        <v>SS</v>
      </c>
      <c r="L290" s="27" t="str">
        <f>IFERROR(VLOOKUP(J290,Substituicoes!K:K,1,0),"SS")</f>
        <v>SS</v>
      </c>
      <c r="M290" s="28" t="b">
        <f t="shared" si="32"/>
        <v>1</v>
      </c>
      <c r="N290" s="29">
        <f>IF(AND(K290=L290,LEFT(E290,1)="T"),VLOOKUP(A290,'JOGOS BASE'!A:E,4,0),IF(K290=J290,VLOOKUP(J290,Substituicoes!J:R,6,0),IF(L290=J290,VLOOKUP(Escalacao!J290,Substituicoes!K:R,7,0),0)))</f>
        <v>0</v>
      </c>
      <c r="O290" s="28">
        <f>IF(AND(K290=L290,LEFT(E290,1)="T"),VLOOKUP(A290,'JOGOS BASE'!A:E,5,0),IF(K290=J290,VLOOKUP(J290,Substituicoes!J:R,7,0),IF(L290=J290,VLOOKUP(Escalacao!J290,Substituicoes!K:R,8,0),0)))</f>
        <v>0</v>
      </c>
      <c r="P290" s="28">
        <f t="shared" si="33"/>
        <v>0</v>
      </c>
      <c r="Q290" s="28" t="str">
        <f t="shared" si="34"/>
        <v>719Pinheiro - MA</v>
      </c>
      <c r="R290" s="28" t="str">
        <f>VLOOKUP(A290,'JOGOS BASE'!A:H,8)</f>
        <v>18.01.2025 - Imperatriz - MA x Pinheiro - MA</v>
      </c>
    </row>
    <row r="291" spans="1:18" ht="30.6">
      <c r="A291" s="15">
        <v>8</v>
      </c>
      <c r="B291" s="46">
        <v>1</v>
      </c>
      <c r="C291" s="45" t="s">
        <v>335</v>
      </c>
      <c r="D291" s="45" t="s">
        <v>336</v>
      </c>
      <c r="E291" s="47" t="s">
        <v>23</v>
      </c>
      <c r="F291" s="47" t="s">
        <v>24</v>
      </c>
      <c r="G291" s="46">
        <v>178014</v>
      </c>
      <c r="H291" s="18" t="s">
        <v>381</v>
      </c>
      <c r="I291" s="26" t="str">
        <f t="shared" ref="I291:I326" si="35">C291</f>
        <v>Saulo</v>
      </c>
      <c r="J291" s="26" t="str">
        <f t="shared" ref="J291:J326" si="36">A291&amp;H291&amp;B291</f>
        <v>8Viana - MA1</v>
      </c>
      <c r="K291" s="27" t="str">
        <f>IFERROR(VLOOKUP(J291,Substituicoes!J:J,1,0),"SS")</f>
        <v>SS</v>
      </c>
      <c r="L291" s="27" t="str">
        <f>IFERROR(VLOOKUP(J291,Substituicoes!K:K,1,0),"SS")</f>
        <v>SS</v>
      </c>
      <c r="M291" s="28" t="b">
        <f t="shared" ref="M291:M326" si="37">K291=L291</f>
        <v>1</v>
      </c>
      <c r="N291" s="29">
        <f>IF(AND(K291=L291,LEFT(E291,1)="T"),VLOOKUP(A291,'JOGOS BASE'!A:E,4,0),IF(K291=J291,VLOOKUP(J291,Substituicoes!J:R,6,0),IF(L291=J291,VLOOKUP(Escalacao!J291,Substituicoes!K:R,7,0),0)))</f>
        <v>50</v>
      </c>
      <c r="O291" s="28">
        <f>IF(AND(K291=L291,LEFT(E291,1)="T"),VLOOKUP(A291,'JOGOS BASE'!A:E,5,0),IF(K291=J291,VLOOKUP(J291,Substituicoes!J:R,7,0),IF(L291=J291,VLOOKUP(Escalacao!J291,Substituicoes!K:R,8,0),0)))</f>
        <v>53</v>
      </c>
      <c r="P291" s="28">
        <f t="shared" ref="P291:P326" si="38">N291+O291</f>
        <v>103</v>
      </c>
      <c r="Q291" s="28" t="str">
        <f t="shared" ref="Q291:Q326" si="39">A291&amp;B291&amp;H291</f>
        <v>81Viana - MA</v>
      </c>
      <c r="R291" s="28" t="str">
        <f>VLOOKUP(A291,'JOGOS BASE'!A:H,8)</f>
        <v>19.01.2025 - Viana - MA x Sampaio Corrêa - MA</v>
      </c>
    </row>
    <row r="292" spans="1:18" ht="30.6">
      <c r="A292" s="15">
        <v>8</v>
      </c>
      <c r="B292" s="46">
        <v>2</v>
      </c>
      <c r="C292" s="45" t="s">
        <v>604</v>
      </c>
      <c r="D292" s="45" t="s">
        <v>605</v>
      </c>
      <c r="E292" s="47" t="s">
        <v>26</v>
      </c>
      <c r="F292" s="47" t="s">
        <v>24</v>
      </c>
      <c r="G292" s="46">
        <v>894365</v>
      </c>
      <c r="H292" s="18" t="s">
        <v>381</v>
      </c>
      <c r="I292" s="26" t="str">
        <f t="shared" si="35"/>
        <v>JAMILSON</v>
      </c>
      <c r="J292" s="26" t="str">
        <f t="shared" si="36"/>
        <v>8Viana - MA2</v>
      </c>
      <c r="K292" s="27" t="str">
        <f>IFERROR(VLOOKUP(J292,Substituicoes!J:J,1,0),"SS")</f>
        <v>SS</v>
      </c>
      <c r="L292" s="27" t="str">
        <f>IFERROR(VLOOKUP(J292,Substituicoes!K:K,1,0),"SS")</f>
        <v>SS</v>
      </c>
      <c r="M292" s="28" t="b">
        <f t="shared" si="37"/>
        <v>1</v>
      </c>
      <c r="N292" s="29">
        <f>IF(AND(K292=L292,LEFT(E292,1)="T"),VLOOKUP(A292,'JOGOS BASE'!A:E,4,0),IF(K292=J292,VLOOKUP(J292,Substituicoes!J:R,6,0),IF(L292=J292,VLOOKUP(Escalacao!J292,Substituicoes!K:R,7,0),0)))</f>
        <v>50</v>
      </c>
      <c r="O292" s="28">
        <f>IF(AND(K292=L292,LEFT(E292,1)="T"),VLOOKUP(A292,'JOGOS BASE'!A:E,5,0),IF(K292=J292,VLOOKUP(J292,Substituicoes!J:R,7,0),IF(L292=J292,VLOOKUP(Escalacao!J292,Substituicoes!K:R,8,0),0)))</f>
        <v>53</v>
      </c>
      <c r="P292" s="28">
        <f t="shared" si="38"/>
        <v>103</v>
      </c>
      <c r="Q292" s="28" t="str">
        <f t="shared" si="39"/>
        <v>82Viana - MA</v>
      </c>
      <c r="R292" s="28" t="str">
        <f>VLOOKUP(A292,'JOGOS BASE'!A:H,8)</f>
        <v>19.01.2025 - Viana - MA x Sampaio Corrêa - MA</v>
      </c>
    </row>
    <row r="293" spans="1:18" ht="30.6">
      <c r="A293" s="15">
        <v>8</v>
      </c>
      <c r="B293" s="46">
        <v>3</v>
      </c>
      <c r="C293" s="45" t="s">
        <v>339</v>
      </c>
      <c r="D293" s="45" t="s">
        <v>340</v>
      </c>
      <c r="E293" s="47" t="s">
        <v>26</v>
      </c>
      <c r="F293" s="47" t="s">
        <v>24</v>
      </c>
      <c r="G293" s="46">
        <v>396008</v>
      </c>
      <c r="H293" s="18" t="s">
        <v>381</v>
      </c>
      <c r="I293" s="26" t="str">
        <f t="shared" si="35"/>
        <v>Brener Bessa</v>
      </c>
      <c r="J293" s="26" t="str">
        <f t="shared" si="36"/>
        <v>8Viana - MA3</v>
      </c>
      <c r="K293" s="27" t="str">
        <f>IFERROR(VLOOKUP(J293,Substituicoes!J:J,1,0),"SS")</f>
        <v>SS</v>
      </c>
      <c r="L293" s="27" t="str">
        <f>IFERROR(VLOOKUP(J293,Substituicoes!K:K,1,0),"SS")</f>
        <v>SS</v>
      </c>
      <c r="M293" s="28" t="b">
        <f t="shared" si="37"/>
        <v>1</v>
      </c>
      <c r="N293" s="29">
        <f>IF(AND(K293=L293,LEFT(E293,1)="T"),VLOOKUP(A293,'JOGOS BASE'!A:E,4,0),IF(K293=J293,VLOOKUP(J293,Substituicoes!J:R,6,0),IF(L293=J293,VLOOKUP(Escalacao!J293,Substituicoes!K:R,7,0),0)))</f>
        <v>50</v>
      </c>
      <c r="O293" s="28">
        <f>IF(AND(K293=L293,LEFT(E293,1)="T"),VLOOKUP(A293,'JOGOS BASE'!A:E,5,0),IF(K293=J293,VLOOKUP(J293,Substituicoes!J:R,7,0),IF(L293=J293,VLOOKUP(Escalacao!J293,Substituicoes!K:R,8,0),0)))</f>
        <v>53</v>
      </c>
      <c r="P293" s="28">
        <f t="shared" si="38"/>
        <v>103</v>
      </c>
      <c r="Q293" s="28" t="str">
        <f t="shared" si="39"/>
        <v>83Viana - MA</v>
      </c>
      <c r="R293" s="28" t="str">
        <f>VLOOKUP(A293,'JOGOS BASE'!A:H,8)</f>
        <v>19.01.2025 - Viana - MA x Sampaio Corrêa - MA</v>
      </c>
    </row>
    <row r="294" spans="1:18" ht="20.399999999999999">
      <c r="A294" s="15">
        <v>8</v>
      </c>
      <c r="B294" s="46">
        <v>4</v>
      </c>
      <c r="C294" s="45" t="s">
        <v>606</v>
      </c>
      <c r="D294" s="45" t="s">
        <v>607</v>
      </c>
      <c r="E294" s="47" t="s">
        <v>26</v>
      </c>
      <c r="F294" s="47" t="s">
        <v>24</v>
      </c>
      <c r="G294" s="46">
        <v>709273</v>
      </c>
      <c r="H294" s="18" t="s">
        <v>381</v>
      </c>
      <c r="I294" s="26" t="str">
        <f t="shared" si="35"/>
        <v>CAIO</v>
      </c>
      <c r="J294" s="26" t="str">
        <f t="shared" si="36"/>
        <v>8Viana - MA4</v>
      </c>
      <c r="K294" s="27" t="str">
        <f>IFERROR(VLOOKUP(J294,Substituicoes!J:J,1,0),"SS")</f>
        <v>SS</v>
      </c>
      <c r="L294" s="27" t="str">
        <f>IFERROR(VLOOKUP(J294,Substituicoes!K:K,1,0),"SS")</f>
        <v>SS</v>
      </c>
      <c r="M294" s="28" t="b">
        <f t="shared" si="37"/>
        <v>1</v>
      </c>
      <c r="N294" s="29">
        <f>IF(AND(K294=L294,LEFT(E294,1)="T"),VLOOKUP(A294,'JOGOS BASE'!A:E,4,0),IF(K294=J294,VLOOKUP(J294,Substituicoes!J:R,6,0),IF(L294=J294,VLOOKUP(Escalacao!J294,Substituicoes!K:R,7,0),0)))</f>
        <v>50</v>
      </c>
      <c r="O294" s="28">
        <f>IF(AND(K294=L294,LEFT(E294,1)="T"),VLOOKUP(A294,'JOGOS BASE'!A:E,5,0),IF(K294=J294,VLOOKUP(J294,Substituicoes!J:R,7,0),IF(L294=J294,VLOOKUP(Escalacao!J294,Substituicoes!K:R,8,0),0)))</f>
        <v>53</v>
      </c>
      <c r="P294" s="28">
        <f t="shared" si="38"/>
        <v>103</v>
      </c>
      <c r="Q294" s="28" t="str">
        <f t="shared" si="39"/>
        <v>84Viana - MA</v>
      </c>
      <c r="R294" s="28" t="str">
        <f>VLOOKUP(A294,'JOGOS BASE'!A:H,8)</f>
        <v>19.01.2025 - Viana - MA x Sampaio Corrêa - MA</v>
      </c>
    </row>
    <row r="295" spans="1:18" ht="30.6">
      <c r="A295" s="15">
        <v>8</v>
      </c>
      <c r="B295" s="46">
        <v>5</v>
      </c>
      <c r="C295" s="45" t="s">
        <v>343</v>
      </c>
      <c r="D295" s="45" t="s">
        <v>344</v>
      </c>
      <c r="E295" s="47" t="s">
        <v>26</v>
      </c>
      <c r="F295" s="47" t="s">
        <v>24</v>
      </c>
      <c r="G295" s="46">
        <v>799878</v>
      </c>
      <c r="H295" s="18" t="s">
        <v>381</v>
      </c>
      <c r="I295" s="26" t="str">
        <f t="shared" si="35"/>
        <v>RIQUELME</v>
      </c>
      <c r="J295" s="26" t="str">
        <f t="shared" si="36"/>
        <v>8Viana - MA5</v>
      </c>
      <c r="K295" s="27" t="str">
        <f>IFERROR(VLOOKUP(J295,Substituicoes!J:J,1,0),"SS")</f>
        <v>SS</v>
      </c>
      <c r="L295" s="27" t="str">
        <f>IFERROR(VLOOKUP(J295,Substituicoes!K:K,1,0),"SS")</f>
        <v>SS</v>
      </c>
      <c r="M295" s="28" t="b">
        <f t="shared" si="37"/>
        <v>1</v>
      </c>
      <c r="N295" s="29">
        <f>IF(AND(K295=L295,LEFT(E295,1)="T"),VLOOKUP(A295,'JOGOS BASE'!A:E,4,0),IF(K295=J295,VLOOKUP(J295,Substituicoes!J:R,6,0),IF(L295=J295,VLOOKUP(Escalacao!J295,Substituicoes!K:R,7,0),0)))</f>
        <v>50</v>
      </c>
      <c r="O295" s="28">
        <f>IF(AND(K295=L295,LEFT(E295,1)="T"),VLOOKUP(A295,'JOGOS BASE'!A:E,5,0),IF(K295=J295,VLOOKUP(J295,Substituicoes!J:R,7,0),IF(L295=J295,VLOOKUP(Escalacao!J295,Substituicoes!K:R,8,0),0)))</f>
        <v>53</v>
      </c>
      <c r="P295" s="28">
        <f t="shared" si="38"/>
        <v>103</v>
      </c>
      <c r="Q295" s="28" t="str">
        <f t="shared" si="39"/>
        <v>85Viana - MA</v>
      </c>
      <c r="R295" s="28" t="str">
        <f>VLOOKUP(A295,'JOGOS BASE'!A:H,8)</f>
        <v>19.01.2025 - Viana - MA x Sampaio Corrêa - MA</v>
      </c>
    </row>
    <row r="296" spans="1:18" ht="30.6">
      <c r="A296" s="15">
        <v>8</v>
      </c>
      <c r="B296" s="46">
        <v>6</v>
      </c>
      <c r="C296" s="45" t="s">
        <v>301</v>
      </c>
      <c r="D296" s="45" t="s">
        <v>608</v>
      </c>
      <c r="E296" s="47" t="s">
        <v>26</v>
      </c>
      <c r="F296" s="47" t="s">
        <v>24</v>
      </c>
      <c r="G296" s="46">
        <v>581708</v>
      </c>
      <c r="H296" s="18" t="s">
        <v>381</v>
      </c>
      <c r="I296" s="26" t="str">
        <f t="shared" si="35"/>
        <v>Mateus</v>
      </c>
      <c r="J296" s="26" t="str">
        <f t="shared" si="36"/>
        <v>8Viana - MA6</v>
      </c>
      <c r="K296" s="27" t="str">
        <f>IFERROR(VLOOKUP(J296,Substituicoes!J:J,1,0),"SS")</f>
        <v>SS</v>
      </c>
      <c r="L296" s="27" t="str">
        <f>IFERROR(VLOOKUP(J296,Substituicoes!K:K,1,0),"SS")</f>
        <v>SS</v>
      </c>
      <c r="M296" s="28" t="b">
        <f t="shared" si="37"/>
        <v>1</v>
      </c>
      <c r="N296" s="29">
        <f>IF(AND(K296=L296,LEFT(E296,1)="T"),VLOOKUP(A296,'JOGOS BASE'!A:E,4,0),IF(K296=J296,VLOOKUP(J296,Substituicoes!J:R,6,0),IF(L296=J296,VLOOKUP(Escalacao!J296,Substituicoes!K:R,7,0),0)))</f>
        <v>50</v>
      </c>
      <c r="O296" s="28">
        <f>IF(AND(K296=L296,LEFT(E296,1)="T"),VLOOKUP(A296,'JOGOS BASE'!A:E,5,0),IF(K296=J296,VLOOKUP(J296,Substituicoes!J:R,7,0),IF(L296=J296,VLOOKUP(Escalacao!J296,Substituicoes!K:R,8,0),0)))</f>
        <v>53</v>
      </c>
      <c r="P296" s="28">
        <f t="shared" si="38"/>
        <v>103</v>
      </c>
      <c r="Q296" s="28" t="str">
        <f t="shared" si="39"/>
        <v>86Viana - MA</v>
      </c>
      <c r="R296" s="28" t="str">
        <f>VLOOKUP(A296,'JOGOS BASE'!A:H,8)</f>
        <v>19.01.2025 - Viana - MA x Sampaio Corrêa - MA</v>
      </c>
    </row>
    <row r="297" spans="1:18" ht="30.6">
      <c r="A297" s="15">
        <v>8</v>
      </c>
      <c r="B297" s="46">
        <v>7</v>
      </c>
      <c r="C297" s="45" t="s">
        <v>609</v>
      </c>
      <c r="D297" s="45" t="s">
        <v>610</v>
      </c>
      <c r="E297" s="47" t="s">
        <v>26</v>
      </c>
      <c r="F297" s="47" t="s">
        <v>24</v>
      </c>
      <c r="G297" s="46">
        <v>590716</v>
      </c>
      <c r="H297" s="18" t="s">
        <v>381</v>
      </c>
      <c r="I297" s="26" t="str">
        <f t="shared" si="35"/>
        <v>arisco</v>
      </c>
      <c r="J297" s="26" t="str">
        <f t="shared" si="36"/>
        <v>8Viana - MA7</v>
      </c>
      <c r="K297" s="27" t="str">
        <f>IFERROR(VLOOKUP(J297,Substituicoes!J:J,1,0),"SS")</f>
        <v>SS</v>
      </c>
      <c r="L297" s="27" t="str">
        <f>IFERROR(VLOOKUP(J297,Substituicoes!K:K,1,0),"SS")</f>
        <v>8Viana - MA7</v>
      </c>
      <c r="M297" s="28" t="b">
        <f t="shared" si="37"/>
        <v>0</v>
      </c>
      <c r="N297" s="29">
        <f>IF(AND(K297=L297,LEFT(E297,1)="T"),VLOOKUP(A297,'JOGOS BASE'!A:E,4,0),IF(K297=J297,VLOOKUP(J297,Substituicoes!J:R,6,0),IF(L297=J297,VLOOKUP(Escalacao!J297,Substituicoes!K:R,7,0),0)))</f>
        <v>50</v>
      </c>
      <c r="O297" s="28">
        <f>IF(AND(K297=L297,LEFT(E297,1)="T"),VLOOKUP(A297,'JOGOS BASE'!A:E,5,0),IF(K297=J297,VLOOKUP(J297,Substituicoes!J:R,7,0),IF(L297=J297,VLOOKUP(Escalacao!J297,Substituicoes!K:R,8,0),0)))</f>
        <v>42</v>
      </c>
      <c r="P297" s="28">
        <f t="shared" si="38"/>
        <v>92</v>
      </c>
      <c r="Q297" s="28" t="str">
        <f t="shared" si="39"/>
        <v>87Viana - MA</v>
      </c>
      <c r="R297" s="28" t="str">
        <f>VLOOKUP(A297,'JOGOS BASE'!A:H,8)</f>
        <v>19.01.2025 - Viana - MA x Sampaio Corrêa - MA</v>
      </c>
    </row>
    <row r="298" spans="1:18" ht="30.6">
      <c r="A298" s="15">
        <v>8</v>
      </c>
      <c r="B298" s="46">
        <v>8</v>
      </c>
      <c r="C298" s="45" t="s">
        <v>611</v>
      </c>
      <c r="D298" s="45" t="s">
        <v>612</v>
      </c>
      <c r="E298" s="47" t="s">
        <v>26</v>
      </c>
      <c r="F298" s="47" t="s">
        <v>24</v>
      </c>
      <c r="G298" s="46">
        <v>894358</v>
      </c>
      <c r="H298" s="18" t="s">
        <v>381</v>
      </c>
      <c r="I298" s="26" t="str">
        <f t="shared" si="35"/>
        <v>LUANDERSO</v>
      </c>
      <c r="J298" s="26" t="str">
        <f t="shared" si="36"/>
        <v>8Viana - MA8</v>
      </c>
      <c r="K298" s="27" t="str">
        <f>IFERROR(VLOOKUP(J298,Substituicoes!J:J,1,0),"SS")</f>
        <v>SS</v>
      </c>
      <c r="L298" s="27" t="str">
        <f>IFERROR(VLOOKUP(J298,Substituicoes!K:K,1,0),"SS")</f>
        <v>8Viana - MA8</v>
      </c>
      <c r="M298" s="28" t="b">
        <f t="shared" si="37"/>
        <v>0</v>
      </c>
      <c r="N298" s="29">
        <f>IF(AND(K298=L298,LEFT(E298,1)="T"),VLOOKUP(A298,'JOGOS BASE'!A:E,4,0),IF(K298=J298,VLOOKUP(J298,Substituicoes!J:R,6,0),IF(L298=J298,VLOOKUP(Escalacao!J298,Substituicoes!K:R,7,0),0)))</f>
        <v>50</v>
      </c>
      <c r="O298" s="28">
        <f>IF(AND(K298=L298,LEFT(E298,1)="T"),VLOOKUP(A298,'JOGOS BASE'!A:E,5,0),IF(K298=J298,VLOOKUP(J298,Substituicoes!J:R,7,0),IF(L298=J298,VLOOKUP(Escalacao!J298,Substituicoes!K:R,8,0),0)))</f>
        <v>17</v>
      </c>
      <c r="P298" s="28">
        <f t="shared" si="38"/>
        <v>67</v>
      </c>
      <c r="Q298" s="28" t="str">
        <f t="shared" si="39"/>
        <v>88Viana - MA</v>
      </c>
      <c r="R298" s="28" t="str">
        <f>VLOOKUP(A298,'JOGOS BASE'!A:H,8)</f>
        <v>19.01.2025 - Viana - MA x Sampaio Corrêa - MA</v>
      </c>
    </row>
    <row r="299" spans="1:18" ht="30.6">
      <c r="A299" s="15">
        <v>8</v>
      </c>
      <c r="B299" s="46">
        <v>9</v>
      </c>
      <c r="C299" s="45" t="s">
        <v>92</v>
      </c>
      <c r="D299" s="45" t="s">
        <v>347</v>
      </c>
      <c r="E299" s="47" t="s">
        <v>26</v>
      </c>
      <c r="F299" s="47" t="s">
        <v>24</v>
      </c>
      <c r="G299" s="46">
        <v>611781</v>
      </c>
      <c r="H299" s="18" t="s">
        <v>381</v>
      </c>
      <c r="I299" s="26" t="str">
        <f t="shared" si="35"/>
        <v>Thiago</v>
      </c>
      <c r="J299" s="26" t="str">
        <f t="shared" si="36"/>
        <v>8Viana - MA9</v>
      </c>
      <c r="K299" s="27" t="str">
        <f>IFERROR(VLOOKUP(J299,Substituicoes!J:J,1,0),"SS")</f>
        <v>SS</v>
      </c>
      <c r="L299" s="27" t="str">
        <f>IFERROR(VLOOKUP(J299,Substituicoes!K:K,1,0),"SS")</f>
        <v>SS</v>
      </c>
      <c r="M299" s="28" t="b">
        <f t="shared" si="37"/>
        <v>1</v>
      </c>
      <c r="N299" s="29">
        <f>IF(AND(K299=L299,LEFT(E299,1)="T"),VLOOKUP(A299,'JOGOS BASE'!A:E,4,0),IF(K299=J299,VLOOKUP(J299,Substituicoes!J:R,6,0),IF(L299=J299,VLOOKUP(Escalacao!J299,Substituicoes!K:R,7,0),0)))</f>
        <v>50</v>
      </c>
      <c r="O299" s="28">
        <f>IF(AND(K299=L299,LEFT(E299,1)="T"),VLOOKUP(A299,'JOGOS BASE'!A:E,5,0),IF(K299=J299,VLOOKUP(J299,Substituicoes!J:R,7,0),IF(L299=J299,VLOOKUP(Escalacao!J299,Substituicoes!K:R,8,0),0)))</f>
        <v>53</v>
      </c>
      <c r="P299" s="28">
        <f t="shared" si="38"/>
        <v>103</v>
      </c>
      <c r="Q299" s="28" t="str">
        <f t="shared" si="39"/>
        <v>89Viana - MA</v>
      </c>
      <c r="R299" s="28" t="str">
        <f>VLOOKUP(A299,'JOGOS BASE'!A:H,8)</f>
        <v>19.01.2025 - Viana - MA x Sampaio Corrêa - MA</v>
      </c>
    </row>
    <row r="300" spans="1:18" ht="20.399999999999999">
      <c r="A300" s="15">
        <v>8</v>
      </c>
      <c r="B300" s="46">
        <v>10</v>
      </c>
      <c r="C300" s="45" t="s">
        <v>353</v>
      </c>
      <c r="D300" s="45" t="s">
        <v>354</v>
      </c>
      <c r="E300" s="47" t="s">
        <v>26</v>
      </c>
      <c r="F300" s="47" t="s">
        <v>24</v>
      </c>
      <c r="G300" s="46">
        <v>700228</v>
      </c>
      <c r="H300" s="18" t="s">
        <v>381</v>
      </c>
      <c r="I300" s="26" t="str">
        <f t="shared" si="35"/>
        <v>ARIEL</v>
      </c>
      <c r="J300" s="26" t="str">
        <f t="shared" si="36"/>
        <v>8Viana - MA10</v>
      </c>
      <c r="K300" s="27" t="str">
        <f>IFERROR(VLOOKUP(J300,Substituicoes!J:J,1,0),"SS")</f>
        <v>SS</v>
      </c>
      <c r="L300" s="27" t="str">
        <f>IFERROR(VLOOKUP(J300,Substituicoes!K:K,1,0),"SS")</f>
        <v>8Viana - MA10</v>
      </c>
      <c r="M300" s="28" t="b">
        <f t="shared" si="37"/>
        <v>0</v>
      </c>
      <c r="N300" s="29">
        <f>IF(AND(K300=L300,LEFT(E300,1)="T"),VLOOKUP(A300,'JOGOS BASE'!A:E,4,0),IF(K300=J300,VLOOKUP(J300,Substituicoes!J:R,6,0),IF(L300=J300,VLOOKUP(Escalacao!J300,Substituicoes!K:R,7,0),0)))</f>
        <v>50</v>
      </c>
      <c r="O300" s="28">
        <f>IF(AND(K300=L300,LEFT(E300,1)="T"),VLOOKUP(A300,'JOGOS BASE'!A:E,5,0),IF(K300=J300,VLOOKUP(J300,Substituicoes!J:R,7,0),IF(L300=J300,VLOOKUP(Escalacao!J300,Substituicoes!K:R,8,0),0)))</f>
        <v>0</v>
      </c>
      <c r="P300" s="28">
        <f t="shared" si="38"/>
        <v>50</v>
      </c>
      <c r="Q300" s="28" t="str">
        <f t="shared" si="39"/>
        <v>810Viana - MA</v>
      </c>
      <c r="R300" s="28" t="str">
        <f>VLOOKUP(A300,'JOGOS BASE'!A:H,8)</f>
        <v>19.01.2025 - Viana - MA x Sampaio Corrêa - MA</v>
      </c>
    </row>
    <row r="301" spans="1:18" ht="30.6">
      <c r="A301" s="15">
        <v>8</v>
      </c>
      <c r="B301" s="46">
        <v>11</v>
      </c>
      <c r="C301" s="45" t="s">
        <v>92</v>
      </c>
      <c r="D301" s="45" t="s">
        <v>352</v>
      </c>
      <c r="E301" s="47" t="s">
        <v>26</v>
      </c>
      <c r="F301" s="47" t="s">
        <v>24</v>
      </c>
      <c r="G301" s="46">
        <v>642816</v>
      </c>
      <c r="H301" s="18" t="s">
        <v>381</v>
      </c>
      <c r="I301" s="26" t="str">
        <f t="shared" si="35"/>
        <v>Thiago</v>
      </c>
      <c r="J301" s="26" t="str">
        <f t="shared" si="36"/>
        <v>8Viana - MA11</v>
      </c>
      <c r="K301" s="27" t="str">
        <f>IFERROR(VLOOKUP(J301,Substituicoes!J:J,1,0),"SS")</f>
        <v>SS</v>
      </c>
      <c r="L301" s="27" t="str">
        <f>IFERROR(VLOOKUP(J301,Substituicoes!K:K,1,0),"SS")</f>
        <v>SS</v>
      </c>
      <c r="M301" s="28" t="b">
        <f t="shared" si="37"/>
        <v>1</v>
      </c>
      <c r="N301" s="29">
        <f>IF(AND(K301=L301,LEFT(E301,1)="T"),VLOOKUP(A301,'JOGOS BASE'!A:E,4,0),IF(K301=J301,VLOOKUP(J301,Substituicoes!J:R,6,0),IF(L301=J301,VLOOKUP(Escalacao!J301,Substituicoes!K:R,7,0),0)))</f>
        <v>50</v>
      </c>
      <c r="O301" s="28">
        <f>IF(AND(K301=L301,LEFT(E301,1)="T"),VLOOKUP(A301,'JOGOS BASE'!A:E,5,0),IF(K301=J301,VLOOKUP(J301,Substituicoes!J:R,7,0),IF(L301=J301,VLOOKUP(Escalacao!J301,Substituicoes!K:R,8,0),0)))</f>
        <v>53</v>
      </c>
      <c r="P301" s="28">
        <f t="shared" si="38"/>
        <v>103</v>
      </c>
      <c r="Q301" s="28" t="str">
        <f t="shared" si="39"/>
        <v>811Viana - MA</v>
      </c>
      <c r="R301" s="28" t="str">
        <f>VLOOKUP(A301,'JOGOS BASE'!A:H,8)</f>
        <v>19.01.2025 - Viana - MA x Sampaio Corrêa - MA</v>
      </c>
    </row>
    <row r="302" spans="1:18" ht="30.6">
      <c r="A302" s="15">
        <v>8</v>
      </c>
      <c r="B302" s="46">
        <v>12</v>
      </c>
      <c r="C302" s="45" t="s">
        <v>250</v>
      </c>
      <c r="D302" s="45" t="s">
        <v>613</v>
      </c>
      <c r="E302" s="47" t="s">
        <v>40</v>
      </c>
      <c r="F302" s="47" t="s">
        <v>24</v>
      </c>
      <c r="G302" s="46">
        <v>648064</v>
      </c>
      <c r="H302" s="18" t="s">
        <v>381</v>
      </c>
      <c r="I302" s="26" t="str">
        <f t="shared" si="35"/>
        <v>LUCAS</v>
      </c>
      <c r="J302" s="26" t="str">
        <f t="shared" si="36"/>
        <v>8Viana - MA12</v>
      </c>
      <c r="K302" s="27" t="str">
        <f>IFERROR(VLOOKUP(J302,Substituicoes!J:J,1,0),"SS")</f>
        <v>SS</v>
      </c>
      <c r="L302" s="27" t="str">
        <f>IFERROR(VLOOKUP(J302,Substituicoes!K:K,1,0),"SS")</f>
        <v>SS</v>
      </c>
      <c r="M302" s="28" t="b">
        <f t="shared" si="37"/>
        <v>1</v>
      </c>
      <c r="N302" s="29">
        <f>IF(AND(K302=L302,LEFT(E302,1)="T"),VLOOKUP(A302,'JOGOS BASE'!A:E,4,0),IF(K302=J302,VLOOKUP(J302,Substituicoes!J:R,6,0),IF(L302=J302,VLOOKUP(Escalacao!J302,Substituicoes!K:R,7,0),0)))</f>
        <v>0</v>
      </c>
      <c r="O302" s="28">
        <f>IF(AND(K302=L302,LEFT(E302,1)="T"),VLOOKUP(A302,'JOGOS BASE'!A:E,5,0),IF(K302=J302,VLOOKUP(J302,Substituicoes!J:R,7,0),IF(L302=J302,VLOOKUP(Escalacao!J302,Substituicoes!K:R,8,0),0)))</f>
        <v>0</v>
      </c>
      <c r="P302" s="28">
        <f t="shared" si="38"/>
        <v>0</v>
      </c>
      <c r="Q302" s="28" t="str">
        <f t="shared" si="39"/>
        <v>812Viana - MA</v>
      </c>
      <c r="R302" s="28" t="str">
        <f>VLOOKUP(A302,'JOGOS BASE'!A:H,8)</f>
        <v>19.01.2025 - Viana - MA x Sampaio Corrêa - MA</v>
      </c>
    </row>
    <row r="303" spans="1:18" ht="30.6">
      <c r="A303" s="15">
        <v>8</v>
      </c>
      <c r="B303" s="46">
        <v>13</v>
      </c>
      <c r="C303" s="45" t="s">
        <v>355</v>
      </c>
      <c r="D303" s="45" t="s">
        <v>356</v>
      </c>
      <c r="E303" s="47" t="s">
        <v>42</v>
      </c>
      <c r="F303" s="47" t="s">
        <v>56</v>
      </c>
      <c r="G303" s="46">
        <v>683760</v>
      </c>
      <c r="H303" s="18" t="s">
        <v>381</v>
      </c>
      <c r="I303" s="26" t="str">
        <f t="shared" si="35"/>
        <v>PAULO</v>
      </c>
      <c r="J303" s="26" t="str">
        <f t="shared" si="36"/>
        <v>8Viana - MA13</v>
      </c>
      <c r="K303" s="27" t="str">
        <f>IFERROR(VLOOKUP(J303,Substituicoes!J:J,1,0),"SS")</f>
        <v>8Viana - MA13</v>
      </c>
      <c r="L303" s="27" t="str">
        <f>IFERROR(VLOOKUP(J303,Substituicoes!K:K,1,0),"SS")</f>
        <v>SS</v>
      </c>
      <c r="M303" s="28" t="b">
        <f t="shared" si="37"/>
        <v>0</v>
      </c>
      <c r="N303" s="29">
        <f>IF(AND(K303=L303,LEFT(E303,1)="T"),VLOOKUP(A303,'JOGOS BASE'!A:E,4,0),IF(K303=J303,VLOOKUP(J303,Substituicoes!J:R,6,0),IF(L303=J303,VLOOKUP(Escalacao!J303,Substituicoes!K:R,7,0),0)))</f>
        <v>0</v>
      </c>
      <c r="O303" s="28">
        <f>IF(AND(K303=L303,LEFT(E303,1)="T"),VLOOKUP(A303,'JOGOS BASE'!A:E,5,0),IF(K303=J303,VLOOKUP(J303,Substituicoes!J:R,7,0),IF(L303=J303,VLOOKUP(Escalacao!J303,Substituicoes!K:R,8,0),0)))</f>
        <v>11</v>
      </c>
      <c r="P303" s="28">
        <f t="shared" si="38"/>
        <v>11</v>
      </c>
      <c r="Q303" s="28" t="str">
        <f t="shared" si="39"/>
        <v>813Viana - MA</v>
      </c>
      <c r="R303" s="28" t="str">
        <f>VLOOKUP(A303,'JOGOS BASE'!A:H,8)</f>
        <v>19.01.2025 - Viana - MA x Sampaio Corrêa - MA</v>
      </c>
    </row>
    <row r="304" spans="1:18" ht="30.6">
      <c r="A304" s="15">
        <v>8</v>
      </c>
      <c r="B304" s="46">
        <v>14</v>
      </c>
      <c r="C304" s="45" t="s">
        <v>350</v>
      </c>
      <c r="D304" s="45" t="s">
        <v>351</v>
      </c>
      <c r="E304" s="47" t="s">
        <v>42</v>
      </c>
      <c r="F304" s="47" t="s">
        <v>24</v>
      </c>
      <c r="G304" s="46">
        <v>628431</v>
      </c>
      <c r="H304" s="18" t="s">
        <v>381</v>
      </c>
      <c r="I304" s="26" t="str">
        <f t="shared" si="35"/>
        <v>Lucas Ramos</v>
      </c>
      <c r="J304" s="26" t="str">
        <f t="shared" si="36"/>
        <v>8Viana - MA14</v>
      </c>
      <c r="K304" s="27" t="str">
        <f>IFERROR(VLOOKUP(J304,Substituicoes!J:J,1,0),"SS")</f>
        <v>8Viana - MA14</v>
      </c>
      <c r="L304" s="27" t="str">
        <f>IFERROR(VLOOKUP(J304,Substituicoes!K:K,1,0),"SS")</f>
        <v>SS</v>
      </c>
      <c r="M304" s="28" t="b">
        <f t="shared" si="37"/>
        <v>0</v>
      </c>
      <c r="N304" s="29">
        <f>IF(AND(K304=L304,LEFT(E304,1)="T"),VLOOKUP(A304,'JOGOS BASE'!A:E,4,0),IF(K304=J304,VLOOKUP(J304,Substituicoes!J:R,6,0),IF(L304=J304,VLOOKUP(Escalacao!J304,Substituicoes!K:R,7,0),0)))</f>
        <v>0</v>
      </c>
      <c r="O304" s="28">
        <f>IF(AND(K304=L304,LEFT(E304,1)="T"),VLOOKUP(A304,'JOGOS BASE'!A:E,5,0),IF(K304=J304,VLOOKUP(J304,Substituicoes!J:R,7,0),IF(L304=J304,VLOOKUP(Escalacao!J304,Substituicoes!K:R,8,0),0)))</f>
        <v>36</v>
      </c>
      <c r="P304" s="28">
        <f t="shared" si="38"/>
        <v>36</v>
      </c>
      <c r="Q304" s="28" t="str">
        <f t="shared" si="39"/>
        <v>814Viana - MA</v>
      </c>
      <c r="R304" s="28" t="str">
        <f>VLOOKUP(A304,'JOGOS BASE'!A:H,8)</f>
        <v>19.01.2025 - Viana - MA x Sampaio Corrêa - MA</v>
      </c>
    </row>
    <row r="305" spans="1:18" ht="30.6">
      <c r="A305" s="15">
        <v>8</v>
      </c>
      <c r="B305" s="46">
        <v>15</v>
      </c>
      <c r="C305" s="45" t="s">
        <v>345</v>
      </c>
      <c r="D305" s="45" t="s">
        <v>346</v>
      </c>
      <c r="E305" s="47" t="s">
        <v>42</v>
      </c>
      <c r="F305" s="47" t="s">
        <v>24</v>
      </c>
      <c r="G305" s="46">
        <v>621098</v>
      </c>
      <c r="H305" s="18" t="s">
        <v>381</v>
      </c>
      <c r="I305" s="26" t="str">
        <f t="shared" si="35"/>
        <v>Leleu</v>
      </c>
      <c r="J305" s="26" t="str">
        <f t="shared" si="36"/>
        <v>8Viana - MA15</v>
      </c>
      <c r="K305" s="27" t="str">
        <f>IFERROR(VLOOKUP(J305,Substituicoes!J:J,1,0),"SS")</f>
        <v>8Viana - MA15</v>
      </c>
      <c r="L305" s="27" t="str">
        <f>IFERROR(VLOOKUP(J305,Substituicoes!K:K,1,0),"SS")</f>
        <v>SS</v>
      </c>
      <c r="M305" s="28" t="b">
        <f t="shared" si="37"/>
        <v>0</v>
      </c>
      <c r="N305" s="29">
        <f>IF(AND(K305=L305,LEFT(E305,1)="T"),VLOOKUP(A305,'JOGOS BASE'!A:E,4,0),IF(K305=J305,VLOOKUP(J305,Substituicoes!J:R,6,0),IF(L305=J305,VLOOKUP(Escalacao!J305,Substituicoes!K:R,7,0),0)))</f>
        <v>0</v>
      </c>
      <c r="O305" s="28">
        <f>IF(AND(K305=L305,LEFT(E305,1)="T"),VLOOKUP(A305,'JOGOS BASE'!A:E,5,0),IF(K305=J305,VLOOKUP(J305,Substituicoes!J:R,7,0),IF(L305=J305,VLOOKUP(Escalacao!J305,Substituicoes!K:R,8,0),0)))</f>
        <v>53</v>
      </c>
      <c r="P305" s="28">
        <f t="shared" si="38"/>
        <v>53</v>
      </c>
      <c r="Q305" s="28" t="str">
        <f t="shared" si="39"/>
        <v>815Viana - MA</v>
      </c>
      <c r="R305" s="28" t="str">
        <f>VLOOKUP(A305,'JOGOS BASE'!A:H,8)</f>
        <v>19.01.2025 - Viana - MA x Sampaio Corrêa - MA</v>
      </c>
    </row>
    <row r="306" spans="1:18" ht="30.6">
      <c r="A306" s="15">
        <v>8</v>
      </c>
      <c r="B306" s="46">
        <v>16</v>
      </c>
      <c r="C306" s="45" t="s">
        <v>614</v>
      </c>
      <c r="D306" s="45" t="s">
        <v>615</v>
      </c>
      <c r="E306" s="47" t="s">
        <v>42</v>
      </c>
      <c r="F306" s="47" t="s">
        <v>24</v>
      </c>
      <c r="G306" s="46">
        <v>894165</v>
      </c>
      <c r="H306" s="18" t="s">
        <v>381</v>
      </c>
      <c r="I306" s="26" t="str">
        <f t="shared" si="35"/>
        <v>MATEUS OLI .</v>
      </c>
      <c r="J306" s="26" t="str">
        <f t="shared" si="36"/>
        <v>8Viana - MA16</v>
      </c>
      <c r="K306" s="27" t="str">
        <f>IFERROR(VLOOKUP(J306,Substituicoes!J:J,1,0),"SS")</f>
        <v>SS</v>
      </c>
      <c r="L306" s="27" t="str">
        <f>IFERROR(VLOOKUP(J306,Substituicoes!K:K,1,0),"SS")</f>
        <v>SS</v>
      </c>
      <c r="M306" s="28" t="b">
        <f t="shared" si="37"/>
        <v>1</v>
      </c>
      <c r="N306" s="29">
        <f>IF(AND(K306=L306,LEFT(E306,1)="T"),VLOOKUP(A306,'JOGOS BASE'!A:E,4,0),IF(K306=J306,VLOOKUP(J306,Substituicoes!J:R,6,0),IF(L306=J306,VLOOKUP(Escalacao!J306,Substituicoes!K:R,7,0),0)))</f>
        <v>0</v>
      </c>
      <c r="O306" s="28">
        <f>IF(AND(K306=L306,LEFT(E306,1)="T"),VLOOKUP(A306,'JOGOS BASE'!A:E,5,0),IF(K306=J306,VLOOKUP(J306,Substituicoes!J:R,7,0),IF(L306=J306,VLOOKUP(Escalacao!J306,Substituicoes!K:R,8,0),0)))</f>
        <v>0</v>
      </c>
      <c r="P306" s="28">
        <f t="shared" si="38"/>
        <v>0</v>
      </c>
      <c r="Q306" s="28" t="str">
        <f t="shared" si="39"/>
        <v>816Viana - MA</v>
      </c>
      <c r="R306" s="28" t="str">
        <f>VLOOKUP(A306,'JOGOS BASE'!A:H,8)</f>
        <v>19.01.2025 - Viana - MA x Sampaio Corrêa - MA</v>
      </c>
    </row>
    <row r="307" spans="1:18" ht="30.6">
      <c r="A307" s="15">
        <v>8</v>
      </c>
      <c r="B307" s="46">
        <v>12</v>
      </c>
      <c r="C307" s="45" t="s">
        <v>78</v>
      </c>
      <c r="D307" s="45" t="s">
        <v>79</v>
      </c>
      <c r="E307" s="47" t="s">
        <v>23</v>
      </c>
      <c r="F307" s="47" t="s">
        <v>24</v>
      </c>
      <c r="G307" s="46">
        <v>387319</v>
      </c>
      <c r="H307" s="18" t="s">
        <v>122</v>
      </c>
      <c r="I307" s="26" t="str">
        <f t="shared" si="35"/>
        <v>Rhuan</v>
      </c>
      <c r="J307" s="26" t="str">
        <f t="shared" si="36"/>
        <v>8Sampaio Corrêa - MA12</v>
      </c>
      <c r="K307" s="27" t="str">
        <f>IFERROR(VLOOKUP(J307,Substituicoes!J:J,1,0),"SS")</f>
        <v>SS</v>
      </c>
      <c r="L307" s="27" t="str">
        <f>IFERROR(VLOOKUP(J307,Substituicoes!K:K,1,0),"SS")</f>
        <v>SS</v>
      </c>
      <c r="M307" s="28" t="b">
        <f t="shared" si="37"/>
        <v>1</v>
      </c>
      <c r="N307" s="29">
        <f>IF(AND(K307=L307,LEFT(E307,1)="T"),VLOOKUP(A307,'JOGOS BASE'!A:E,4,0),IF(K307=J307,VLOOKUP(J307,Substituicoes!J:R,6,0),IF(L307=J307,VLOOKUP(Escalacao!J307,Substituicoes!K:R,7,0),0)))</f>
        <v>50</v>
      </c>
      <c r="O307" s="28">
        <f>IF(AND(K307=L307,LEFT(E307,1)="T"),VLOOKUP(A307,'JOGOS BASE'!A:E,5,0),IF(K307=J307,VLOOKUP(J307,Substituicoes!J:R,7,0),IF(L307=J307,VLOOKUP(Escalacao!J307,Substituicoes!K:R,8,0),0)))</f>
        <v>53</v>
      </c>
      <c r="P307" s="28">
        <f t="shared" si="38"/>
        <v>103</v>
      </c>
      <c r="Q307" s="28" t="str">
        <f t="shared" si="39"/>
        <v>812Sampaio Corrêa - MA</v>
      </c>
      <c r="R307" s="28" t="str">
        <f>VLOOKUP(A307,'JOGOS BASE'!A:H,8)</f>
        <v>19.01.2025 - Viana - MA x Sampaio Corrêa - MA</v>
      </c>
    </row>
    <row r="308" spans="1:18" ht="30.6">
      <c r="A308" s="15">
        <v>8</v>
      </c>
      <c r="B308" s="46">
        <v>2</v>
      </c>
      <c r="C308" s="45" t="s">
        <v>82</v>
      </c>
      <c r="D308" s="45" t="s">
        <v>83</v>
      </c>
      <c r="E308" s="47" t="s">
        <v>26</v>
      </c>
      <c r="F308" s="47" t="s">
        <v>24</v>
      </c>
      <c r="G308" s="46">
        <v>552526</v>
      </c>
      <c r="H308" s="18" t="s">
        <v>122</v>
      </c>
      <c r="I308" s="26" t="str">
        <f t="shared" si="35"/>
        <v>Ray</v>
      </c>
      <c r="J308" s="26" t="str">
        <f t="shared" si="36"/>
        <v>8Sampaio Corrêa - MA2</v>
      </c>
      <c r="K308" s="27" t="str">
        <f>IFERROR(VLOOKUP(J308,Substituicoes!J:J,1,0),"SS")</f>
        <v>SS</v>
      </c>
      <c r="L308" s="27" t="str">
        <f>IFERROR(VLOOKUP(J308,Substituicoes!K:K,1,0),"SS")</f>
        <v>SS</v>
      </c>
      <c r="M308" s="28" t="b">
        <f t="shared" si="37"/>
        <v>1</v>
      </c>
      <c r="N308" s="29">
        <f>IF(AND(K308=L308,LEFT(E308,1)="T"),VLOOKUP(A308,'JOGOS BASE'!A:E,4,0),IF(K308=J308,VLOOKUP(J308,Substituicoes!J:R,6,0),IF(L308=J308,VLOOKUP(Escalacao!J308,Substituicoes!K:R,7,0),0)))</f>
        <v>50</v>
      </c>
      <c r="O308" s="28">
        <f>IF(AND(K308=L308,LEFT(E308,1)="T"),VLOOKUP(A308,'JOGOS BASE'!A:E,5,0),IF(K308=J308,VLOOKUP(J308,Substituicoes!J:R,7,0),IF(L308=J308,VLOOKUP(Escalacao!J308,Substituicoes!K:R,8,0),0)))</f>
        <v>53</v>
      </c>
      <c r="P308" s="28">
        <f t="shared" si="38"/>
        <v>103</v>
      </c>
      <c r="Q308" s="28" t="str">
        <f t="shared" si="39"/>
        <v>82Sampaio Corrêa - MA</v>
      </c>
      <c r="R308" s="28" t="str">
        <f>VLOOKUP(A308,'JOGOS BASE'!A:H,8)</f>
        <v>19.01.2025 - Viana - MA x Sampaio Corrêa - MA</v>
      </c>
    </row>
    <row r="309" spans="1:18" ht="30.6">
      <c r="A309" s="15">
        <v>8</v>
      </c>
      <c r="B309" s="46">
        <v>3</v>
      </c>
      <c r="C309" s="45" t="s">
        <v>13</v>
      </c>
      <c r="D309" s="45" t="s">
        <v>63</v>
      </c>
      <c r="E309" s="47" t="s">
        <v>26</v>
      </c>
      <c r="F309" s="47" t="s">
        <v>24</v>
      </c>
      <c r="G309" s="46">
        <v>657429</v>
      </c>
      <c r="H309" s="18" t="s">
        <v>122</v>
      </c>
      <c r="I309" s="26" t="str">
        <f t="shared" si="35"/>
        <v>Eduardo</v>
      </c>
      <c r="J309" s="26" t="str">
        <f t="shared" si="36"/>
        <v>8Sampaio Corrêa - MA3</v>
      </c>
      <c r="K309" s="27" t="str">
        <f>IFERROR(VLOOKUP(J309,Substituicoes!J:J,1,0),"SS")</f>
        <v>SS</v>
      </c>
      <c r="L309" s="27" t="str">
        <f>IFERROR(VLOOKUP(J309,Substituicoes!K:K,1,0),"SS")</f>
        <v>SS</v>
      </c>
      <c r="M309" s="28" t="b">
        <f t="shared" si="37"/>
        <v>1</v>
      </c>
      <c r="N309" s="29">
        <f>IF(AND(K309=L309,LEFT(E309,1)="T"),VLOOKUP(A309,'JOGOS BASE'!A:E,4,0),IF(K309=J309,VLOOKUP(J309,Substituicoes!J:R,6,0),IF(L309=J309,VLOOKUP(Escalacao!J309,Substituicoes!K:R,7,0),0)))</f>
        <v>50</v>
      </c>
      <c r="O309" s="28">
        <f>IF(AND(K309=L309,LEFT(E309,1)="T"),VLOOKUP(A309,'JOGOS BASE'!A:E,5,0),IF(K309=J309,VLOOKUP(J309,Substituicoes!J:R,7,0),IF(L309=J309,VLOOKUP(Escalacao!J309,Substituicoes!K:R,8,0),0)))</f>
        <v>53</v>
      </c>
      <c r="P309" s="28">
        <f t="shared" si="38"/>
        <v>103</v>
      </c>
      <c r="Q309" s="28" t="str">
        <f t="shared" si="39"/>
        <v>83Sampaio Corrêa - MA</v>
      </c>
      <c r="R309" s="28" t="str">
        <f>VLOOKUP(A309,'JOGOS BASE'!A:H,8)</f>
        <v>19.01.2025 - Viana - MA x Sampaio Corrêa - MA</v>
      </c>
    </row>
    <row r="310" spans="1:18" ht="30.6">
      <c r="A310" s="15">
        <v>8</v>
      </c>
      <c r="B310" s="46">
        <v>4</v>
      </c>
      <c r="C310" s="45" t="s">
        <v>80</v>
      </c>
      <c r="D310" s="45" t="s">
        <v>81</v>
      </c>
      <c r="E310" s="47" t="s">
        <v>26</v>
      </c>
      <c r="F310" s="47" t="s">
        <v>24</v>
      </c>
      <c r="G310" s="46">
        <v>590518</v>
      </c>
      <c r="H310" s="18" t="s">
        <v>122</v>
      </c>
      <c r="I310" s="26" t="str">
        <f t="shared" si="35"/>
        <v>GALVÃO</v>
      </c>
      <c r="J310" s="26" t="str">
        <f t="shared" si="36"/>
        <v>8Sampaio Corrêa - MA4</v>
      </c>
      <c r="K310" s="27" t="str">
        <f>IFERROR(VLOOKUP(J310,Substituicoes!J:J,1,0),"SS")</f>
        <v>SS</v>
      </c>
      <c r="L310" s="27" t="str">
        <f>IFERROR(VLOOKUP(J310,Substituicoes!K:K,1,0),"SS")</f>
        <v>SS</v>
      </c>
      <c r="M310" s="28" t="b">
        <f t="shared" si="37"/>
        <v>1</v>
      </c>
      <c r="N310" s="29">
        <f>IF(AND(K310=L310,LEFT(E310,1)="T"),VLOOKUP(A310,'JOGOS BASE'!A:E,4,0),IF(K310=J310,VLOOKUP(J310,Substituicoes!J:R,6,0),IF(L310=J310,VLOOKUP(Escalacao!J310,Substituicoes!K:R,7,0),0)))</f>
        <v>50</v>
      </c>
      <c r="O310" s="28">
        <f>IF(AND(K310=L310,LEFT(E310,1)="T"),VLOOKUP(A310,'JOGOS BASE'!A:E,5,0),IF(K310=J310,VLOOKUP(J310,Substituicoes!J:R,7,0),IF(L310=J310,VLOOKUP(Escalacao!J310,Substituicoes!K:R,8,0),0)))</f>
        <v>53</v>
      </c>
      <c r="P310" s="28">
        <f t="shared" si="38"/>
        <v>103</v>
      </c>
      <c r="Q310" s="28" t="str">
        <f t="shared" si="39"/>
        <v>84Sampaio Corrêa - MA</v>
      </c>
      <c r="R310" s="28" t="str">
        <f>VLOOKUP(A310,'JOGOS BASE'!A:H,8)</f>
        <v>19.01.2025 - Viana - MA x Sampaio Corrêa - MA</v>
      </c>
    </row>
    <row r="311" spans="1:18" ht="30.6">
      <c r="A311" s="15">
        <v>8</v>
      </c>
      <c r="B311" s="46">
        <v>5</v>
      </c>
      <c r="C311" s="45" t="s">
        <v>94</v>
      </c>
      <c r="D311" s="45" t="s">
        <v>95</v>
      </c>
      <c r="E311" s="47" t="s">
        <v>26</v>
      </c>
      <c r="F311" s="47" t="s">
        <v>24</v>
      </c>
      <c r="G311" s="46">
        <v>757475</v>
      </c>
      <c r="H311" s="18" t="s">
        <v>122</v>
      </c>
      <c r="I311" s="26" t="str">
        <f t="shared" si="35"/>
        <v>JARDSON</v>
      </c>
      <c r="J311" s="26" t="str">
        <f t="shared" si="36"/>
        <v>8Sampaio Corrêa - MA5</v>
      </c>
      <c r="K311" s="27" t="str">
        <f>IFERROR(VLOOKUP(J311,Substituicoes!J:J,1,0),"SS")</f>
        <v>SS</v>
      </c>
      <c r="L311" s="27" t="str">
        <f>IFERROR(VLOOKUP(J311,Substituicoes!K:K,1,0),"SS")</f>
        <v>8Sampaio Corrêa - MA5</v>
      </c>
      <c r="M311" s="28" t="b">
        <f t="shared" si="37"/>
        <v>0</v>
      </c>
      <c r="N311" s="29">
        <f>IF(AND(K311=L311,LEFT(E311,1)="T"),VLOOKUP(A311,'JOGOS BASE'!A:E,4,0),IF(K311=J311,VLOOKUP(J311,Substituicoes!J:R,6,0),IF(L311=J311,VLOOKUP(Escalacao!J311,Substituicoes!K:R,7,0),0)))</f>
        <v>50</v>
      </c>
      <c r="O311" s="28">
        <f>IF(AND(K311=L311,LEFT(E311,1)="T"),VLOOKUP(A311,'JOGOS BASE'!A:E,5,0),IF(K311=J311,VLOOKUP(J311,Substituicoes!J:R,7,0),IF(L311=J311,VLOOKUP(Escalacao!J311,Substituicoes!K:R,8,0),0)))</f>
        <v>14</v>
      </c>
      <c r="P311" s="28">
        <f t="shared" si="38"/>
        <v>64</v>
      </c>
      <c r="Q311" s="28" t="str">
        <f t="shared" si="39"/>
        <v>85Sampaio Corrêa - MA</v>
      </c>
      <c r="R311" s="28" t="str">
        <f>VLOOKUP(A311,'JOGOS BASE'!A:H,8)</f>
        <v>19.01.2025 - Viana - MA x Sampaio Corrêa - MA</v>
      </c>
    </row>
    <row r="312" spans="1:18" ht="30.6">
      <c r="A312" s="15">
        <v>8</v>
      </c>
      <c r="B312" s="46">
        <v>6</v>
      </c>
      <c r="C312" s="45" t="s">
        <v>478</v>
      </c>
      <c r="D312" s="45" t="s">
        <v>479</v>
      </c>
      <c r="E312" s="47" t="s">
        <v>26</v>
      </c>
      <c r="F312" s="47" t="s">
        <v>24</v>
      </c>
      <c r="G312" s="46">
        <v>636795</v>
      </c>
      <c r="H312" s="18" t="s">
        <v>122</v>
      </c>
      <c r="I312" s="26" t="str">
        <f t="shared" si="35"/>
        <v>Elivelton</v>
      </c>
      <c r="J312" s="26" t="str">
        <f t="shared" si="36"/>
        <v>8Sampaio Corrêa - MA6</v>
      </c>
      <c r="K312" s="27" t="str">
        <f>IFERROR(VLOOKUP(J312,Substituicoes!J:J,1,0),"SS")</f>
        <v>SS</v>
      </c>
      <c r="L312" s="27" t="str">
        <f>IFERROR(VLOOKUP(J312,Substituicoes!K:K,1,0),"SS")</f>
        <v>SS</v>
      </c>
      <c r="M312" s="28" t="b">
        <f t="shared" si="37"/>
        <v>1</v>
      </c>
      <c r="N312" s="29">
        <f>IF(AND(K312=L312,LEFT(E312,1)="T"),VLOOKUP(A312,'JOGOS BASE'!A:E,4,0),IF(K312=J312,VLOOKUP(J312,Substituicoes!J:R,6,0),IF(L312=J312,VLOOKUP(Escalacao!J312,Substituicoes!K:R,7,0),0)))</f>
        <v>50</v>
      </c>
      <c r="O312" s="28">
        <f>IF(AND(K312=L312,LEFT(E312,1)="T"),VLOOKUP(A312,'JOGOS BASE'!A:E,5,0),IF(K312=J312,VLOOKUP(J312,Substituicoes!J:R,7,0),IF(L312=J312,VLOOKUP(Escalacao!J312,Substituicoes!K:R,8,0),0)))</f>
        <v>53</v>
      </c>
      <c r="P312" s="28">
        <f t="shared" si="38"/>
        <v>103</v>
      </c>
      <c r="Q312" s="28" t="str">
        <f t="shared" si="39"/>
        <v>86Sampaio Corrêa - MA</v>
      </c>
      <c r="R312" s="28" t="str">
        <f>VLOOKUP(A312,'JOGOS BASE'!A:H,8)</f>
        <v>19.01.2025 - Viana - MA x Sampaio Corrêa - MA</v>
      </c>
    </row>
    <row r="313" spans="1:18" ht="30.6">
      <c r="A313" s="15">
        <v>8</v>
      </c>
      <c r="B313" s="46">
        <v>7</v>
      </c>
      <c r="C313" s="45" t="s">
        <v>482</v>
      </c>
      <c r="D313" s="45" t="s">
        <v>483</v>
      </c>
      <c r="E313" s="47" t="s">
        <v>26</v>
      </c>
      <c r="F313" s="47" t="s">
        <v>24</v>
      </c>
      <c r="G313" s="46">
        <v>614561</v>
      </c>
      <c r="H313" s="18" t="s">
        <v>122</v>
      </c>
      <c r="I313" s="26" t="str">
        <f t="shared" si="35"/>
        <v>Dodô</v>
      </c>
      <c r="J313" s="26" t="str">
        <f t="shared" si="36"/>
        <v>8Sampaio Corrêa - MA7</v>
      </c>
      <c r="K313" s="27" t="str">
        <f>IFERROR(VLOOKUP(J313,Substituicoes!J:J,1,0),"SS")</f>
        <v>SS</v>
      </c>
      <c r="L313" s="27" t="str">
        <f>IFERROR(VLOOKUP(J313,Substituicoes!K:K,1,0),"SS")</f>
        <v>8Sampaio Corrêa - MA7</v>
      </c>
      <c r="M313" s="28" t="b">
        <f t="shared" si="37"/>
        <v>0</v>
      </c>
      <c r="N313" s="29">
        <f>IF(AND(K313=L313,LEFT(E313,1)="T"),VLOOKUP(A313,'JOGOS BASE'!A:E,4,0),IF(K313=J313,VLOOKUP(J313,Substituicoes!J:R,6,0),IF(L313=J313,VLOOKUP(Escalacao!J313,Substituicoes!K:R,7,0),0)))</f>
        <v>50</v>
      </c>
      <c r="O313" s="28">
        <f>IF(AND(K313=L313,LEFT(E313,1)="T"),VLOOKUP(A313,'JOGOS BASE'!A:E,5,0),IF(K313=J313,VLOOKUP(J313,Substituicoes!J:R,7,0),IF(L313=J313,VLOOKUP(Escalacao!J313,Substituicoes!K:R,8,0),0)))</f>
        <v>30</v>
      </c>
      <c r="P313" s="28">
        <f t="shared" si="38"/>
        <v>80</v>
      </c>
      <c r="Q313" s="28" t="str">
        <f t="shared" si="39"/>
        <v>87Sampaio Corrêa - MA</v>
      </c>
      <c r="R313" s="28" t="str">
        <f>VLOOKUP(A313,'JOGOS BASE'!A:H,8)</f>
        <v>19.01.2025 - Viana - MA x Sampaio Corrêa - MA</v>
      </c>
    </row>
    <row r="314" spans="1:18" ht="20.399999999999999">
      <c r="A314" s="15">
        <v>8</v>
      </c>
      <c r="B314" s="46">
        <v>8</v>
      </c>
      <c r="C314" s="45" t="s">
        <v>84</v>
      </c>
      <c r="D314" s="45" t="s">
        <v>85</v>
      </c>
      <c r="E314" s="47" t="s">
        <v>26</v>
      </c>
      <c r="F314" s="47" t="s">
        <v>24</v>
      </c>
      <c r="G314" s="46">
        <v>523681</v>
      </c>
      <c r="H314" s="18" t="s">
        <v>122</v>
      </c>
      <c r="I314" s="26" t="str">
        <f t="shared" si="35"/>
        <v>Jairzinho</v>
      </c>
      <c r="J314" s="26" t="str">
        <f t="shared" si="36"/>
        <v>8Sampaio Corrêa - MA8</v>
      </c>
      <c r="K314" s="27" t="str">
        <f>IFERROR(VLOOKUP(J314,Substituicoes!J:J,1,0),"SS")</f>
        <v>SS</v>
      </c>
      <c r="L314" s="27" t="str">
        <f>IFERROR(VLOOKUP(J314,Substituicoes!K:K,1,0),"SS")</f>
        <v>8Sampaio Corrêa - MA8</v>
      </c>
      <c r="M314" s="28" t="b">
        <f t="shared" si="37"/>
        <v>0</v>
      </c>
      <c r="N314" s="29">
        <f>IF(AND(K314=L314,LEFT(E314,1)="T"),VLOOKUP(A314,'JOGOS BASE'!A:E,4,0),IF(K314=J314,VLOOKUP(J314,Substituicoes!J:R,6,0),IF(L314=J314,VLOOKUP(Escalacao!J314,Substituicoes!K:R,7,0),0)))</f>
        <v>50</v>
      </c>
      <c r="O314" s="28">
        <f>IF(AND(K314=L314,LEFT(E314,1)="T"),VLOOKUP(A314,'JOGOS BASE'!A:E,5,0),IF(K314=J314,VLOOKUP(J314,Substituicoes!J:R,7,0),IF(L314=J314,VLOOKUP(Escalacao!J314,Substituicoes!K:R,8,0),0)))</f>
        <v>21</v>
      </c>
      <c r="P314" s="28">
        <f t="shared" si="38"/>
        <v>71</v>
      </c>
      <c r="Q314" s="28" t="str">
        <f t="shared" si="39"/>
        <v>88Sampaio Corrêa - MA</v>
      </c>
      <c r="R314" s="28" t="str">
        <f>VLOOKUP(A314,'JOGOS BASE'!A:H,8)</f>
        <v>19.01.2025 - Viana - MA x Sampaio Corrêa - MA</v>
      </c>
    </row>
    <row r="315" spans="1:18" ht="30.6">
      <c r="A315" s="15">
        <v>8</v>
      </c>
      <c r="B315" s="46">
        <v>9</v>
      </c>
      <c r="C315" s="45" t="s">
        <v>88</v>
      </c>
      <c r="D315" s="45" t="s">
        <v>89</v>
      </c>
      <c r="E315" s="47" t="s">
        <v>26</v>
      </c>
      <c r="F315" s="47" t="s">
        <v>24</v>
      </c>
      <c r="G315" s="46">
        <v>673834</v>
      </c>
      <c r="H315" s="18" t="s">
        <v>122</v>
      </c>
      <c r="I315" s="26" t="str">
        <f t="shared" si="35"/>
        <v>L7</v>
      </c>
      <c r="J315" s="26" t="str">
        <f t="shared" si="36"/>
        <v>8Sampaio Corrêa - MA9</v>
      </c>
      <c r="K315" s="27" t="str">
        <f>IFERROR(VLOOKUP(J315,Substituicoes!J:J,1,0),"SS")</f>
        <v>SS</v>
      </c>
      <c r="L315" s="27" t="str">
        <f>IFERROR(VLOOKUP(J315,Substituicoes!K:K,1,0),"SS")</f>
        <v>8Sampaio Corrêa - MA9</v>
      </c>
      <c r="M315" s="28" t="b">
        <f t="shared" si="37"/>
        <v>0</v>
      </c>
      <c r="N315" s="29">
        <f>IF(AND(K315=L315,LEFT(E315,1)="T"),VLOOKUP(A315,'JOGOS BASE'!A:E,4,0),IF(K315=J315,VLOOKUP(J315,Substituicoes!J:R,6,0),IF(L315=J315,VLOOKUP(Escalacao!J315,Substituicoes!K:R,7,0),0)))</f>
        <v>50</v>
      </c>
      <c r="O315" s="28">
        <f>IF(AND(K315=L315,LEFT(E315,1)="T"),VLOOKUP(A315,'JOGOS BASE'!A:E,5,0),IF(K315=J315,VLOOKUP(J315,Substituicoes!J:R,7,0),IF(L315=J315,VLOOKUP(Escalacao!J315,Substituicoes!K:R,8,0),0)))</f>
        <v>0</v>
      </c>
      <c r="P315" s="28">
        <f t="shared" si="38"/>
        <v>50</v>
      </c>
      <c r="Q315" s="28" t="str">
        <f t="shared" si="39"/>
        <v>89Sampaio Corrêa - MA</v>
      </c>
      <c r="R315" s="28" t="str">
        <f>VLOOKUP(A315,'JOGOS BASE'!A:H,8)</f>
        <v>19.01.2025 - Viana - MA x Sampaio Corrêa - MA</v>
      </c>
    </row>
    <row r="316" spans="1:18" ht="30.6">
      <c r="A316" s="15">
        <v>8</v>
      </c>
      <c r="B316" s="46">
        <v>11</v>
      </c>
      <c r="C316" s="45" t="s">
        <v>76</v>
      </c>
      <c r="D316" s="45" t="s">
        <v>77</v>
      </c>
      <c r="E316" s="47" t="s">
        <v>26</v>
      </c>
      <c r="F316" s="47" t="s">
        <v>24</v>
      </c>
      <c r="G316" s="46">
        <v>612220</v>
      </c>
      <c r="H316" s="18" t="s">
        <v>122</v>
      </c>
      <c r="I316" s="26" t="str">
        <f t="shared" si="35"/>
        <v>Wendell</v>
      </c>
      <c r="J316" s="26" t="str">
        <f t="shared" si="36"/>
        <v>8Sampaio Corrêa - MA11</v>
      </c>
      <c r="K316" s="27" t="str">
        <f>IFERROR(VLOOKUP(J316,Substituicoes!J:J,1,0),"SS")</f>
        <v>SS</v>
      </c>
      <c r="L316" s="27" t="str">
        <f>IFERROR(VLOOKUP(J316,Substituicoes!K:K,1,0),"SS")</f>
        <v>8Sampaio Corrêa - MA11</v>
      </c>
      <c r="M316" s="28" t="b">
        <f t="shared" si="37"/>
        <v>0</v>
      </c>
      <c r="N316" s="29">
        <f>IF(AND(K316=L316,LEFT(E316,1)="T"),VLOOKUP(A316,'JOGOS BASE'!A:E,4,0),IF(K316=J316,VLOOKUP(J316,Substituicoes!J:R,6,0),IF(L316=J316,VLOOKUP(Escalacao!J316,Substituicoes!K:R,7,0),0)))</f>
        <v>50</v>
      </c>
      <c r="O316" s="28">
        <f>IF(AND(K316=L316,LEFT(E316,1)="T"),VLOOKUP(A316,'JOGOS BASE'!A:E,5,0),IF(K316=J316,VLOOKUP(J316,Substituicoes!J:R,7,0),IF(L316=J316,VLOOKUP(Escalacao!J316,Substituicoes!K:R,8,0),0)))</f>
        <v>0</v>
      </c>
      <c r="P316" s="28">
        <f t="shared" si="38"/>
        <v>50</v>
      </c>
      <c r="Q316" s="28" t="str">
        <f t="shared" si="39"/>
        <v>811Sampaio Corrêa - MA</v>
      </c>
      <c r="R316" s="28" t="str">
        <f>VLOOKUP(A316,'JOGOS BASE'!A:H,8)</f>
        <v>19.01.2025 - Viana - MA x Sampaio Corrêa - MA</v>
      </c>
    </row>
    <row r="317" spans="1:18" ht="30.6">
      <c r="A317" s="15">
        <v>8</v>
      </c>
      <c r="B317" s="46">
        <v>18</v>
      </c>
      <c r="C317" s="45" t="s">
        <v>90</v>
      </c>
      <c r="D317" s="45" t="s">
        <v>91</v>
      </c>
      <c r="E317" s="47" t="s">
        <v>26</v>
      </c>
      <c r="F317" s="47" t="s">
        <v>24</v>
      </c>
      <c r="G317" s="46">
        <v>335977</v>
      </c>
      <c r="H317" s="18" t="s">
        <v>122</v>
      </c>
      <c r="I317" s="26" t="str">
        <f t="shared" si="35"/>
        <v>Bruno Matos</v>
      </c>
      <c r="J317" s="26" t="str">
        <f t="shared" si="36"/>
        <v>8Sampaio Corrêa - MA18</v>
      </c>
      <c r="K317" s="27" t="str">
        <f>IFERROR(VLOOKUP(J317,Substituicoes!J:J,1,0),"SS")</f>
        <v>SS</v>
      </c>
      <c r="L317" s="27" t="str">
        <f>IFERROR(VLOOKUP(J317,Substituicoes!K:K,1,0),"SS")</f>
        <v>SS</v>
      </c>
      <c r="M317" s="28" t="b">
        <f t="shared" si="37"/>
        <v>1</v>
      </c>
      <c r="N317" s="29">
        <f>IF(AND(K317=L317,LEFT(E317,1)="T"),VLOOKUP(A317,'JOGOS BASE'!A:E,4,0),IF(K317=J317,VLOOKUP(J317,Substituicoes!J:R,6,0),IF(L317=J317,VLOOKUP(Escalacao!J317,Substituicoes!K:R,7,0),0)))</f>
        <v>50</v>
      </c>
      <c r="O317" s="28">
        <f>IF(AND(K317=L317,LEFT(E317,1)="T"),VLOOKUP(A317,'JOGOS BASE'!A:E,5,0),IF(K317=J317,VLOOKUP(J317,Substituicoes!J:R,7,0),IF(L317=J317,VLOOKUP(Escalacao!J317,Substituicoes!K:R,8,0),0)))</f>
        <v>53</v>
      </c>
      <c r="P317" s="28">
        <f t="shared" si="38"/>
        <v>103</v>
      </c>
      <c r="Q317" s="28" t="str">
        <f t="shared" si="39"/>
        <v>818Sampaio Corrêa - MA</v>
      </c>
      <c r="R317" s="28" t="str">
        <f>VLOOKUP(A317,'JOGOS BASE'!A:H,8)</f>
        <v>19.01.2025 - Viana - MA x Sampaio Corrêa - MA</v>
      </c>
    </row>
    <row r="318" spans="1:18" ht="20.399999999999999">
      <c r="A318" s="15">
        <v>8</v>
      </c>
      <c r="B318" s="46">
        <v>1</v>
      </c>
      <c r="C318" s="45" t="s">
        <v>59</v>
      </c>
      <c r="D318" s="45" t="s">
        <v>60</v>
      </c>
      <c r="E318" s="47" t="s">
        <v>40</v>
      </c>
      <c r="F318" s="47" t="s">
        <v>24</v>
      </c>
      <c r="G318" s="46">
        <v>639922</v>
      </c>
      <c r="H318" s="18" t="s">
        <v>122</v>
      </c>
      <c r="I318" s="26" t="str">
        <f t="shared" si="35"/>
        <v>ALAN</v>
      </c>
      <c r="J318" s="26" t="str">
        <f t="shared" si="36"/>
        <v>8Sampaio Corrêa - MA1</v>
      </c>
      <c r="K318" s="27" t="str">
        <f>IFERROR(VLOOKUP(J318,Substituicoes!J:J,1,0),"SS")</f>
        <v>SS</v>
      </c>
      <c r="L318" s="27" t="str">
        <f>IFERROR(VLOOKUP(J318,Substituicoes!K:K,1,0),"SS")</f>
        <v>SS</v>
      </c>
      <c r="M318" s="28" t="b">
        <f t="shared" si="37"/>
        <v>1</v>
      </c>
      <c r="N318" s="29">
        <f>IF(AND(K318=L318,LEFT(E318,1)="T"),VLOOKUP(A318,'JOGOS BASE'!A:E,4,0),IF(K318=J318,VLOOKUP(J318,Substituicoes!J:R,6,0),IF(L318=J318,VLOOKUP(Escalacao!J318,Substituicoes!K:R,7,0),0)))</f>
        <v>0</v>
      </c>
      <c r="O318" s="28">
        <f>IF(AND(K318=L318,LEFT(E318,1)="T"),VLOOKUP(A318,'JOGOS BASE'!A:E,5,0),IF(K318=J318,VLOOKUP(J318,Substituicoes!J:R,7,0),IF(L318=J318,VLOOKUP(Escalacao!J318,Substituicoes!K:R,8,0),0)))</f>
        <v>0</v>
      </c>
      <c r="P318" s="28">
        <f t="shared" si="38"/>
        <v>0</v>
      </c>
      <c r="Q318" s="28" t="str">
        <f t="shared" si="39"/>
        <v>81Sampaio Corrêa - MA</v>
      </c>
      <c r="R318" s="28" t="str">
        <f>VLOOKUP(A318,'JOGOS BASE'!A:H,8)</f>
        <v>19.01.2025 - Viana - MA x Sampaio Corrêa - MA</v>
      </c>
    </row>
    <row r="319" spans="1:18" ht="30.6">
      <c r="A319" s="15">
        <v>8</v>
      </c>
      <c r="B319" s="46">
        <v>10</v>
      </c>
      <c r="C319" s="45" t="s">
        <v>74</v>
      </c>
      <c r="D319" s="45" t="s">
        <v>75</v>
      </c>
      <c r="E319" s="47" t="s">
        <v>42</v>
      </c>
      <c r="F319" s="47" t="s">
        <v>24</v>
      </c>
      <c r="G319" s="46">
        <v>668800</v>
      </c>
      <c r="H319" s="18" t="s">
        <v>122</v>
      </c>
      <c r="I319" s="26" t="str">
        <f t="shared" si="35"/>
        <v>STENCE</v>
      </c>
      <c r="J319" s="26" t="str">
        <f t="shared" si="36"/>
        <v>8Sampaio Corrêa - MA10</v>
      </c>
      <c r="K319" s="27" t="str">
        <f>IFERROR(VLOOKUP(J319,Substituicoes!J:J,1,0),"SS")</f>
        <v>8Sampaio Corrêa - MA10</v>
      </c>
      <c r="L319" s="27" t="str">
        <f>IFERROR(VLOOKUP(J319,Substituicoes!K:K,1,0),"SS")</f>
        <v>SS</v>
      </c>
      <c r="M319" s="28" t="b">
        <f t="shared" si="37"/>
        <v>0</v>
      </c>
      <c r="N319" s="29">
        <f>IF(AND(K319=L319,LEFT(E319,1)="T"),VLOOKUP(A319,'JOGOS BASE'!A:E,4,0),IF(K319=J319,VLOOKUP(J319,Substituicoes!J:R,6,0),IF(L319=J319,VLOOKUP(Escalacao!J319,Substituicoes!K:R,7,0),0)))</f>
        <v>0</v>
      </c>
      <c r="O319" s="28">
        <f>IF(AND(K319=L319,LEFT(E319,1)="T"),VLOOKUP(A319,'JOGOS BASE'!A:E,5,0),IF(K319=J319,VLOOKUP(J319,Substituicoes!J:R,7,0),IF(L319=J319,VLOOKUP(Escalacao!J319,Substituicoes!K:R,8,0),0)))</f>
        <v>39</v>
      </c>
      <c r="P319" s="28">
        <f t="shared" si="38"/>
        <v>39</v>
      </c>
      <c r="Q319" s="28" t="str">
        <f t="shared" si="39"/>
        <v>810Sampaio Corrêa - MA</v>
      </c>
      <c r="R319" s="28" t="str">
        <f>VLOOKUP(A319,'JOGOS BASE'!A:H,8)</f>
        <v>19.01.2025 - Viana - MA x Sampaio Corrêa - MA</v>
      </c>
    </row>
    <row r="320" spans="1:18" ht="30.6">
      <c r="A320" s="15">
        <v>8</v>
      </c>
      <c r="B320" s="46">
        <v>13</v>
      </c>
      <c r="C320" s="45" t="s">
        <v>12</v>
      </c>
      <c r="D320" s="45" t="s">
        <v>616</v>
      </c>
      <c r="E320" s="47" t="s">
        <v>42</v>
      </c>
      <c r="F320" s="47" t="s">
        <v>24</v>
      </c>
      <c r="G320" s="46">
        <v>748842</v>
      </c>
      <c r="H320" s="18" t="s">
        <v>122</v>
      </c>
      <c r="I320" s="26" t="str">
        <f t="shared" si="35"/>
        <v>Ruan</v>
      </c>
      <c r="J320" s="26" t="str">
        <f t="shared" si="36"/>
        <v>8Sampaio Corrêa - MA13</v>
      </c>
      <c r="K320" s="27" t="str">
        <f>IFERROR(VLOOKUP(J320,Substituicoes!J:J,1,0),"SS")</f>
        <v>SS</v>
      </c>
      <c r="L320" s="27" t="str">
        <f>IFERROR(VLOOKUP(J320,Substituicoes!K:K,1,0),"SS")</f>
        <v>SS</v>
      </c>
      <c r="M320" s="28" t="b">
        <f t="shared" si="37"/>
        <v>1</v>
      </c>
      <c r="N320" s="29">
        <f>IF(AND(K320=L320,LEFT(E320,1)="T"),VLOOKUP(A320,'JOGOS BASE'!A:E,4,0),IF(K320=J320,VLOOKUP(J320,Substituicoes!J:R,6,0),IF(L320=J320,VLOOKUP(Escalacao!J320,Substituicoes!K:R,7,0),0)))</f>
        <v>0</v>
      </c>
      <c r="O320" s="28">
        <f>IF(AND(K320=L320,LEFT(E320,1)="T"),VLOOKUP(A320,'JOGOS BASE'!A:E,5,0),IF(K320=J320,VLOOKUP(J320,Substituicoes!J:R,7,0),IF(L320=J320,VLOOKUP(Escalacao!J320,Substituicoes!K:R,8,0),0)))</f>
        <v>0</v>
      </c>
      <c r="P320" s="28">
        <f t="shared" si="38"/>
        <v>0</v>
      </c>
      <c r="Q320" s="28" t="str">
        <f t="shared" si="39"/>
        <v>813Sampaio Corrêa - MA</v>
      </c>
      <c r="R320" s="28" t="str">
        <f>VLOOKUP(A320,'JOGOS BASE'!A:H,8)</f>
        <v>19.01.2025 - Viana - MA x Sampaio Corrêa - MA</v>
      </c>
    </row>
    <row r="321" spans="1:18" ht="30.6">
      <c r="A321" s="15">
        <v>8</v>
      </c>
      <c r="B321" s="46">
        <v>14</v>
      </c>
      <c r="C321" s="45" t="s">
        <v>86</v>
      </c>
      <c r="D321" s="45" t="s">
        <v>87</v>
      </c>
      <c r="E321" s="47" t="s">
        <v>42</v>
      </c>
      <c r="F321" s="47" t="s">
        <v>24</v>
      </c>
      <c r="G321" s="46">
        <v>709331</v>
      </c>
      <c r="H321" s="18" t="s">
        <v>122</v>
      </c>
      <c r="I321" s="26" t="str">
        <f t="shared" si="35"/>
        <v>Dimas</v>
      </c>
      <c r="J321" s="26" t="str">
        <f t="shared" si="36"/>
        <v>8Sampaio Corrêa - MA14</v>
      </c>
      <c r="K321" s="27" t="str">
        <f>IFERROR(VLOOKUP(J321,Substituicoes!J:J,1,0),"SS")</f>
        <v>SS</v>
      </c>
      <c r="L321" s="27" t="str">
        <f>IFERROR(VLOOKUP(J321,Substituicoes!K:K,1,0),"SS")</f>
        <v>SS</v>
      </c>
      <c r="M321" s="28" t="b">
        <f t="shared" si="37"/>
        <v>1</v>
      </c>
      <c r="N321" s="29">
        <f>IF(AND(K321=L321,LEFT(E321,1)="T"),VLOOKUP(A321,'JOGOS BASE'!A:E,4,0),IF(K321=J321,VLOOKUP(J321,Substituicoes!J:R,6,0),IF(L321=J321,VLOOKUP(Escalacao!J321,Substituicoes!K:R,7,0),0)))</f>
        <v>0</v>
      </c>
      <c r="O321" s="28">
        <f>IF(AND(K321=L321,LEFT(E321,1)="T"),VLOOKUP(A321,'JOGOS BASE'!A:E,5,0),IF(K321=J321,VLOOKUP(J321,Substituicoes!J:R,7,0),IF(L321=J321,VLOOKUP(Escalacao!J321,Substituicoes!K:R,8,0),0)))</f>
        <v>0</v>
      </c>
      <c r="P321" s="28">
        <f t="shared" si="38"/>
        <v>0</v>
      </c>
      <c r="Q321" s="28" t="str">
        <f t="shared" si="39"/>
        <v>814Sampaio Corrêa - MA</v>
      </c>
      <c r="R321" s="28" t="str">
        <f>VLOOKUP(A321,'JOGOS BASE'!A:H,8)</f>
        <v>19.01.2025 - Viana - MA x Sampaio Corrêa - MA</v>
      </c>
    </row>
    <row r="322" spans="1:18" ht="20.399999999999999">
      <c r="A322" s="15">
        <v>8</v>
      </c>
      <c r="B322" s="46">
        <v>15</v>
      </c>
      <c r="C322" s="45" t="s">
        <v>480</v>
      </c>
      <c r="D322" s="45" t="s">
        <v>481</v>
      </c>
      <c r="E322" s="47" t="s">
        <v>42</v>
      </c>
      <c r="F322" s="47" t="s">
        <v>24</v>
      </c>
      <c r="G322" s="46">
        <v>724360</v>
      </c>
      <c r="H322" s="18" t="s">
        <v>122</v>
      </c>
      <c r="I322" s="26" t="str">
        <f t="shared" si="35"/>
        <v>BACURAU</v>
      </c>
      <c r="J322" s="26" t="str">
        <f t="shared" si="36"/>
        <v>8Sampaio Corrêa - MA15</v>
      </c>
      <c r="K322" s="27" t="str">
        <f>IFERROR(VLOOKUP(J322,Substituicoes!J:J,1,0),"SS")</f>
        <v>8Sampaio Corrêa - MA15</v>
      </c>
      <c r="L322" s="27" t="str">
        <f>IFERROR(VLOOKUP(J322,Substituicoes!K:K,1,0),"SS")</f>
        <v>SS</v>
      </c>
      <c r="M322" s="28" t="b">
        <f t="shared" si="37"/>
        <v>0</v>
      </c>
      <c r="N322" s="29">
        <f>IF(AND(K322=L322,LEFT(E322,1)="T"),VLOOKUP(A322,'JOGOS BASE'!A:E,4,0),IF(K322=J322,VLOOKUP(J322,Substituicoes!J:R,6,0),IF(L322=J322,VLOOKUP(Escalacao!J322,Substituicoes!K:R,7,0),0)))</f>
        <v>0</v>
      </c>
      <c r="O322" s="28">
        <f>IF(AND(K322=L322,LEFT(E322,1)="T"),VLOOKUP(A322,'JOGOS BASE'!A:E,5,0),IF(K322=J322,VLOOKUP(J322,Substituicoes!J:R,7,0),IF(L322=J322,VLOOKUP(Escalacao!J322,Substituicoes!K:R,8,0),0)))</f>
        <v>32</v>
      </c>
      <c r="P322" s="28">
        <f t="shared" si="38"/>
        <v>32</v>
      </c>
      <c r="Q322" s="28" t="str">
        <f t="shared" si="39"/>
        <v>815Sampaio Corrêa - MA</v>
      </c>
      <c r="R322" s="28" t="str">
        <f>VLOOKUP(A322,'JOGOS BASE'!A:H,8)</f>
        <v>19.01.2025 - Viana - MA x Sampaio Corrêa - MA</v>
      </c>
    </row>
    <row r="323" spans="1:18" ht="20.399999999999999">
      <c r="A323" s="15">
        <v>8</v>
      </c>
      <c r="B323" s="46">
        <v>16</v>
      </c>
      <c r="C323" s="45" t="s">
        <v>96</v>
      </c>
      <c r="D323" s="45" t="s">
        <v>97</v>
      </c>
      <c r="E323" s="47" t="s">
        <v>42</v>
      </c>
      <c r="F323" s="47" t="s">
        <v>24</v>
      </c>
      <c r="G323" s="46">
        <v>748572</v>
      </c>
      <c r="H323" s="18" t="s">
        <v>122</v>
      </c>
      <c r="I323" s="26" t="str">
        <f t="shared" si="35"/>
        <v>ADRIANO</v>
      </c>
      <c r="J323" s="26" t="str">
        <f t="shared" si="36"/>
        <v>8Sampaio Corrêa - MA16</v>
      </c>
      <c r="K323" s="27" t="str">
        <f>IFERROR(VLOOKUP(J323,Substituicoes!J:J,1,0),"SS")</f>
        <v>8Sampaio Corrêa - MA16</v>
      </c>
      <c r="L323" s="27" t="str">
        <f>IFERROR(VLOOKUP(J323,Substituicoes!K:K,1,0),"SS")</f>
        <v>SS</v>
      </c>
      <c r="M323" s="28" t="b">
        <f t="shared" si="37"/>
        <v>0</v>
      </c>
      <c r="N323" s="29">
        <f>IF(AND(K323=L323,LEFT(E323,1)="T"),VLOOKUP(A323,'JOGOS BASE'!A:E,4,0),IF(K323=J323,VLOOKUP(J323,Substituicoes!J:R,6,0),IF(L323=J323,VLOOKUP(Escalacao!J323,Substituicoes!K:R,7,0),0)))</f>
        <v>0</v>
      </c>
      <c r="O323" s="28">
        <f>IF(AND(K323=L323,LEFT(E323,1)="T"),VLOOKUP(A323,'JOGOS BASE'!A:E,5,0),IF(K323=J323,VLOOKUP(J323,Substituicoes!J:R,7,0),IF(L323=J323,VLOOKUP(Escalacao!J323,Substituicoes!K:R,8,0),0)))</f>
        <v>53</v>
      </c>
      <c r="P323" s="28">
        <f t="shared" si="38"/>
        <v>53</v>
      </c>
      <c r="Q323" s="28" t="str">
        <f t="shared" si="39"/>
        <v>816Sampaio Corrêa - MA</v>
      </c>
      <c r="R323" s="28" t="str">
        <f>VLOOKUP(A323,'JOGOS BASE'!A:H,8)</f>
        <v>19.01.2025 - Viana - MA x Sampaio Corrêa - MA</v>
      </c>
    </row>
    <row r="324" spans="1:18" ht="30.6">
      <c r="A324" s="15">
        <v>8</v>
      </c>
      <c r="B324" s="46">
        <v>17</v>
      </c>
      <c r="C324" s="45" t="s">
        <v>68</v>
      </c>
      <c r="D324" s="45" t="s">
        <v>69</v>
      </c>
      <c r="E324" s="47" t="s">
        <v>42</v>
      </c>
      <c r="F324" s="47" t="s">
        <v>24</v>
      </c>
      <c r="G324" s="46">
        <v>725771</v>
      </c>
      <c r="H324" s="18" t="s">
        <v>122</v>
      </c>
      <c r="I324" s="26" t="str">
        <f t="shared" si="35"/>
        <v>JOÃO LENGE</v>
      </c>
      <c r="J324" s="26" t="str">
        <f t="shared" si="36"/>
        <v>8Sampaio Corrêa - MA17</v>
      </c>
      <c r="K324" s="27" t="str">
        <f>IFERROR(VLOOKUP(J324,Substituicoes!J:J,1,0),"SS")</f>
        <v>8Sampaio Corrêa - MA17</v>
      </c>
      <c r="L324" s="27" t="str">
        <f>IFERROR(VLOOKUP(J324,Substituicoes!K:K,1,0),"SS")</f>
        <v>SS</v>
      </c>
      <c r="M324" s="28" t="b">
        <f t="shared" si="37"/>
        <v>0</v>
      </c>
      <c r="N324" s="29">
        <f>IF(AND(K324=L324,LEFT(E324,1)="T"),VLOOKUP(A324,'JOGOS BASE'!A:E,4,0),IF(K324=J324,VLOOKUP(J324,Substituicoes!J:R,6,0),IF(L324=J324,VLOOKUP(Escalacao!J324,Substituicoes!K:R,7,0),0)))</f>
        <v>0</v>
      </c>
      <c r="O324" s="28">
        <f>IF(AND(K324=L324,LEFT(E324,1)="T"),VLOOKUP(A324,'JOGOS BASE'!A:E,5,0),IF(K324=J324,VLOOKUP(J324,Substituicoes!J:R,7,0),IF(L324=J324,VLOOKUP(Escalacao!J324,Substituicoes!K:R,8,0),0)))</f>
        <v>23</v>
      </c>
      <c r="P324" s="28">
        <f t="shared" si="38"/>
        <v>23</v>
      </c>
      <c r="Q324" s="28" t="str">
        <f t="shared" si="39"/>
        <v>817Sampaio Corrêa - MA</v>
      </c>
      <c r="R324" s="28" t="str">
        <f>VLOOKUP(A324,'JOGOS BASE'!A:H,8)</f>
        <v>19.01.2025 - Viana - MA x Sampaio Corrêa - MA</v>
      </c>
    </row>
    <row r="325" spans="1:18" ht="30.6">
      <c r="A325" s="15">
        <v>8</v>
      </c>
      <c r="B325" s="46">
        <v>19</v>
      </c>
      <c r="C325" s="45" t="s">
        <v>61</v>
      </c>
      <c r="D325" s="45" t="s">
        <v>62</v>
      </c>
      <c r="E325" s="47" t="s">
        <v>42</v>
      </c>
      <c r="F325" s="47" t="s">
        <v>24</v>
      </c>
      <c r="G325" s="46">
        <v>400878</v>
      </c>
      <c r="H325" s="18" t="s">
        <v>122</v>
      </c>
      <c r="I325" s="26" t="str">
        <f t="shared" si="35"/>
        <v>JÔ</v>
      </c>
      <c r="J325" s="26" t="str">
        <f t="shared" si="36"/>
        <v>8Sampaio Corrêa - MA19</v>
      </c>
      <c r="K325" s="27" t="str">
        <f>IFERROR(VLOOKUP(J325,Substituicoes!J:J,1,0),"SS")</f>
        <v>SS</v>
      </c>
      <c r="L325" s="27" t="str">
        <f>IFERROR(VLOOKUP(J325,Substituicoes!K:K,1,0),"SS")</f>
        <v>SS</v>
      </c>
      <c r="M325" s="28" t="b">
        <f t="shared" si="37"/>
        <v>1</v>
      </c>
      <c r="N325" s="29">
        <f>IF(AND(K325=L325,LEFT(E325,1)="T"),VLOOKUP(A325,'JOGOS BASE'!A:E,4,0),IF(K325=J325,VLOOKUP(J325,Substituicoes!J:R,6,0),IF(L325=J325,VLOOKUP(Escalacao!J325,Substituicoes!K:R,7,0),0)))</f>
        <v>0</v>
      </c>
      <c r="O325" s="28">
        <f>IF(AND(K325=L325,LEFT(E325,1)="T"),VLOOKUP(A325,'JOGOS BASE'!A:E,5,0),IF(K325=J325,VLOOKUP(J325,Substituicoes!J:R,7,0),IF(L325=J325,VLOOKUP(Escalacao!J325,Substituicoes!K:R,8,0),0)))</f>
        <v>0</v>
      </c>
      <c r="P325" s="28">
        <f t="shared" si="38"/>
        <v>0</v>
      </c>
      <c r="Q325" s="28" t="str">
        <f t="shared" si="39"/>
        <v>819Sampaio Corrêa - MA</v>
      </c>
      <c r="R325" s="28" t="str">
        <f>VLOOKUP(A325,'JOGOS BASE'!A:H,8)</f>
        <v>19.01.2025 - Viana - MA x Sampaio Corrêa - MA</v>
      </c>
    </row>
    <row r="326" spans="1:18" ht="30.6">
      <c r="A326" s="15">
        <v>8</v>
      </c>
      <c r="B326" s="46">
        <v>20</v>
      </c>
      <c r="C326" s="45" t="s">
        <v>617</v>
      </c>
      <c r="D326" s="45" t="s">
        <v>618</v>
      </c>
      <c r="E326" s="47" t="s">
        <v>42</v>
      </c>
      <c r="F326" s="47" t="s">
        <v>24</v>
      </c>
      <c r="G326" s="46">
        <v>451946</v>
      </c>
      <c r="H326" s="18" t="s">
        <v>122</v>
      </c>
      <c r="I326" s="26" t="str">
        <f t="shared" si="35"/>
        <v>Rodolfo</v>
      </c>
      <c r="J326" s="26" t="str">
        <f t="shared" si="36"/>
        <v>8Sampaio Corrêa - MA20</v>
      </c>
      <c r="K326" s="27" t="str">
        <f>IFERROR(VLOOKUP(J326,Substituicoes!J:J,1,0),"SS")</f>
        <v>8Sampaio Corrêa - MA20</v>
      </c>
      <c r="L326" s="27" t="str">
        <f>IFERROR(VLOOKUP(J326,Substituicoes!K:K,1,0),"SS")</f>
        <v>SS</v>
      </c>
      <c r="M326" s="28" t="b">
        <f t="shared" si="37"/>
        <v>0</v>
      </c>
      <c r="N326" s="29">
        <f>IF(AND(K326=L326,LEFT(E326,1)="T"),VLOOKUP(A326,'JOGOS BASE'!A:E,4,0),IF(K326=J326,VLOOKUP(J326,Substituicoes!J:R,6,0),IF(L326=J326,VLOOKUP(Escalacao!J326,Substituicoes!K:R,7,0),0)))</f>
        <v>0</v>
      </c>
      <c r="O326" s="28">
        <f>IF(AND(K326=L326,LEFT(E326,1)="T"),VLOOKUP(A326,'JOGOS BASE'!A:E,5,0),IF(K326=J326,VLOOKUP(J326,Substituicoes!J:R,7,0),IF(L326=J326,VLOOKUP(Escalacao!J326,Substituicoes!K:R,8,0),0)))</f>
        <v>53</v>
      </c>
      <c r="P326" s="28">
        <f t="shared" si="38"/>
        <v>53</v>
      </c>
      <c r="Q326" s="28" t="str">
        <f t="shared" si="39"/>
        <v>820Sampaio Corrêa - MA</v>
      </c>
      <c r="R326" s="28" t="str">
        <f>VLOOKUP(A326,'JOGOS BASE'!A:H,8)</f>
        <v>19.01.2025 - Viana - MA x Sampaio Corrêa - MA</v>
      </c>
    </row>
  </sheetData>
  <autoFilter ref="A1:M117" xr:uid="{AB7CA54F-3F2D-4DC4-9242-0EAF8210CE31}">
    <filterColumn colId="7">
      <filters>
        <filter val="Viana - MA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CEF09-01DF-41F4-A956-0179C3C5A7A5}">
  <dimension ref="A1:H17"/>
  <sheetViews>
    <sheetView showGridLines="0" workbookViewId="0">
      <selection activeCell="C9" sqref="C9"/>
    </sheetView>
  </sheetViews>
  <sheetFormatPr defaultRowHeight="14.4"/>
  <cols>
    <col min="1" max="1" width="11.88671875" style="15" bestFit="1" customWidth="1"/>
    <col min="2" max="2" width="13.77734375" style="15" bestFit="1" customWidth="1"/>
    <col min="3" max="3" width="18.5546875" style="15" bestFit="1" customWidth="1"/>
    <col min="4" max="5" width="3" style="20" bestFit="1" customWidth="1"/>
    <col min="6" max="6" width="22.109375" style="15" bestFit="1" customWidth="1"/>
    <col min="7" max="7" width="22.109375" style="44" customWidth="1"/>
    <col min="8" max="8" width="44.77734375" style="23" bestFit="1" customWidth="1"/>
  </cols>
  <sheetData>
    <row r="1" spans="1:8">
      <c r="A1" s="18" t="s">
        <v>134</v>
      </c>
      <c r="B1" s="18" t="s">
        <v>144</v>
      </c>
      <c r="C1" s="18" t="s">
        <v>145</v>
      </c>
      <c r="D1" s="19" t="s">
        <v>141</v>
      </c>
      <c r="E1" s="19" t="s">
        <v>111</v>
      </c>
      <c r="F1" s="18" t="s">
        <v>153</v>
      </c>
      <c r="G1" s="43" t="s">
        <v>165</v>
      </c>
      <c r="H1" s="22" t="s">
        <v>166</v>
      </c>
    </row>
    <row r="2" spans="1:8">
      <c r="A2" s="18">
        <v>1</v>
      </c>
      <c r="B2" s="18" t="s">
        <v>107</v>
      </c>
      <c r="C2" s="18" t="s">
        <v>122</v>
      </c>
      <c r="D2" s="19">
        <v>49</v>
      </c>
      <c r="E2" s="19">
        <v>50</v>
      </c>
      <c r="F2" s="18" t="s">
        <v>154</v>
      </c>
      <c r="G2" s="43" t="s">
        <v>167</v>
      </c>
      <c r="H2" s="28" t="str">
        <f t="shared" ref="H2:H9" si="0">G2&amp;" - "&amp;B2&amp;" x "&amp;C2</f>
        <v>11.01.2025 - Imperatriz - MA x Sampaio Corrêa - MA</v>
      </c>
    </row>
    <row r="3" spans="1:8">
      <c r="A3" s="18">
        <v>2</v>
      </c>
      <c r="B3" s="18" t="s">
        <v>273</v>
      </c>
      <c r="C3" s="18" t="s">
        <v>260</v>
      </c>
      <c r="D3" s="19">
        <v>47</v>
      </c>
      <c r="E3" s="19">
        <v>50</v>
      </c>
      <c r="F3" s="18" t="s">
        <v>170</v>
      </c>
      <c r="G3" s="43" t="s">
        <v>171</v>
      </c>
      <c r="H3" s="28" t="str">
        <f t="shared" si="0"/>
        <v>12.01.2025 - Moto Club - MA x Maranhão - MA</v>
      </c>
    </row>
    <row r="4" spans="1:8">
      <c r="A4" s="18">
        <v>3</v>
      </c>
      <c r="B4" s="18" t="s">
        <v>368</v>
      </c>
      <c r="C4" s="18" t="s">
        <v>381</v>
      </c>
      <c r="D4" s="19">
        <v>50</v>
      </c>
      <c r="E4" s="19">
        <v>47</v>
      </c>
      <c r="F4" s="18" t="s">
        <v>300</v>
      </c>
      <c r="G4" s="43" t="s">
        <v>171</v>
      </c>
      <c r="H4" s="28" t="str">
        <f t="shared" si="0"/>
        <v>12.01.2025 - Pinheiro - MA x Viana - MA</v>
      </c>
    </row>
    <row r="5" spans="1:8">
      <c r="A5" s="18">
        <v>4</v>
      </c>
      <c r="B5" s="18" t="s">
        <v>368</v>
      </c>
      <c r="C5" s="18" t="s">
        <v>260</v>
      </c>
      <c r="D5" s="19">
        <f>45+4</f>
        <v>49</v>
      </c>
      <c r="E5" s="19">
        <f>45+6</f>
        <v>51</v>
      </c>
      <c r="F5" s="18" t="s">
        <v>384</v>
      </c>
      <c r="G5" s="43" t="s">
        <v>385</v>
      </c>
      <c r="H5" s="28" t="str">
        <f t="shared" si="0"/>
        <v>15.01.2025 - Pinheiro - MA x Maranhão - MA</v>
      </c>
    </row>
    <row r="6" spans="1:8">
      <c r="A6" s="18">
        <v>5</v>
      </c>
      <c r="B6" s="18" t="s">
        <v>386</v>
      </c>
      <c r="C6" s="18" t="s">
        <v>122</v>
      </c>
      <c r="D6" s="19">
        <v>46</v>
      </c>
      <c r="E6" s="19">
        <f>45+3</f>
        <v>48</v>
      </c>
      <c r="F6" s="18" t="s">
        <v>387</v>
      </c>
      <c r="G6" s="43" t="s">
        <v>385</v>
      </c>
      <c r="H6" s="28" t="str">
        <f t="shared" si="0"/>
        <v>15.01.2025 - IAPE - MA x Sampaio Corrêa - MA</v>
      </c>
    </row>
    <row r="7" spans="1:8">
      <c r="A7" s="18">
        <v>6</v>
      </c>
      <c r="B7" s="18" t="s">
        <v>388</v>
      </c>
      <c r="C7" s="18" t="s">
        <v>107</v>
      </c>
      <c r="D7" s="19">
        <f>45+5</f>
        <v>50</v>
      </c>
      <c r="E7" s="19">
        <f>45+5</f>
        <v>50</v>
      </c>
      <c r="F7" s="18" t="s">
        <v>389</v>
      </c>
      <c r="G7" s="43" t="s">
        <v>385</v>
      </c>
      <c r="H7" s="28" t="str">
        <f t="shared" si="0"/>
        <v>15.01.2025 - Tuntum - MA x Imperatriz - MA</v>
      </c>
    </row>
    <row r="8" spans="1:8">
      <c r="A8" s="18">
        <v>7</v>
      </c>
      <c r="B8" s="18" t="s">
        <v>107</v>
      </c>
      <c r="C8" s="18" t="s">
        <v>368</v>
      </c>
      <c r="D8" s="19">
        <f>45+3</f>
        <v>48</v>
      </c>
      <c r="E8" s="19">
        <f>45+6</f>
        <v>51</v>
      </c>
      <c r="F8" s="18" t="s">
        <v>576</v>
      </c>
      <c r="G8" s="43" t="s">
        <v>575</v>
      </c>
      <c r="H8" s="28" t="str">
        <f t="shared" si="0"/>
        <v>18.01.2025 - Imperatriz - MA x Pinheiro - MA</v>
      </c>
    </row>
    <row r="9" spans="1:8">
      <c r="A9" s="18">
        <v>8</v>
      </c>
      <c r="B9" s="18" t="s">
        <v>381</v>
      </c>
      <c r="C9" s="18" t="s">
        <v>122</v>
      </c>
      <c r="D9" s="19">
        <f>45+5</f>
        <v>50</v>
      </c>
      <c r="E9" s="19">
        <f>45+8</f>
        <v>53</v>
      </c>
      <c r="F9" s="18" t="s">
        <v>590</v>
      </c>
      <c r="G9" s="43" t="s">
        <v>589</v>
      </c>
      <c r="H9" s="28" t="str">
        <f t="shared" si="0"/>
        <v>19.01.2025 - Viana - MA x Sampaio Corrêa - MA</v>
      </c>
    </row>
    <row r="10" spans="1:8">
      <c r="A10" s="18"/>
      <c r="B10" s="18"/>
      <c r="C10" s="18"/>
      <c r="D10" s="19"/>
      <c r="E10" s="19"/>
      <c r="F10" s="18"/>
      <c r="G10" s="43"/>
      <c r="H10" s="28"/>
    </row>
    <row r="11" spans="1:8">
      <c r="A11" s="18"/>
      <c r="B11" s="18"/>
      <c r="C11" s="18"/>
      <c r="D11" s="19"/>
      <c r="E11" s="19"/>
      <c r="F11" s="18"/>
      <c r="G11" s="43"/>
      <c r="H11" s="28"/>
    </row>
    <row r="12" spans="1:8">
      <c r="A12" s="18"/>
      <c r="B12" s="18"/>
      <c r="C12" s="18"/>
      <c r="D12" s="19"/>
      <c r="E12" s="19"/>
      <c r="F12" s="18"/>
      <c r="G12" s="43"/>
      <c r="H12" s="28"/>
    </row>
    <row r="13" spans="1:8">
      <c r="A13" s="18"/>
      <c r="B13" s="18"/>
      <c r="C13" s="18"/>
      <c r="D13" s="19"/>
      <c r="E13" s="19"/>
      <c r="F13" s="18"/>
      <c r="G13" s="43"/>
      <c r="H13" s="28"/>
    </row>
    <row r="14" spans="1:8">
      <c r="A14" s="18"/>
      <c r="B14" s="18"/>
      <c r="C14" s="18"/>
      <c r="D14" s="19"/>
      <c r="E14" s="19"/>
      <c r="F14" s="18"/>
      <c r="G14" s="43"/>
      <c r="H14" s="28"/>
    </row>
    <row r="15" spans="1:8">
      <c r="A15" s="18"/>
      <c r="B15" s="18"/>
      <c r="C15" s="18"/>
      <c r="D15" s="19"/>
      <c r="E15" s="19"/>
      <c r="F15" s="18"/>
      <c r="G15" s="43"/>
      <c r="H15" s="28"/>
    </row>
    <row r="16" spans="1:8">
      <c r="A16" s="18"/>
      <c r="B16" s="18"/>
      <c r="C16" s="18"/>
      <c r="D16" s="19"/>
      <c r="E16" s="19"/>
      <c r="F16" s="18"/>
      <c r="G16" s="43"/>
      <c r="H16" s="28"/>
    </row>
    <row r="17" spans="1:8">
      <c r="A17" s="18"/>
      <c r="B17" s="18"/>
      <c r="C17" s="18"/>
      <c r="D17" s="19"/>
      <c r="E17" s="19"/>
      <c r="F17" s="18"/>
      <c r="G17" s="43"/>
      <c r="H17" s="28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DBC58-DC47-47FD-B617-C0EF9E401D47}">
  <dimension ref="A1:N134"/>
  <sheetViews>
    <sheetView showGridLines="0" topLeftCell="A31" workbookViewId="0">
      <selection activeCell="G46" sqref="G46"/>
    </sheetView>
  </sheetViews>
  <sheetFormatPr defaultRowHeight="14.4"/>
  <cols>
    <col min="5" max="5" width="8.44140625" bestFit="1" customWidth="1"/>
    <col min="6" max="6" width="14.77734375" style="15" bestFit="1" customWidth="1"/>
    <col min="7" max="7" width="22.109375" style="23" bestFit="1" customWidth="1"/>
    <col min="8" max="9" width="8.88671875" style="15"/>
    <col min="10" max="10" width="21.6640625" style="23" bestFit="1" customWidth="1"/>
    <col min="11" max="11" width="7" style="23" bestFit="1" customWidth="1"/>
    <col min="12" max="12" width="9.44140625" style="23" bestFit="1" customWidth="1"/>
    <col min="13" max="13" width="6.109375" style="23" bestFit="1" customWidth="1"/>
    <col min="14" max="14" width="44.33203125" style="23" bestFit="1" customWidth="1"/>
  </cols>
  <sheetData>
    <row r="1" spans="1:14" ht="19.2">
      <c r="A1" s="6" t="s">
        <v>134</v>
      </c>
      <c r="B1" s="6" t="s">
        <v>100</v>
      </c>
      <c r="C1" s="6" t="s">
        <v>101</v>
      </c>
      <c r="D1" s="6" t="s">
        <v>16</v>
      </c>
      <c r="E1" s="6" t="s">
        <v>158</v>
      </c>
      <c r="F1" s="16" t="s">
        <v>98</v>
      </c>
      <c r="G1" s="21" t="s">
        <v>153</v>
      </c>
      <c r="H1" s="16" t="s">
        <v>161</v>
      </c>
      <c r="I1" s="16" t="s">
        <v>169</v>
      </c>
      <c r="J1" s="21" t="s">
        <v>164</v>
      </c>
      <c r="K1" s="24" t="s">
        <v>0</v>
      </c>
      <c r="L1" s="21" t="s">
        <v>162</v>
      </c>
      <c r="M1" s="21" t="s">
        <v>168</v>
      </c>
      <c r="N1" s="21" t="s">
        <v>166</v>
      </c>
    </row>
    <row r="2" spans="1:14" ht="13.8" customHeight="1">
      <c r="A2" s="7">
        <v>1</v>
      </c>
      <c r="B2" s="7" t="s">
        <v>155</v>
      </c>
      <c r="C2" s="7" t="s">
        <v>141</v>
      </c>
      <c r="D2" s="8">
        <v>10</v>
      </c>
      <c r="E2" s="7" t="s">
        <v>75</v>
      </c>
      <c r="F2" s="14" t="s">
        <v>122</v>
      </c>
      <c r="G2" s="22" t="str">
        <f>VLOOKUP(A2,'JOGOS BASE'!A:F,6,)</f>
        <v>Paulo Jose Souza Mourao</v>
      </c>
      <c r="H2" s="14">
        <v>1</v>
      </c>
      <c r="I2" s="14">
        <v>0</v>
      </c>
      <c r="J2" s="22" t="str">
        <f>A2&amp;D2&amp;F2</f>
        <v>110Sampaio Corrêa - MA</v>
      </c>
      <c r="K2" s="22">
        <f>INDEX(Escalacao!G:G,MATCH(Cartoes!J2,Escalacao!Q:Q,0))</f>
        <v>668800</v>
      </c>
      <c r="L2" s="22" t="str">
        <f>VLOOKUP(K2,Escalacao!G:I,3,0)</f>
        <v>STENCE</v>
      </c>
      <c r="M2" s="22">
        <f>COUNTIF(Escalacao!G:G,Cartoes!K2)</f>
        <v>3</v>
      </c>
      <c r="N2" s="22" t="str">
        <f>VLOOKUP(A2,Escalacao!A:R,18,0)</f>
        <v>11.01.2025 - Imperatriz - MA x Sampaio Corrêa - MA</v>
      </c>
    </row>
    <row r="3" spans="1:14" ht="13.8" customHeight="1">
      <c r="A3" s="7">
        <v>1</v>
      </c>
      <c r="B3" s="7" t="s">
        <v>156</v>
      </c>
      <c r="C3" s="7" t="s">
        <v>111</v>
      </c>
      <c r="D3" s="8">
        <v>21</v>
      </c>
      <c r="E3" s="7" t="s">
        <v>157</v>
      </c>
      <c r="F3" s="14" t="s">
        <v>122</v>
      </c>
      <c r="G3" s="22" t="str">
        <f>VLOOKUP(A3,'JOGOS BASE'!A:F,6,)</f>
        <v>Paulo Jose Souza Mourao</v>
      </c>
      <c r="H3" s="14">
        <v>1</v>
      </c>
      <c r="I3" s="14">
        <v>0</v>
      </c>
      <c r="J3" s="22" t="str">
        <f t="shared" ref="J3:J4" si="0">A3&amp;D3&amp;F3</f>
        <v>121Sampaio Corrêa - MA</v>
      </c>
      <c r="K3" s="22">
        <f>INDEX(Escalacao!G:G,MATCH(Cartoes!J3,Escalacao!Q:Q,0))</f>
        <v>748572</v>
      </c>
      <c r="L3" s="22" t="str">
        <f>VLOOKUP(K3,Escalacao!G:I,3,0)</f>
        <v>ADRIANO</v>
      </c>
      <c r="M3" s="22">
        <f>COUNTIF(Escalacao!G:G,Cartoes!K3)</f>
        <v>3</v>
      </c>
      <c r="N3" s="22" t="str">
        <f>VLOOKUP(A3,Escalacao!A:R,18,0)</f>
        <v>11.01.2025 - Imperatriz - MA x Sampaio Corrêa - MA</v>
      </c>
    </row>
    <row r="4" spans="1:14" ht="13.8" customHeight="1">
      <c r="A4" s="7">
        <v>1</v>
      </c>
      <c r="B4" s="7" t="s">
        <v>159</v>
      </c>
      <c r="C4" s="7" t="s">
        <v>111</v>
      </c>
      <c r="D4" s="8">
        <v>19</v>
      </c>
      <c r="E4" s="7" t="s">
        <v>160</v>
      </c>
      <c r="F4" s="14" t="s">
        <v>107</v>
      </c>
      <c r="G4" s="22" t="str">
        <f>VLOOKUP(A4,'JOGOS BASE'!A:F,6,)</f>
        <v>Paulo Jose Souza Mourao</v>
      </c>
      <c r="H4" s="14">
        <v>1</v>
      </c>
      <c r="I4" s="14">
        <v>0</v>
      </c>
      <c r="J4" s="22" t="str">
        <f t="shared" si="0"/>
        <v>119Imperatriz - MA</v>
      </c>
      <c r="K4" s="22">
        <f>INDEX(Escalacao!G:G,MATCH(Cartoes!J4,Escalacao!Q:Q,0))</f>
        <v>611147</v>
      </c>
      <c r="L4" s="22" t="str">
        <f>VLOOKUP(K4,Escalacao!G:I,3,0)</f>
        <v>WYLDSON</v>
      </c>
      <c r="M4" s="22">
        <f>COUNTIF(Escalacao!G:G,Cartoes!K4)</f>
        <v>3</v>
      </c>
      <c r="N4" s="22" t="str">
        <f>VLOOKUP(A4,Escalacao!A:R,18,0)</f>
        <v>11.01.2025 - Imperatriz - MA x Sampaio Corrêa - MA</v>
      </c>
    </row>
    <row r="5" spans="1:14" ht="13.8" customHeight="1">
      <c r="A5" s="7">
        <v>2</v>
      </c>
      <c r="B5" s="7" t="s">
        <v>258</v>
      </c>
      <c r="C5" s="7" t="s">
        <v>141</v>
      </c>
      <c r="D5" s="8">
        <v>11</v>
      </c>
      <c r="E5" s="7" t="s">
        <v>259</v>
      </c>
      <c r="F5" s="14" t="s">
        <v>273</v>
      </c>
      <c r="G5" s="22" t="str">
        <f>VLOOKUP(A5,'JOGOS BASE'!A:F,6,)</f>
        <v>Mayron Frederico dos Reis Novais</v>
      </c>
      <c r="H5" s="14">
        <v>1</v>
      </c>
      <c r="I5" s="14">
        <v>0</v>
      </c>
      <c r="J5" s="22" t="str">
        <f t="shared" ref="J5:J13" si="1">A5&amp;D5&amp;F5</f>
        <v>211Moto Club - MA</v>
      </c>
      <c r="K5" s="22">
        <f>INDEX(Escalacao!G:G,MATCH(Cartoes!J5,Escalacao!Q:Q,0))</f>
        <v>438976</v>
      </c>
      <c r="L5" s="22" t="str">
        <f>VLOOKUP(K5,Escalacao!G:I,3,0)</f>
        <v>Danilo</v>
      </c>
      <c r="M5" s="22">
        <f>COUNTIF(Escalacao!G:G,Cartoes!K5)</f>
        <v>1</v>
      </c>
      <c r="N5" s="22" t="str">
        <f>VLOOKUP(A5,Escalacao!A:R,18,0)</f>
        <v>12.01.2025 - Moto Club - MA x Maranhão - MA</v>
      </c>
    </row>
    <row r="6" spans="1:14" ht="13.8" customHeight="1">
      <c r="A6" s="7">
        <v>2</v>
      </c>
      <c r="B6" s="7" t="s">
        <v>258</v>
      </c>
      <c r="C6" s="7" t="s">
        <v>141</v>
      </c>
      <c r="D6" s="8">
        <v>9</v>
      </c>
      <c r="E6" s="7" t="s">
        <v>286</v>
      </c>
      <c r="F6" s="14" t="s">
        <v>260</v>
      </c>
      <c r="G6" s="22" t="str">
        <f>VLOOKUP(A6,'JOGOS BASE'!A:F,6,)</f>
        <v>Mayron Frederico dos Reis Novais</v>
      </c>
      <c r="H6" s="14">
        <v>1</v>
      </c>
      <c r="I6" s="14">
        <v>0</v>
      </c>
      <c r="J6" s="22" t="str">
        <f t="shared" si="1"/>
        <v>29Maranhão - MA</v>
      </c>
      <c r="K6" s="22">
        <f>INDEX(Escalacao!G:G,MATCH(Cartoes!J6,Escalacao!Q:Q,0))</f>
        <v>610235</v>
      </c>
      <c r="L6" s="22" t="str">
        <f>VLOOKUP(K6,Escalacao!G:I,3,0)</f>
        <v>loro</v>
      </c>
      <c r="M6" s="22">
        <f>COUNTIF(Escalacao!G:G,Cartoes!K6)</f>
        <v>2</v>
      </c>
      <c r="N6" s="22" t="str">
        <f>VLOOKUP(A6,Escalacao!A:R,18,0)</f>
        <v>12.01.2025 - Moto Club - MA x Maranhão - MA</v>
      </c>
    </row>
    <row r="7" spans="1:14" ht="13.8" customHeight="1">
      <c r="A7" s="7">
        <v>2</v>
      </c>
      <c r="B7" s="7" t="s">
        <v>287</v>
      </c>
      <c r="C7" s="7" t="s">
        <v>111</v>
      </c>
      <c r="D7" s="8">
        <v>20</v>
      </c>
      <c r="E7" s="7" t="s">
        <v>292</v>
      </c>
      <c r="F7" s="14" t="s">
        <v>273</v>
      </c>
      <c r="G7" s="22" t="str">
        <f>VLOOKUP(A7,'JOGOS BASE'!A:F,6,)</f>
        <v>Mayron Frederico dos Reis Novais</v>
      </c>
      <c r="H7" s="14">
        <v>1</v>
      </c>
      <c r="I7" s="14">
        <v>0</v>
      </c>
      <c r="J7" s="22" t="str">
        <f t="shared" si="1"/>
        <v>220Moto Club - MA</v>
      </c>
      <c r="K7" s="22">
        <f>INDEX(Escalacao!G:G,MATCH(Cartoes!J7,Escalacao!Q:Q,0))</f>
        <v>610535</v>
      </c>
      <c r="L7" s="22" t="str">
        <f>VLOOKUP(K7,Escalacao!G:I,3,0)</f>
        <v>Paulo Renato</v>
      </c>
      <c r="M7" s="22">
        <f>COUNTIF(Escalacao!G:G,Cartoes!K7)</f>
        <v>1</v>
      </c>
      <c r="N7" s="22" t="str">
        <f>VLOOKUP(A7,Escalacao!A:R,18,0)</f>
        <v>12.01.2025 - Moto Club - MA x Maranhão - MA</v>
      </c>
    </row>
    <row r="8" spans="1:14" ht="13.8" customHeight="1">
      <c r="A8" s="7">
        <v>2</v>
      </c>
      <c r="B8" s="7" t="s">
        <v>288</v>
      </c>
      <c r="C8" s="7" t="s">
        <v>111</v>
      </c>
      <c r="D8" s="8">
        <v>5</v>
      </c>
      <c r="E8" s="7" t="s">
        <v>293</v>
      </c>
      <c r="F8" s="14" t="s">
        <v>273</v>
      </c>
      <c r="G8" s="22" t="str">
        <f>VLOOKUP(A8,'JOGOS BASE'!A:F,6,)</f>
        <v>Mayron Frederico dos Reis Novais</v>
      </c>
      <c r="H8" s="14">
        <v>1</v>
      </c>
      <c r="I8" s="14">
        <v>0</v>
      </c>
      <c r="J8" s="22" t="str">
        <f t="shared" si="1"/>
        <v>25Moto Club - MA</v>
      </c>
      <c r="K8" s="22">
        <f>INDEX(Escalacao!G:G,MATCH(Cartoes!J8,Escalacao!Q:Q,0))</f>
        <v>343511</v>
      </c>
      <c r="L8" s="22" t="str">
        <f>VLOOKUP(K8,Escalacao!G:I,3,0)</f>
        <v>Felipe Dias</v>
      </c>
      <c r="M8" s="22">
        <f>COUNTIF(Escalacao!G:G,Cartoes!K8)</f>
        <v>1</v>
      </c>
      <c r="N8" s="22" t="str">
        <f>VLOOKUP(A8,Escalacao!A:R,18,0)</f>
        <v>12.01.2025 - Moto Club - MA x Maranhão - MA</v>
      </c>
    </row>
    <row r="9" spans="1:14" ht="13.8" customHeight="1">
      <c r="A9" s="7">
        <v>2</v>
      </c>
      <c r="B9" s="7" t="s">
        <v>289</v>
      </c>
      <c r="C9" s="7" t="s">
        <v>141</v>
      </c>
      <c r="D9" s="8">
        <v>11</v>
      </c>
      <c r="E9" s="7" t="s">
        <v>294</v>
      </c>
      <c r="F9" s="14" t="s">
        <v>260</v>
      </c>
      <c r="G9" s="22" t="str">
        <f>VLOOKUP(A9,'JOGOS BASE'!A:F,6,)</f>
        <v>Mayron Frederico dos Reis Novais</v>
      </c>
      <c r="H9" s="14">
        <v>1</v>
      </c>
      <c r="I9" s="14">
        <v>0</v>
      </c>
      <c r="J9" s="22" t="str">
        <f t="shared" si="1"/>
        <v>211Maranhão - MA</v>
      </c>
      <c r="K9" s="22">
        <f>INDEX(Escalacao!G:G,MATCH(Cartoes!J9,Escalacao!Q:Q,0))</f>
        <v>618785</v>
      </c>
      <c r="L9" s="22" t="str">
        <f>VLOOKUP(K9,Escalacao!G:I,3,0)</f>
        <v>Ryan</v>
      </c>
      <c r="M9" s="22">
        <f>COUNTIF(Escalacao!G:G,Cartoes!K9)</f>
        <v>2</v>
      </c>
      <c r="N9" s="22" t="str">
        <f>VLOOKUP(A9,Escalacao!A:R,18,0)</f>
        <v>12.01.2025 - Moto Club - MA x Maranhão - MA</v>
      </c>
    </row>
    <row r="10" spans="1:14" ht="13.8" customHeight="1">
      <c r="A10" s="7">
        <v>2</v>
      </c>
      <c r="B10" s="7" t="s">
        <v>290</v>
      </c>
      <c r="C10" s="7" t="s">
        <v>111</v>
      </c>
      <c r="D10" s="8">
        <v>2</v>
      </c>
      <c r="E10" s="7" t="s">
        <v>295</v>
      </c>
      <c r="F10" s="14" t="s">
        <v>260</v>
      </c>
      <c r="G10" s="22" t="str">
        <f>VLOOKUP(A10,'JOGOS BASE'!A:F,6,)</f>
        <v>Mayron Frederico dos Reis Novais</v>
      </c>
      <c r="H10" s="14">
        <v>1</v>
      </c>
      <c r="I10" s="14">
        <v>0</v>
      </c>
      <c r="J10" s="22" t="str">
        <f t="shared" si="1"/>
        <v>22Maranhão - MA</v>
      </c>
      <c r="K10" s="22">
        <f>INDEX(Escalacao!G:G,MATCH(Cartoes!J10,Escalacao!Q:Q,0))</f>
        <v>359014</v>
      </c>
      <c r="L10" s="22" t="str">
        <f>VLOOKUP(K10,Escalacao!G:I,3,0)</f>
        <v>Franklin</v>
      </c>
      <c r="M10" s="22">
        <f>COUNTIF(Escalacao!G:G,Cartoes!K10)</f>
        <v>2</v>
      </c>
      <c r="N10" s="22" t="str">
        <f>VLOOKUP(A10,Escalacao!A:R,18,0)</f>
        <v>12.01.2025 - Moto Club - MA x Maranhão - MA</v>
      </c>
    </row>
    <row r="11" spans="1:14" ht="13.8" customHeight="1">
      <c r="A11" s="7">
        <v>2</v>
      </c>
      <c r="B11" s="7" t="s">
        <v>291</v>
      </c>
      <c r="C11" s="7" t="s">
        <v>111</v>
      </c>
      <c r="D11" s="8">
        <v>3</v>
      </c>
      <c r="E11" s="7" t="s">
        <v>296</v>
      </c>
      <c r="F11" s="14" t="s">
        <v>260</v>
      </c>
      <c r="G11" s="22" t="str">
        <f>VLOOKUP(A11,'JOGOS BASE'!A:F,6,)</f>
        <v>Mayron Frederico dos Reis Novais</v>
      </c>
      <c r="H11" s="14">
        <v>1</v>
      </c>
      <c r="I11" s="14">
        <v>0</v>
      </c>
      <c r="J11" s="22" t="str">
        <f t="shared" si="1"/>
        <v>23Maranhão - MA</v>
      </c>
      <c r="K11" s="22">
        <f>INDEX(Escalacao!G:G,MATCH(Cartoes!J11,Escalacao!Q:Q,0))</f>
        <v>401846</v>
      </c>
      <c r="L11" s="22" t="str">
        <f>VLOOKUP(K11,Escalacao!G:I,3,0)</f>
        <v>Luiz Fernando</v>
      </c>
      <c r="M11" s="22">
        <f>COUNTIF(Escalacao!G:G,Cartoes!K11)</f>
        <v>2</v>
      </c>
      <c r="N11" s="22" t="str">
        <f>VLOOKUP(A11,Escalacao!A:R,18,0)</f>
        <v>12.01.2025 - Moto Club - MA x Maranhão - MA</v>
      </c>
    </row>
    <row r="12" spans="1:14" ht="13.8" customHeight="1">
      <c r="A12" s="7">
        <v>2</v>
      </c>
      <c r="B12" s="49">
        <v>0</v>
      </c>
      <c r="C12" s="7" t="s">
        <v>297</v>
      </c>
      <c r="D12" s="8">
        <v>5</v>
      </c>
      <c r="E12" s="7" t="s">
        <v>298</v>
      </c>
      <c r="F12" s="14" t="s">
        <v>260</v>
      </c>
      <c r="G12" s="22" t="str">
        <f>VLOOKUP(A12,'JOGOS BASE'!A:F,6,)</f>
        <v>Mayron Frederico dos Reis Novais</v>
      </c>
      <c r="H12" s="14">
        <v>0</v>
      </c>
      <c r="I12" s="14">
        <v>1</v>
      </c>
      <c r="J12" s="22" t="str">
        <f t="shared" si="1"/>
        <v>25Maranhão - MA</v>
      </c>
      <c r="K12" s="22">
        <f>INDEX(Escalacao!G:G,MATCH(Cartoes!J12,Escalacao!Q:Q,0))</f>
        <v>320815</v>
      </c>
      <c r="L12" s="22" t="str">
        <f>VLOOKUP(K12,Escalacao!G:I,3,0)</f>
        <v>Rodrigo Co ...</v>
      </c>
      <c r="M12" s="22">
        <f>COUNTIF(Escalacao!G:G,Cartoes!K12)</f>
        <v>1</v>
      </c>
      <c r="N12" s="22" t="str">
        <f>VLOOKUP(A12,Escalacao!A:R,18,0)</f>
        <v>12.01.2025 - Moto Club - MA x Maranhão - MA</v>
      </c>
    </row>
    <row r="13" spans="1:14" ht="13.8" customHeight="1">
      <c r="A13" s="7">
        <v>2</v>
      </c>
      <c r="B13" s="49">
        <v>0</v>
      </c>
      <c r="C13" s="7" t="s">
        <v>297</v>
      </c>
      <c r="D13" s="8">
        <v>15</v>
      </c>
      <c r="E13" s="7" t="s">
        <v>299</v>
      </c>
      <c r="F13" s="14" t="s">
        <v>260</v>
      </c>
      <c r="G13" s="22" t="str">
        <f>VLOOKUP(A13,'JOGOS BASE'!A:F,6,)</f>
        <v>Mayron Frederico dos Reis Novais</v>
      </c>
      <c r="H13" s="14">
        <v>0</v>
      </c>
      <c r="I13" s="14">
        <v>1</v>
      </c>
      <c r="J13" s="22" t="str">
        <f t="shared" si="1"/>
        <v>215Maranhão - MA</v>
      </c>
      <c r="K13" s="22">
        <f>INDEX(Escalacao!G:G,MATCH(Cartoes!J13,Escalacao!Q:Q,0))</f>
        <v>597056</v>
      </c>
      <c r="L13" s="22" t="str">
        <f>VLOOKUP(K13,Escalacao!G:I,3,0)</f>
        <v>EDSON</v>
      </c>
      <c r="M13" s="22">
        <f>COUNTIF(Escalacao!G:G,Cartoes!K13)</f>
        <v>1</v>
      </c>
      <c r="N13" s="22" t="str">
        <f>VLOOKUP(A13,Escalacao!A:R,18,0)</f>
        <v>12.01.2025 - Moto Club - MA x Maranhão - MA</v>
      </c>
    </row>
    <row r="14" spans="1:14" ht="13.8" customHeight="1">
      <c r="A14" s="7">
        <v>3</v>
      </c>
      <c r="B14" s="7" t="s">
        <v>357</v>
      </c>
      <c r="C14" s="7" t="s">
        <v>141</v>
      </c>
      <c r="D14" s="8">
        <v>6</v>
      </c>
      <c r="E14" s="7" t="s">
        <v>358</v>
      </c>
      <c r="F14" s="14" t="s">
        <v>368</v>
      </c>
      <c r="G14" s="22" t="str">
        <f>VLOOKUP(A14,'JOGOS BASE'!A:F,6,)</f>
        <v>Marcos Vinicius Muniz Teixeira</v>
      </c>
      <c r="H14" s="14">
        <v>1</v>
      </c>
      <c r="I14" s="14">
        <v>0</v>
      </c>
      <c r="J14" s="22" t="str">
        <f t="shared" ref="J14:J20" si="2">A14&amp;D14&amp;F14</f>
        <v>36Pinheiro - MA</v>
      </c>
      <c r="K14" s="22">
        <f>INDEX(Escalacao!G:G,MATCH(Cartoes!J14,Escalacao!Q:Q,0))</f>
        <v>637743</v>
      </c>
      <c r="L14" s="22" t="str">
        <f>VLOOKUP(K14,Escalacao!G:I,3,0)</f>
        <v>Gabriel</v>
      </c>
      <c r="M14" s="22">
        <f>COUNTIF(Escalacao!G:G,Cartoes!K14)</f>
        <v>3</v>
      </c>
      <c r="N14" s="22" t="str">
        <f>VLOOKUP(A14,Escalacao!A:R,18,0)</f>
        <v>12.01.2025 - Pinheiro - MA x Viana - MA</v>
      </c>
    </row>
    <row r="15" spans="1:14" ht="13.8" customHeight="1">
      <c r="A15" s="7">
        <v>3</v>
      </c>
      <c r="B15" s="7" t="s">
        <v>359</v>
      </c>
      <c r="C15" s="7" t="s">
        <v>111</v>
      </c>
      <c r="D15" s="8">
        <v>2</v>
      </c>
      <c r="E15" s="7" t="s">
        <v>360</v>
      </c>
      <c r="F15" s="14" t="s">
        <v>368</v>
      </c>
      <c r="G15" s="22" t="str">
        <f>VLOOKUP(A15,'JOGOS BASE'!A:F,6,)</f>
        <v>Marcos Vinicius Muniz Teixeira</v>
      </c>
      <c r="H15" s="14">
        <v>1</v>
      </c>
      <c r="I15" s="14">
        <v>0</v>
      </c>
      <c r="J15" s="22" t="str">
        <f t="shared" si="2"/>
        <v>32Pinheiro - MA</v>
      </c>
      <c r="K15" s="22">
        <f>INDEX(Escalacao!G:G,MATCH(Cartoes!J15,Escalacao!Q:Q,0))</f>
        <v>748495</v>
      </c>
      <c r="L15" s="22" t="str">
        <f>VLOOKUP(K15,Escalacao!G:I,3,0)</f>
        <v>Italo</v>
      </c>
      <c r="M15" s="22">
        <f>COUNTIF(Escalacao!G:G,Cartoes!K15)</f>
        <v>3</v>
      </c>
      <c r="N15" s="22" t="str">
        <f>VLOOKUP(A15,Escalacao!A:R,18,0)</f>
        <v>12.01.2025 - Pinheiro - MA x Viana - MA</v>
      </c>
    </row>
    <row r="16" spans="1:14" ht="13.8" customHeight="1">
      <c r="A16" s="7">
        <v>3</v>
      </c>
      <c r="B16" s="7" t="s">
        <v>361</v>
      </c>
      <c r="C16" s="7" t="s">
        <v>141</v>
      </c>
      <c r="D16" s="8">
        <v>2</v>
      </c>
      <c r="E16" s="7" t="s">
        <v>338</v>
      </c>
      <c r="F16" s="14" t="s">
        <v>381</v>
      </c>
      <c r="G16" s="22" t="str">
        <f>VLOOKUP(A16,'JOGOS BASE'!A:F,6,)</f>
        <v>Marcos Vinicius Muniz Teixeira</v>
      </c>
      <c r="H16" s="14">
        <v>1</v>
      </c>
      <c r="I16" s="14">
        <v>0</v>
      </c>
      <c r="J16" s="22" t="str">
        <f t="shared" si="2"/>
        <v>32Viana - MA</v>
      </c>
      <c r="K16" s="22">
        <f>INDEX(Escalacao!G:G,MATCH(Cartoes!J16,Escalacao!Q:Q,0))</f>
        <v>754354</v>
      </c>
      <c r="L16" s="22" t="str">
        <f>VLOOKUP(K16,Escalacao!G:I,3,0)</f>
        <v>ARTHUR CAR</v>
      </c>
      <c r="M16" s="22">
        <f>COUNTIF(Escalacao!G:G,Cartoes!K16)</f>
        <v>1</v>
      </c>
      <c r="N16" s="22" t="str">
        <f>VLOOKUP(A16,Escalacao!A:R,18,0)</f>
        <v>12.01.2025 - Pinheiro - MA x Viana - MA</v>
      </c>
    </row>
    <row r="17" spans="1:14" ht="13.8" customHeight="1">
      <c r="A17" s="7">
        <v>3</v>
      </c>
      <c r="B17" s="7" t="s">
        <v>362</v>
      </c>
      <c r="C17" s="7" t="s">
        <v>111</v>
      </c>
      <c r="D17" s="8">
        <v>4</v>
      </c>
      <c r="E17" s="7" t="s">
        <v>363</v>
      </c>
      <c r="F17" s="14" t="s">
        <v>381</v>
      </c>
      <c r="G17" s="22" t="str">
        <f>VLOOKUP(A17,'JOGOS BASE'!A:F,6,)</f>
        <v>Marcos Vinicius Muniz Teixeira</v>
      </c>
      <c r="H17" s="14">
        <v>1</v>
      </c>
      <c r="I17" s="14">
        <v>0</v>
      </c>
      <c r="J17" s="22" t="str">
        <f t="shared" si="2"/>
        <v>34Viana - MA</v>
      </c>
      <c r="K17" s="22">
        <f>INDEX(Escalacao!G:G,MATCH(Cartoes!J17,Escalacao!Q:Q,0))</f>
        <v>622807</v>
      </c>
      <c r="L17" s="22" t="str">
        <f>VLOOKUP(K17,Escalacao!G:I,3,0)</f>
        <v>LUIZ HENRIQ</v>
      </c>
      <c r="M17" s="22">
        <f>COUNTIF(Escalacao!G:G,Cartoes!K17)</f>
        <v>1</v>
      </c>
      <c r="N17" s="22" t="str">
        <f>VLOOKUP(A17,Escalacao!A:R,18,0)</f>
        <v>12.01.2025 - Pinheiro - MA x Viana - MA</v>
      </c>
    </row>
    <row r="18" spans="1:14" ht="13.8" customHeight="1">
      <c r="A18" s="7">
        <v>3</v>
      </c>
      <c r="B18" s="7" t="s">
        <v>364</v>
      </c>
      <c r="C18" s="7" t="s">
        <v>111</v>
      </c>
      <c r="D18" s="8">
        <v>13</v>
      </c>
      <c r="E18" s="7" t="s">
        <v>365</v>
      </c>
      <c r="F18" s="14" t="s">
        <v>381</v>
      </c>
      <c r="G18" s="22" t="str">
        <f>VLOOKUP(A18,'JOGOS BASE'!A:F,6,)</f>
        <v>Marcos Vinicius Muniz Teixeira</v>
      </c>
      <c r="H18" s="14">
        <v>1</v>
      </c>
      <c r="I18" s="14">
        <v>0</v>
      </c>
      <c r="J18" s="22" t="str">
        <f t="shared" si="2"/>
        <v>313Viana - MA</v>
      </c>
      <c r="K18" s="22">
        <f>INDEX(Escalacao!G:G,MATCH(Cartoes!J18,Escalacao!Q:Q,0))</f>
        <v>683760</v>
      </c>
      <c r="L18" s="22" t="str">
        <f>VLOOKUP(K18,Escalacao!G:I,3,0)</f>
        <v>PAULO</v>
      </c>
      <c r="M18" s="22">
        <f>COUNTIF(Escalacao!G:G,Cartoes!K18)</f>
        <v>2</v>
      </c>
      <c r="N18" s="22" t="str">
        <f>VLOOKUP(A18,Escalacao!A:R,18,0)</f>
        <v>12.01.2025 - Pinheiro - MA x Viana - MA</v>
      </c>
    </row>
    <row r="19" spans="1:14" ht="13.8" customHeight="1">
      <c r="A19" s="7">
        <v>3</v>
      </c>
      <c r="B19" s="7" t="s">
        <v>159</v>
      </c>
      <c r="C19" s="7" t="s">
        <v>141</v>
      </c>
      <c r="D19" s="8">
        <v>6</v>
      </c>
      <c r="E19" s="7" t="s">
        <v>366</v>
      </c>
      <c r="F19" s="14" t="s">
        <v>381</v>
      </c>
      <c r="G19" s="22" t="str">
        <f>VLOOKUP(A19,'JOGOS BASE'!A:F,6,)</f>
        <v>Marcos Vinicius Muniz Teixeira</v>
      </c>
      <c r="H19" s="14">
        <v>1</v>
      </c>
      <c r="I19" s="14">
        <v>0</v>
      </c>
      <c r="J19" s="22" t="str">
        <f t="shared" si="2"/>
        <v>36Viana - MA</v>
      </c>
      <c r="K19" s="22">
        <f>INDEX(Escalacao!G:G,MATCH(Cartoes!J19,Escalacao!Q:Q,0))</f>
        <v>621098</v>
      </c>
      <c r="L19" s="22" t="str">
        <f>VLOOKUP(K19,Escalacao!G:I,3,0)</f>
        <v>Leleu</v>
      </c>
      <c r="M19" s="22">
        <f>COUNTIF(Escalacao!G:G,Cartoes!K19)</f>
        <v>2</v>
      </c>
      <c r="N19" s="22" t="str">
        <f>VLOOKUP(A19,Escalacao!A:R,18,0)</f>
        <v>12.01.2025 - Pinheiro - MA x Viana - MA</v>
      </c>
    </row>
    <row r="20" spans="1:14" ht="13.8" customHeight="1">
      <c r="A20" s="7">
        <v>4</v>
      </c>
      <c r="B20" s="7" t="s">
        <v>396</v>
      </c>
      <c r="C20" s="7" t="s">
        <v>111</v>
      </c>
      <c r="D20" s="8">
        <v>3</v>
      </c>
      <c r="E20" s="7" t="s">
        <v>397</v>
      </c>
      <c r="F20" s="14" t="s">
        <v>368</v>
      </c>
      <c r="G20" s="22" t="str">
        <f>VLOOKUP(A20,'JOGOS BASE'!A:F,6,)</f>
        <v>Maykon Matos Nunes</v>
      </c>
      <c r="H20" s="14">
        <v>1</v>
      </c>
      <c r="I20" s="14">
        <v>0</v>
      </c>
      <c r="J20" s="22" t="str">
        <f t="shared" si="2"/>
        <v>43Pinheiro - MA</v>
      </c>
      <c r="K20" s="22">
        <f>INDEX(Escalacao!G:G,MATCH(Cartoes!J20,Escalacao!Q:Q,0))</f>
        <v>619339</v>
      </c>
      <c r="L20" s="22" t="str">
        <f>VLOOKUP(K20,Escalacao!G:I,3,0)</f>
        <v>Henrique</v>
      </c>
      <c r="M20" s="22">
        <f>COUNTIF(Escalacao!G:G,Cartoes!K20)</f>
        <v>3</v>
      </c>
      <c r="N20" s="22" t="str">
        <f>VLOOKUP(A20,Escalacao!A:R,18,0)</f>
        <v>15.01.2025 - Pinheiro - MA x Maranhão - MA</v>
      </c>
    </row>
    <row r="21" spans="1:14" ht="13.8" customHeight="1">
      <c r="A21" s="7">
        <v>4</v>
      </c>
      <c r="B21" s="7" t="s">
        <v>155</v>
      </c>
      <c r="C21" s="7" t="s">
        <v>111</v>
      </c>
      <c r="D21" s="8">
        <v>6</v>
      </c>
      <c r="E21" s="7" t="s">
        <v>358</v>
      </c>
      <c r="F21" s="14" t="s">
        <v>368</v>
      </c>
      <c r="G21" s="22" t="str">
        <f>VLOOKUP(A21,'JOGOS BASE'!A:F,6,)</f>
        <v>Maykon Matos Nunes</v>
      </c>
      <c r="H21" s="14">
        <v>1</v>
      </c>
      <c r="I21" s="14">
        <v>0</v>
      </c>
      <c r="J21" s="22" t="str">
        <f t="shared" ref="J21:J27" si="3">A21&amp;D21&amp;F21</f>
        <v>46Pinheiro - MA</v>
      </c>
      <c r="K21" s="22">
        <f>INDEX(Escalacao!G:G,MATCH(Cartoes!J21,Escalacao!Q:Q,0))</f>
        <v>637743</v>
      </c>
      <c r="L21" s="22" t="str">
        <f>VLOOKUP(K21,Escalacao!G:I,3,0)</f>
        <v>Gabriel</v>
      </c>
      <c r="M21" s="22">
        <f>COUNTIF(Escalacao!G:G,Cartoes!K21)</f>
        <v>3</v>
      </c>
      <c r="N21" s="22" t="str">
        <f>VLOOKUP(A21,Escalacao!A:R,18,0)</f>
        <v>15.01.2025 - Pinheiro - MA x Maranhão - MA</v>
      </c>
    </row>
    <row r="22" spans="1:14" ht="13.8" customHeight="1">
      <c r="A22" s="7">
        <v>4</v>
      </c>
      <c r="B22" s="7" t="s">
        <v>357</v>
      </c>
      <c r="C22" s="7" t="s">
        <v>111</v>
      </c>
      <c r="D22" s="8">
        <v>10</v>
      </c>
      <c r="E22" s="7" t="s">
        <v>319</v>
      </c>
      <c r="F22" s="14" t="s">
        <v>368</v>
      </c>
      <c r="G22" s="22" t="str">
        <f>VLOOKUP(A22,'JOGOS BASE'!A:F,6,)</f>
        <v>Maykon Matos Nunes</v>
      </c>
      <c r="H22" s="14">
        <v>1</v>
      </c>
      <c r="I22" s="14">
        <v>0</v>
      </c>
      <c r="J22" s="22" t="str">
        <f t="shared" si="3"/>
        <v>410Pinheiro - MA</v>
      </c>
      <c r="K22" s="22">
        <f>INDEX(Escalacao!G:G,MATCH(Cartoes!J22,Escalacao!Q:Q,0))</f>
        <v>554277</v>
      </c>
      <c r="L22" s="22" t="str">
        <f>VLOOKUP(K22,Escalacao!G:I,3,0)</f>
        <v>Neto</v>
      </c>
      <c r="M22" s="22">
        <f>COUNTIF(Escalacao!G:G,Cartoes!K22)</f>
        <v>3</v>
      </c>
      <c r="N22" s="22" t="str">
        <f>VLOOKUP(A22,Escalacao!A:R,18,0)</f>
        <v>15.01.2025 - Pinheiro - MA x Maranhão - MA</v>
      </c>
    </row>
    <row r="23" spans="1:14" ht="13.8" customHeight="1">
      <c r="A23" s="7">
        <v>4</v>
      </c>
      <c r="B23" s="7" t="s">
        <v>398</v>
      </c>
      <c r="C23" s="7" t="s">
        <v>111</v>
      </c>
      <c r="D23" s="8">
        <v>18</v>
      </c>
      <c r="E23" s="7" t="s">
        <v>399</v>
      </c>
      <c r="F23" s="14" t="s">
        <v>368</v>
      </c>
      <c r="G23" s="22" t="str">
        <f>VLOOKUP(A23,'JOGOS BASE'!A:F,6,)</f>
        <v>Maykon Matos Nunes</v>
      </c>
      <c r="H23" s="14">
        <v>1</v>
      </c>
      <c r="I23" s="14">
        <v>0</v>
      </c>
      <c r="J23" s="22" t="str">
        <f t="shared" si="3"/>
        <v>418Pinheiro - MA</v>
      </c>
      <c r="K23" s="22">
        <f>INDEX(Escalacao!G:G,MATCH(Cartoes!J23,Escalacao!Q:Q,0))</f>
        <v>710709</v>
      </c>
      <c r="L23" s="22" t="str">
        <f>VLOOKUP(K23,Escalacao!G:I,3,0)</f>
        <v>BASTICO</v>
      </c>
      <c r="M23" s="22">
        <f>COUNTIF(Escalacao!G:G,Cartoes!K23)</f>
        <v>3</v>
      </c>
      <c r="N23" s="22" t="str">
        <f>VLOOKUP(A23,Escalacao!A:R,18,0)</f>
        <v>15.01.2025 - Pinheiro - MA x Maranhão - MA</v>
      </c>
    </row>
    <row r="24" spans="1:14" ht="13.8" customHeight="1">
      <c r="A24" s="7">
        <v>4</v>
      </c>
      <c r="B24" s="7" t="s">
        <v>371</v>
      </c>
      <c r="C24" s="7" t="s">
        <v>111</v>
      </c>
      <c r="D24" s="8">
        <v>1</v>
      </c>
      <c r="E24" s="7" t="s">
        <v>302</v>
      </c>
      <c r="F24" s="14" t="s">
        <v>368</v>
      </c>
      <c r="G24" s="22" t="str">
        <f>VLOOKUP(A24,'JOGOS BASE'!A:F,6,)</f>
        <v>Maykon Matos Nunes</v>
      </c>
      <c r="H24" s="14">
        <v>1</v>
      </c>
      <c r="I24" s="14">
        <v>0</v>
      </c>
      <c r="J24" s="22" t="str">
        <f t="shared" si="3"/>
        <v>41Pinheiro - MA</v>
      </c>
      <c r="K24" s="22">
        <f>INDEX(Escalacao!G:G,MATCH(Cartoes!J24,Escalacao!Q:Q,0))</f>
        <v>530809</v>
      </c>
      <c r="L24" s="22" t="str">
        <f>VLOOKUP(K24,Escalacao!G:I,3,0)</f>
        <v>Mateus</v>
      </c>
      <c r="M24" s="22">
        <f>COUNTIF(Escalacao!G:G,Cartoes!K24)</f>
        <v>3</v>
      </c>
      <c r="N24" s="22" t="str">
        <f>VLOOKUP(A24,Escalacao!A:R,18,0)</f>
        <v>15.01.2025 - Pinheiro - MA x Maranhão - MA</v>
      </c>
    </row>
    <row r="25" spans="1:14" ht="13.8" customHeight="1">
      <c r="A25" s="7">
        <v>4</v>
      </c>
      <c r="B25" s="7" t="s">
        <v>371</v>
      </c>
      <c r="C25" s="7" t="s">
        <v>141</v>
      </c>
      <c r="D25" s="8">
        <v>20</v>
      </c>
      <c r="E25" s="7" t="s">
        <v>400</v>
      </c>
      <c r="F25" s="14" t="s">
        <v>260</v>
      </c>
      <c r="G25" s="22" t="str">
        <f>VLOOKUP(A25,'JOGOS BASE'!A:F,6,)</f>
        <v>Maykon Matos Nunes</v>
      </c>
      <c r="H25" s="14">
        <v>1</v>
      </c>
      <c r="I25" s="14">
        <v>0</v>
      </c>
      <c r="J25" s="22" t="str">
        <f t="shared" si="3"/>
        <v>420Maranhão - MA</v>
      </c>
      <c r="K25" s="22">
        <f>INDEX(Escalacao!G:G,MATCH(Cartoes!J25,Escalacao!Q:Q,0))</f>
        <v>557892</v>
      </c>
      <c r="L25" s="22" t="str">
        <f>VLOOKUP(K25,Escalacao!G:I,3,0)</f>
        <v>Mikeias</v>
      </c>
      <c r="M25" s="22">
        <f>COUNTIF(Escalacao!G:G,Cartoes!K25)</f>
        <v>2</v>
      </c>
      <c r="N25" s="22" t="str">
        <f>VLOOKUP(A25,Escalacao!A:R,18,0)</f>
        <v>15.01.2025 - Pinheiro - MA x Maranhão - MA</v>
      </c>
    </row>
    <row r="26" spans="1:14" ht="13.8" customHeight="1">
      <c r="A26" s="7">
        <v>4</v>
      </c>
      <c r="B26" s="7" t="s">
        <v>396</v>
      </c>
      <c r="C26" s="7" t="s">
        <v>111</v>
      </c>
      <c r="D26" s="8">
        <v>10</v>
      </c>
      <c r="E26" s="7" t="s">
        <v>401</v>
      </c>
      <c r="F26" s="14" t="s">
        <v>260</v>
      </c>
      <c r="G26" s="22" t="str">
        <f>VLOOKUP(A26,'JOGOS BASE'!A:F,6,)</f>
        <v>Maykon Matos Nunes</v>
      </c>
      <c r="H26" s="14">
        <v>1</v>
      </c>
      <c r="I26" s="14">
        <v>0</v>
      </c>
      <c r="J26" s="22" t="str">
        <f t="shared" si="3"/>
        <v>410Maranhão - MA</v>
      </c>
      <c r="K26" s="22">
        <f>INDEX(Escalacao!G:G,MATCH(Cartoes!J26,Escalacao!Q:Q,0))</f>
        <v>543877</v>
      </c>
      <c r="L26" s="22" t="str">
        <f>VLOOKUP(K26,Escalacao!G:I,3,0)</f>
        <v>Emerson Fr ...</v>
      </c>
      <c r="M26" s="22">
        <f>COUNTIF(Escalacao!G:G,Cartoes!K26)</f>
        <v>2</v>
      </c>
      <c r="N26" s="22" t="str">
        <f>VLOOKUP(A26,Escalacao!A:R,18,0)</f>
        <v>15.01.2025 - Pinheiro - MA x Maranhão - MA</v>
      </c>
    </row>
    <row r="27" spans="1:14" ht="13.8" customHeight="1">
      <c r="A27" s="7">
        <v>4</v>
      </c>
      <c r="B27" s="7" t="s">
        <v>402</v>
      </c>
      <c r="C27" s="7" t="s">
        <v>111</v>
      </c>
      <c r="D27" s="8">
        <v>22</v>
      </c>
      <c r="E27" s="7" t="s">
        <v>403</v>
      </c>
      <c r="F27" s="14" t="s">
        <v>260</v>
      </c>
      <c r="G27" s="22" t="str">
        <f>VLOOKUP(A27,'JOGOS BASE'!A:F,6,)</f>
        <v>Maykon Matos Nunes</v>
      </c>
      <c r="H27" s="14">
        <v>1</v>
      </c>
      <c r="I27" s="14">
        <v>0</v>
      </c>
      <c r="J27" s="22" t="str">
        <f t="shared" si="3"/>
        <v>422Maranhão - MA</v>
      </c>
      <c r="K27" s="22">
        <f>INDEX(Escalacao!G:G,MATCH(Cartoes!J27,Escalacao!Q:Q,0))</f>
        <v>393714</v>
      </c>
      <c r="L27" s="22" t="str">
        <f>VLOOKUP(K27,Escalacao!G:I,3,0)</f>
        <v>Jerry</v>
      </c>
      <c r="M27" s="22">
        <f>COUNTIF(Escalacao!G:G,Cartoes!K27)</f>
        <v>2</v>
      </c>
      <c r="N27" s="22" t="str">
        <f>VLOOKUP(A27,Escalacao!A:R,18,0)</f>
        <v>15.01.2025 - Pinheiro - MA x Maranhão - MA</v>
      </c>
    </row>
    <row r="28" spans="1:14" ht="13.8" customHeight="1">
      <c r="A28" s="7">
        <v>5</v>
      </c>
      <c r="B28" s="7" t="s">
        <v>281</v>
      </c>
      <c r="C28" s="7" t="s">
        <v>141</v>
      </c>
      <c r="D28" s="8">
        <v>4</v>
      </c>
      <c r="E28" s="7" t="s">
        <v>437</v>
      </c>
      <c r="F28" s="14" t="s">
        <v>412</v>
      </c>
      <c r="G28" s="22" t="str">
        <f>VLOOKUP(A28,'JOGOS BASE'!A:F,6,)</f>
        <v>Jose Henrique de Azevedo Junior</v>
      </c>
      <c r="H28" s="14">
        <v>1</v>
      </c>
      <c r="I28" s="14">
        <v>0</v>
      </c>
      <c r="J28" s="22" t="str">
        <f t="shared" ref="J28:J31" si="4">A28&amp;D28&amp;F28</f>
        <v>54Iape - MA</v>
      </c>
      <c r="K28" s="22">
        <f>INDEX(Escalacao!G:G,MATCH(Cartoes!J28,Escalacao!Q:Q,0))</f>
        <v>450022</v>
      </c>
      <c r="L28" s="22" t="str">
        <f>VLOOKUP(K28,Escalacao!G:I,3,0)</f>
        <v>Denilson</v>
      </c>
      <c r="M28" s="22">
        <f>COUNTIF(Escalacao!G:G,Cartoes!K28)</f>
        <v>1</v>
      </c>
      <c r="N28" s="22" t="str">
        <f>VLOOKUP(A28,Escalacao!A:R,18,0)</f>
        <v>15.01.2025 - IAPE - MA x Sampaio Corrêa - MA</v>
      </c>
    </row>
    <row r="29" spans="1:14" ht="13.8" customHeight="1">
      <c r="A29" s="7">
        <v>5</v>
      </c>
      <c r="B29" s="7" t="s">
        <v>484</v>
      </c>
      <c r="C29" s="7" t="s">
        <v>111</v>
      </c>
      <c r="D29" s="8">
        <v>16</v>
      </c>
      <c r="E29" s="7" t="s">
        <v>451</v>
      </c>
      <c r="F29" s="14" t="s">
        <v>412</v>
      </c>
      <c r="G29" s="22" t="str">
        <f>VLOOKUP(A29,'JOGOS BASE'!A:F,6,)</f>
        <v>Jose Henrique de Azevedo Junior</v>
      </c>
      <c r="H29" s="14">
        <v>1</v>
      </c>
      <c r="I29" s="14">
        <v>0</v>
      </c>
      <c r="J29" s="22" t="str">
        <f t="shared" si="4"/>
        <v>516Iape - MA</v>
      </c>
      <c r="K29" s="22">
        <f>INDEX(Escalacao!G:G,MATCH(Cartoes!J29,Escalacao!Q:Q,0))</f>
        <v>419381</v>
      </c>
      <c r="L29" s="22" t="str">
        <f>VLOOKUP(K29,Escalacao!G:I,3,0)</f>
        <v>Guilherme</v>
      </c>
      <c r="M29" s="22">
        <f>COUNTIF(Escalacao!G:G,Cartoes!K29)</f>
        <v>1</v>
      </c>
      <c r="N29" s="22" t="str">
        <f>VLOOKUP(A29,Escalacao!A:R,18,0)</f>
        <v>15.01.2025 - IAPE - MA x Sampaio Corrêa - MA</v>
      </c>
    </row>
    <row r="30" spans="1:14" ht="13.8" customHeight="1">
      <c r="A30" s="7">
        <v>5</v>
      </c>
      <c r="B30" s="7" t="s">
        <v>398</v>
      </c>
      <c r="C30" s="7" t="s">
        <v>111</v>
      </c>
      <c r="D30" s="8">
        <v>22</v>
      </c>
      <c r="E30" s="7" t="s">
        <v>485</v>
      </c>
      <c r="F30" s="14" t="s">
        <v>412</v>
      </c>
      <c r="G30" s="22" t="str">
        <f>VLOOKUP(A30,'JOGOS BASE'!A:F,6,)</f>
        <v>Jose Henrique de Azevedo Junior</v>
      </c>
      <c r="H30" s="14">
        <v>1</v>
      </c>
      <c r="I30" s="14">
        <v>0</v>
      </c>
      <c r="J30" s="22" t="str">
        <f t="shared" si="4"/>
        <v>522Iape - MA</v>
      </c>
      <c r="K30" s="22">
        <f>INDEX(Escalacao!G:G,MATCH(Cartoes!J30,Escalacao!Q:Q,0))</f>
        <v>533063</v>
      </c>
      <c r="L30" s="22" t="str">
        <f>VLOOKUP(K30,Escalacao!G:I,3,0)</f>
        <v>Paulo Victor</v>
      </c>
      <c r="M30" s="22">
        <f>COUNTIF(Escalacao!G:G,Cartoes!K30)</f>
        <v>1</v>
      </c>
      <c r="N30" s="22" t="str">
        <f>VLOOKUP(A30,Escalacao!A:R,18,0)</f>
        <v>15.01.2025 - IAPE - MA x Sampaio Corrêa - MA</v>
      </c>
    </row>
    <row r="31" spans="1:14" ht="13.8" customHeight="1">
      <c r="A31" s="7">
        <v>5</v>
      </c>
      <c r="B31" s="7" t="s">
        <v>119</v>
      </c>
      <c r="C31" s="7" t="s">
        <v>111</v>
      </c>
      <c r="D31" s="8">
        <v>15</v>
      </c>
      <c r="E31" s="7" t="s">
        <v>85</v>
      </c>
      <c r="F31" s="14" t="s">
        <v>122</v>
      </c>
      <c r="G31" s="22" t="str">
        <f>VLOOKUP(A31,'JOGOS BASE'!A:F,6,)</f>
        <v>Jose Henrique de Azevedo Junior</v>
      </c>
      <c r="H31" s="14">
        <v>1</v>
      </c>
      <c r="I31" s="14">
        <v>0</v>
      </c>
      <c r="J31" s="22" t="str">
        <f t="shared" si="4"/>
        <v>515Sampaio Corrêa - MA</v>
      </c>
      <c r="K31" s="22">
        <f>INDEX(Escalacao!G:G,MATCH(Cartoes!J31,Escalacao!Q:Q,0))</f>
        <v>523681</v>
      </c>
      <c r="L31" s="22" t="str">
        <f>VLOOKUP(K31,Escalacao!G:I,3,0)</f>
        <v>Jairzinho</v>
      </c>
      <c r="M31" s="22">
        <f>COUNTIF(Escalacao!G:G,Cartoes!K31)</f>
        <v>3</v>
      </c>
      <c r="N31" s="22" t="str">
        <f>VLOOKUP(A31,Escalacao!A:R,18,0)</f>
        <v>15.01.2025 - IAPE - MA x Sampaio Corrêa - MA</v>
      </c>
    </row>
    <row r="32" spans="1:14" ht="13.8" customHeight="1">
      <c r="A32" s="7">
        <v>6</v>
      </c>
      <c r="B32" s="7" t="s">
        <v>131</v>
      </c>
      <c r="C32" s="7" t="s">
        <v>141</v>
      </c>
      <c r="D32" s="8">
        <v>9</v>
      </c>
      <c r="E32" s="7" t="s">
        <v>503</v>
      </c>
      <c r="F32" s="14" t="s">
        <v>388</v>
      </c>
      <c r="G32" s="22" t="str">
        <f>VLOOKUP(A32,'JOGOS BASE'!A:F,6,)</f>
        <v>Roberto Santos As</v>
      </c>
      <c r="H32" s="14">
        <v>1</v>
      </c>
      <c r="I32" s="14">
        <v>0</v>
      </c>
      <c r="J32" s="22" t="str">
        <f t="shared" ref="J32:J42" si="5">A32&amp;D32&amp;F32</f>
        <v>69Tuntum - MA</v>
      </c>
      <c r="K32" s="22">
        <f>INDEX(Escalacao!G:G,MATCH(Cartoes!J32,Escalacao!Q:Q,0))</f>
        <v>546835</v>
      </c>
      <c r="L32" s="22" t="str">
        <f>VLOOKUP(K32,Escalacao!G:I,3,0)</f>
        <v>Nycollas</v>
      </c>
      <c r="M32" s="22">
        <f>COUNTIF(Escalacao!G:G,Cartoes!K32)</f>
        <v>1</v>
      </c>
      <c r="N32" s="22" t="str">
        <f>VLOOKUP(A32,Escalacao!A:R,18,0)</f>
        <v>15.01.2025 - Tuntum - MA x Imperatriz - MA</v>
      </c>
    </row>
    <row r="33" spans="1:14" ht="13.8" customHeight="1">
      <c r="A33" s="7">
        <v>6</v>
      </c>
      <c r="B33" s="7" t="s">
        <v>504</v>
      </c>
      <c r="C33" s="7" t="s">
        <v>141</v>
      </c>
      <c r="D33" s="8">
        <v>10</v>
      </c>
      <c r="E33" s="7" t="s">
        <v>505</v>
      </c>
      <c r="F33" s="14" t="s">
        <v>388</v>
      </c>
      <c r="G33" s="22" t="str">
        <f>VLOOKUP(A33,'JOGOS BASE'!A:F,6,)</f>
        <v>Roberto Santos As</v>
      </c>
      <c r="H33" s="14">
        <v>1</v>
      </c>
      <c r="I33" s="14">
        <v>0</v>
      </c>
      <c r="J33" s="22" t="str">
        <f t="shared" si="5"/>
        <v>610Tuntum - MA</v>
      </c>
      <c r="K33" s="22">
        <f>INDEX(Escalacao!G:G,MATCH(Cartoes!J33,Escalacao!Q:Q,0))</f>
        <v>591346</v>
      </c>
      <c r="L33" s="22" t="str">
        <f>VLOOKUP(K33,Escalacao!G:I,3,0)</f>
        <v>Cassio</v>
      </c>
      <c r="M33" s="22">
        <f>COUNTIF(Escalacao!G:G,Cartoes!K33)</f>
        <v>1</v>
      </c>
      <c r="N33" s="22" t="str">
        <f>VLOOKUP(A33,Escalacao!A:R,18,0)</f>
        <v>15.01.2025 - Tuntum - MA x Imperatriz - MA</v>
      </c>
    </row>
    <row r="34" spans="1:14" ht="13.8" customHeight="1">
      <c r="A34" s="7">
        <v>6</v>
      </c>
      <c r="B34" s="7" t="s">
        <v>506</v>
      </c>
      <c r="C34" s="7" t="s">
        <v>111</v>
      </c>
      <c r="D34" s="8">
        <v>6</v>
      </c>
      <c r="E34" s="7" t="s">
        <v>507</v>
      </c>
      <c r="F34" s="14" t="s">
        <v>388</v>
      </c>
      <c r="G34" s="22" t="str">
        <f>VLOOKUP(A34,'JOGOS BASE'!A:F,6,)</f>
        <v>Roberto Santos As</v>
      </c>
      <c r="H34" s="14">
        <v>1</v>
      </c>
      <c r="I34" s="14">
        <v>0</v>
      </c>
      <c r="J34" s="22" t="str">
        <f t="shared" si="5"/>
        <v>66Tuntum - MA</v>
      </c>
      <c r="K34" s="22">
        <f>INDEX(Escalacao!G:G,MATCH(Cartoes!J34,Escalacao!Q:Q,0))</f>
        <v>671796</v>
      </c>
      <c r="L34" s="22" t="str">
        <f>VLOOKUP(K34,Escalacao!G:I,3,0)</f>
        <v>Matheus Lima</v>
      </c>
      <c r="M34" s="22">
        <f>COUNTIF(Escalacao!G:G,Cartoes!K34)</f>
        <v>1</v>
      </c>
      <c r="N34" s="22" t="str">
        <f>VLOOKUP(A34,Escalacao!A:R,18,0)</f>
        <v>15.01.2025 - Tuntum - MA x Imperatriz - MA</v>
      </c>
    </row>
    <row r="35" spans="1:14" ht="13.8" customHeight="1">
      <c r="A35" s="7">
        <v>6</v>
      </c>
      <c r="B35" s="7" t="s">
        <v>398</v>
      </c>
      <c r="C35" s="7" t="s">
        <v>111</v>
      </c>
      <c r="D35" s="8">
        <v>4</v>
      </c>
      <c r="E35" s="7" t="s">
        <v>508</v>
      </c>
      <c r="F35" s="14" t="s">
        <v>388</v>
      </c>
      <c r="G35" s="22" t="str">
        <f>VLOOKUP(A35,'JOGOS BASE'!A:F,6,)</f>
        <v>Roberto Santos As</v>
      </c>
      <c r="H35" s="14">
        <v>1</v>
      </c>
      <c r="I35" s="14">
        <v>0</v>
      </c>
      <c r="J35" s="22" t="str">
        <f t="shared" si="5"/>
        <v>64Tuntum - MA</v>
      </c>
      <c r="K35" s="22">
        <f>INDEX(Escalacao!G:G,MATCH(Cartoes!J35,Escalacao!Q:Q,0))</f>
        <v>175123</v>
      </c>
      <c r="L35" s="22" t="str">
        <f>VLOOKUP(K35,Escalacao!G:I,3,0)</f>
        <v>Robinho</v>
      </c>
      <c r="M35" s="22">
        <f>COUNTIF(Escalacao!G:G,Cartoes!K35)</f>
        <v>1</v>
      </c>
      <c r="N35" s="22" t="str">
        <f>VLOOKUP(A35,Escalacao!A:R,18,0)</f>
        <v>15.01.2025 - Tuntum - MA x Imperatriz - MA</v>
      </c>
    </row>
    <row r="36" spans="1:14" ht="13.8" customHeight="1">
      <c r="A36" s="7">
        <v>6</v>
      </c>
      <c r="B36" s="7" t="s">
        <v>371</v>
      </c>
      <c r="C36" s="7" t="s">
        <v>141</v>
      </c>
      <c r="D36" s="8">
        <v>2</v>
      </c>
      <c r="E36" s="7" t="s">
        <v>509</v>
      </c>
      <c r="F36" s="14" t="s">
        <v>107</v>
      </c>
      <c r="G36" s="22" t="str">
        <f>VLOOKUP(A36,'JOGOS BASE'!A:F,6,)</f>
        <v>Roberto Santos As</v>
      </c>
      <c r="H36" s="14">
        <v>1</v>
      </c>
      <c r="I36" s="14">
        <v>0</v>
      </c>
      <c r="J36" s="22" t="str">
        <f t="shared" si="5"/>
        <v>62Imperatriz - MA</v>
      </c>
      <c r="K36" s="22">
        <f>INDEX(Escalacao!G:G,MATCH(Cartoes!J36,Escalacao!Q:Q,0))</f>
        <v>191387</v>
      </c>
      <c r="L36" s="22" t="str">
        <f>VLOOKUP(K36,Escalacao!G:I,3,0)</f>
        <v>Ceara</v>
      </c>
      <c r="M36" s="22">
        <f>COUNTIF(Escalacao!G:G,Cartoes!K36)</f>
        <v>1</v>
      </c>
      <c r="N36" s="22" t="str">
        <f>VLOOKUP(A36,Escalacao!A:R,18,0)</f>
        <v>15.01.2025 - Tuntum - MA x Imperatriz - MA</v>
      </c>
    </row>
    <row r="37" spans="1:14" ht="13.8" customHeight="1">
      <c r="A37" s="7">
        <v>6</v>
      </c>
      <c r="B37" s="7" t="s">
        <v>131</v>
      </c>
      <c r="C37" s="7" t="s">
        <v>141</v>
      </c>
      <c r="D37" s="8">
        <v>3</v>
      </c>
      <c r="E37" s="7" t="s">
        <v>510</v>
      </c>
      <c r="F37" s="14" t="s">
        <v>107</v>
      </c>
      <c r="G37" s="22" t="str">
        <f>VLOOKUP(A37,'JOGOS BASE'!A:F,6,)</f>
        <v>Roberto Santos As</v>
      </c>
      <c r="H37" s="14">
        <v>1</v>
      </c>
      <c r="I37" s="14">
        <v>0</v>
      </c>
      <c r="J37" s="22" t="str">
        <f t="shared" si="5"/>
        <v>63Imperatriz - MA</v>
      </c>
      <c r="K37" s="22">
        <f>INDEX(Escalacao!G:G,MATCH(Cartoes!J37,Escalacao!Q:Q,0))</f>
        <v>393115</v>
      </c>
      <c r="L37" s="22" t="str">
        <f>VLOOKUP(K37,Escalacao!G:I,3,0)</f>
        <v>Andre Penalva</v>
      </c>
      <c r="M37" s="22">
        <f>COUNTIF(Escalacao!G:G,Cartoes!K37)</f>
        <v>3</v>
      </c>
      <c r="N37" s="22" t="str">
        <f>VLOOKUP(A37,Escalacao!A:R,18,0)</f>
        <v>15.01.2025 - Tuntum - MA x Imperatriz - MA</v>
      </c>
    </row>
    <row r="38" spans="1:14" ht="13.8" customHeight="1">
      <c r="A38" s="7">
        <v>6</v>
      </c>
      <c r="B38" s="7" t="s">
        <v>511</v>
      </c>
      <c r="C38" s="7" t="s">
        <v>111</v>
      </c>
      <c r="D38" s="8">
        <v>10</v>
      </c>
      <c r="E38" s="7" t="s">
        <v>512</v>
      </c>
      <c r="F38" s="14" t="s">
        <v>107</v>
      </c>
      <c r="G38" s="22" t="str">
        <f>VLOOKUP(A38,'JOGOS BASE'!A:F,6,)</f>
        <v>Roberto Santos As</v>
      </c>
      <c r="H38" s="14">
        <v>1</v>
      </c>
      <c r="I38" s="14">
        <v>0</v>
      </c>
      <c r="J38" s="22" t="str">
        <f t="shared" si="5"/>
        <v>610Imperatriz - MA</v>
      </c>
      <c r="K38" s="22">
        <f>INDEX(Escalacao!G:G,MATCH(Cartoes!J38,Escalacao!Q:Q,0))</f>
        <v>293426</v>
      </c>
      <c r="L38" s="22" t="str">
        <f>VLOOKUP(K38,Escalacao!G:I,3,0)</f>
        <v>Henrique S ...</v>
      </c>
      <c r="M38" s="22">
        <f>COUNTIF(Escalacao!G:G,Cartoes!K38)</f>
        <v>3</v>
      </c>
      <c r="N38" s="22" t="str">
        <f>VLOOKUP(A38,Escalacao!A:R,18,0)</f>
        <v>15.01.2025 - Tuntum - MA x Imperatriz - MA</v>
      </c>
    </row>
    <row r="39" spans="1:14" ht="13.8" customHeight="1">
      <c r="A39" s="7">
        <v>6</v>
      </c>
      <c r="B39" s="7" t="s">
        <v>361</v>
      </c>
      <c r="C39" s="7" t="s">
        <v>111</v>
      </c>
      <c r="D39" s="8">
        <v>8</v>
      </c>
      <c r="E39" s="7" t="s">
        <v>513</v>
      </c>
      <c r="F39" s="14" t="s">
        <v>107</v>
      </c>
      <c r="G39" s="22" t="str">
        <f>VLOOKUP(A39,'JOGOS BASE'!A:F,6,)</f>
        <v>Roberto Santos As</v>
      </c>
      <c r="H39" s="14">
        <v>1</v>
      </c>
      <c r="I39" s="14">
        <v>0</v>
      </c>
      <c r="J39" s="22" t="str">
        <f t="shared" si="5"/>
        <v>68Imperatriz - MA</v>
      </c>
      <c r="K39" s="22">
        <f>INDEX(Escalacao!G:G,MATCH(Cartoes!J39,Escalacao!Q:Q,0))</f>
        <v>348355</v>
      </c>
      <c r="L39" s="22" t="str">
        <f>VLOOKUP(K39,Escalacao!G:I,3,0)</f>
        <v>Felipe Macena</v>
      </c>
      <c r="M39" s="22">
        <f>COUNTIF(Escalacao!G:G,Cartoes!K39)</f>
        <v>3</v>
      </c>
      <c r="N39" s="22" t="str">
        <f>VLOOKUP(A39,Escalacao!A:R,18,0)</f>
        <v>15.01.2025 - Tuntum - MA x Imperatriz - MA</v>
      </c>
    </row>
    <row r="40" spans="1:14" ht="13.8" customHeight="1">
      <c r="A40" s="7">
        <v>6</v>
      </c>
      <c r="B40" s="7" t="s">
        <v>514</v>
      </c>
      <c r="C40" s="7" t="s">
        <v>111</v>
      </c>
      <c r="D40" s="8">
        <v>22</v>
      </c>
      <c r="E40" s="7" t="s">
        <v>515</v>
      </c>
      <c r="F40" s="14" t="s">
        <v>107</v>
      </c>
      <c r="G40" s="22" t="str">
        <f>VLOOKUP(A40,'JOGOS BASE'!A:F,6,)</f>
        <v>Roberto Santos As</v>
      </c>
      <c r="H40" s="14">
        <v>1</v>
      </c>
      <c r="I40" s="14">
        <v>0</v>
      </c>
      <c r="J40" s="22" t="str">
        <f t="shared" si="5"/>
        <v>622Imperatriz - MA</v>
      </c>
      <c r="K40" s="22">
        <f>INDEX(Escalacao!G:G,MATCH(Cartoes!J40,Escalacao!Q:Q,0))</f>
        <v>762150</v>
      </c>
      <c r="L40" s="22" t="str">
        <f>VLOOKUP(K40,Escalacao!G:I,3,0)</f>
        <v>Junior</v>
      </c>
      <c r="M40" s="22">
        <f>COUNTIF(Escalacao!G:G,Cartoes!K40)</f>
        <v>3</v>
      </c>
      <c r="N40" s="22" t="str">
        <f>VLOOKUP(A40,Escalacao!A:R,18,0)</f>
        <v>15.01.2025 - Tuntum - MA x Imperatriz - MA</v>
      </c>
    </row>
    <row r="41" spans="1:14" ht="13.8" customHeight="1">
      <c r="A41" s="7">
        <v>6</v>
      </c>
      <c r="B41" s="7" t="s">
        <v>516</v>
      </c>
      <c r="C41" s="7" t="s">
        <v>111</v>
      </c>
      <c r="D41" s="8">
        <v>1</v>
      </c>
      <c r="E41" s="7" t="s">
        <v>517</v>
      </c>
      <c r="F41" s="14" t="s">
        <v>107</v>
      </c>
      <c r="G41" s="22" t="str">
        <f>VLOOKUP(A41,'JOGOS BASE'!A:F,6,)</f>
        <v>Roberto Santos As</v>
      </c>
      <c r="H41" s="14">
        <v>1</v>
      </c>
      <c r="I41" s="14">
        <v>0</v>
      </c>
      <c r="J41" s="22" t="str">
        <f t="shared" si="5"/>
        <v>61Imperatriz - MA</v>
      </c>
      <c r="K41" s="22">
        <f>INDEX(Escalacao!G:G,MATCH(Cartoes!J41,Escalacao!Q:Q,0))</f>
        <v>459328</v>
      </c>
      <c r="L41" s="22" t="str">
        <f>VLOOKUP(K41,Escalacao!G:I,3,0)</f>
        <v>Jr Conceiç ...</v>
      </c>
      <c r="M41" s="22">
        <f>COUNTIF(Escalacao!G:G,Cartoes!K41)</f>
        <v>3</v>
      </c>
      <c r="N41" s="22" t="str">
        <f>VLOOKUP(A41,Escalacao!A:R,18,0)</f>
        <v>15.01.2025 - Tuntum - MA x Imperatriz - MA</v>
      </c>
    </row>
    <row r="42" spans="1:14" ht="15" customHeight="1">
      <c r="A42" s="7">
        <v>6</v>
      </c>
      <c r="B42" s="7" t="s">
        <v>402</v>
      </c>
      <c r="C42" s="7" t="s">
        <v>111</v>
      </c>
      <c r="D42" s="8">
        <v>15</v>
      </c>
      <c r="E42" s="7" t="s">
        <v>518</v>
      </c>
      <c r="F42" s="14" t="s">
        <v>107</v>
      </c>
      <c r="G42" s="22" t="str">
        <f>VLOOKUP(A42,'JOGOS BASE'!A:F,6,)</f>
        <v>Roberto Santos As</v>
      </c>
      <c r="H42" s="14">
        <v>1</v>
      </c>
      <c r="I42" s="14">
        <v>0</v>
      </c>
      <c r="J42" s="22" t="str">
        <f t="shared" si="5"/>
        <v>615Imperatriz - MA</v>
      </c>
      <c r="K42" s="22">
        <f>INDEX(Escalacao!G:G,MATCH(Cartoes!J42,Escalacao!Q:Q,0))</f>
        <v>500483</v>
      </c>
      <c r="L42" s="22" t="str">
        <f>VLOOKUP(K42,Escalacao!G:I,3,0)</f>
        <v>CARLOS</v>
      </c>
      <c r="M42" s="22">
        <f>COUNTIF(Escalacao!G:G,Cartoes!K42)</f>
        <v>3</v>
      </c>
      <c r="N42" s="22" t="str">
        <f>VLOOKUP(A42,Escalacao!A:R,18,0)</f>
        <v>15.01.2025 - Tuntum - MA x Imperatriz - MA</v>
      </c>
    </row>
    <row r="43" spans="1:14" ht="13.8" customHeight="1">
      <c r="A43" s="7">
        <v>7</v>
      </c>
      <c r="B43" s="7" t="s">
        <v>114</v>
      </c>
      <c r="C43" s="7" t="s">
        <v>141</v>
      </c>
      <c r="D43" s="8">
        <v>9</v>
      </c>
      <c r="E43" s="7" t="s">
        <v>583</v>
      </c>
      <c r="F43" s="14" t="s">
        <v>107</v>
      </c>
      <c r="G43" s="22" t="str">
        <f>VLOOKUP(A43,'JOGOS BASE'!A:F,6,)</f>
        <v>Jose Marcos Rocha</v>
      </c>
      <c r="H43" s="14">
        <v>1</v>
      </c>
      <c r="I43" s="14">
        <v>0</v>
      </c>
      <c r="J43" s="22" t="str">
        <f t="shared" ref="J43:J51" si="6">A43&amp;D43&amp;F43</f>
        <v>79Imperatriz - MA</v>
      </c>
      <c r="K43" s="22">
        <f>INDEX(Escalacao!G:G,MATCH(Cartoes!J43,Escalacao!Q:Q,0))</f>
        <v>637641</v>
      </c>
      <c r="L43" s="22" t="str">
        <f>VLOOKUP(K43,Escalacao!G:I,3,0)</f>
        <v>Lussandro</v>
      </c>
      <c r="M43" s="22">
        <f>COUNTIF(Escalacao!G:G,Cartoes!K43)</f>
        <v>3</v>
      </c>
      <c r="N43" s="22" t="str">
        <f>VLOOKUP(A43,Escalacao!A:R,18,0)</f>
        <v>18.01.2025 - Imperatriz - MA x Pinheiro - MA</v>
      </c>
    </row>
    <row r="44" spans="1:14" ht="13.8" customHeight="1">
      <c r="A44" s="7">
        <v>7</v>
      </c>
      <c r="B44" s="7" t="s">
        <v>584</v>
      </c>
      <c r="C44" s="7" t="s">
        <v>141</v>
      </c>
      <c r="D44" s="8">
        <v>3</v>
      </c>
      <c r="E44" s="7" t="s">
        <v>510</v>
      </c>
      <c r="F44" s="14" t="s">
        <v>107</v>
      </c>
      <c r="G44" s="22" t="str">
        <f>VLOOKUP(A44,'JOGOS BASE'!A:F,6,)</f>
        <v>Jose Marcos Rocha</v>
      </c>
      <c r="H44" s="14">
        <v>1</v>
      </c>
      <c r="I44" s="14">
        <v>0</v>
      </c>
      <c r="J44" s="22" t="str">
        <f t="shared" si="6"/>
        <v>73Imperatriz - MA</v>
      </c>
      <c r="K44" s="22">
        <f>INDEX(Escalacao!G:G,MATCH(Cartoes!J44,Escalacao!Q:Q,0))</f>
        <v>393115</v>
      </c>
      <c r="L44" s="22" t="str">
        <f>VLOOKUP(K44,Escalacao!G:I,3,0)</f>
        <v>Andre Penalva</v>
      </c>
      <c r="M44" s="22">
        <f>COUNTIF(Escalacao!G:G,Cartoes!K44)</f>
        <v>3</v>
      </c>
      <c r="N44" s="22" t="str">
        <f>VLOOKUP(A44,Escalacao!A:R,18,0)</f>
        <v>18.01.2025 - Imperatriz - MA x Pinheiro - MA</v>
      </c>
    </row>
    <row r="45" spans="1:14" ht="13.8" customHeight="1">
      <c r="A45" s="7">
        <v>7</v>
      </c>
      <c r="B45" s="7" t="s">
        <v>585</v>
      </c>
      <c r="C45" s="7" t="s">
        <v>141</v>
      </c>
      <c r="D45" s="8">
        <v>10</v>
      </c>
      <c r="E45" s="7" t="s">
        <v>512</v>
      </c>
      <c r="F45" s="14" t="s">
        <v>107</v>
      </c>
      <c r="G45" s="22" t="str">
        <f>VLOOKUP(A45,'JOGOS BASE'!A:F,6,)</f>
        <v>Jose Marcos Rocha</v>
      </c>
      <c r="H45" s="14">
        <v>1</v>
      </c>
      <c r="I45" s="14">
        <v>0</v>
      </c>
      <c r="J45" s="22" t="str">
        <f t="shared" si="6"/>
        <v>710Imperatriz - MA</v>
      </c>
      <c r="K45" s="22">
        <f>INDEX(Escalacao!G:G,MATCH(Cartoes!J45,Escalacao!Q:Q,0))</f>
        <v>293426</v>
      </c>
      <c r="L45" s="22" t="str">
        <f>VLOOKUP(K45,Escalacao!G:I,3,0)</f>
        <v>Henrique S ...</v>
      </c>
      <c r="M45" s="22">
        <f>COUNTIF(Escalacao!G:G,Cartoes!K45)</f>
        <v>3</v>
      </c>
      <c r="N45" s="22" t="str">
        <f>VLOOKUP(A45,Escalacao!A:R,18,0)</f>
        <v>18.01.2025 - Imperatriz - MA x Pinheiro - MA</v>
      </c>
    </row>
    <row r="46" spans="1:14" ht="13.8" customHeight="1">
      <c r="A46" s="7">
        <v>7</v>
      </c>
      <c r="B46" s="7" t="s">
        <v>119</v>
      </c>
      <c r="C46" s="7" t="s">
        <v>141</v>
      </c>
      <c r="D46" s="8">
        <v>5</v>
      </c>
      <c r="E46" s="7" t="s">
        <v>586</v>
      </c>
      <c r="F46" s="14" t="s">
        <v>107</v>
      </c>
      <c r="G46" s="22" t="str">
        <f>VLOOKUP(A46,'JOGOS BASE'!A:F,6,)</f>
        <v>Jose Marcos Rocha</v>
      </c>
      <c r="H46" s="14">
        <v>1</v>
      </c>
      <c r="I46" s="14">
        <v>0</v>
      </c>
      <c r="J46" s="22" t="str">
        <f t="shared" si="6"/>
        <v>75Imperatriz - MA</v>
      </c>
      <c r="K46" s="22">
        <f>INDEX(Escalacao!G:G,MATCH(Cartoes!J46,Escalacao!Q:Q,0))</f>
        <v>345029</v>
      </c>
      <c r="L46" s="22" t="str">
        <f>VLOOKUP(K46,Escalacao!G:I,3,0)</f>
        <v>Jeferson P ...</v>
      </c>
      <c r="M46" s="22">
        <f>COUNTIF(Escalacao!G:G,Cartoes!K46)</f>
        <v>3</v>
      </c>
      <c r="N46" s="22" t="str">
        <f>VLOOKUP(A46,Escalacao!A:R,18,0)</f>
        <v>18.01.2025 - Imperatriz - MA x Pinheiro - MA</v>
      </c>
    </row>
    <row r="47" spans="1:14" ht="13.8" customHeight="1">
      <c r="A47" s="7">
        <v>7</v>
      </c>
      <c r="B47" s="7" t="s">
        <v>484</v>
      </c>
      <c r="C47" s="7" t="s">
        <v>111</v>
      </c>
      <c r="D47" s="8">
        <v>8</v>
      </c>
      <c r="E47" s="7" t="s">
        <v>513</v>
      </c>
      <c r="F47" s="14" t="s">
        <v>107</v>
      </c>
      <c r="G47" s="22" t="str">
        <f>VLOOKUP(A47,'JOGOS BASE'!A:F,6,)</f>
        <v>Jose Marcos Rocha</v>
      </c>
      <c r="H47" s="14">
        <v>1</v>
      </c>
      <c r="I47" s="14">
        <v>0</v>
      </c>
      <c r="J47" s="22" t="str">
        <f t="shared" si="6"/>
        <v>78Imperatriz - MA</v>
      </c>
      <c r="K47" s="22">
        <f>INDEX(Escalacao!G:G,MATCH(Cartoes!J47,Escalacao!Q:Q,0))</f>
        <v>348355</v>
      </c>
      <c r="L47" s="22" t="str">
        <f>VLOOKUP(K47,Escalacao!G:I,3,0)</f>
        <v>Felipe Macena</v>
      </c>
      <c r="M47" s="22">
        <f>COUNTIF(Escalacao!G:G,Cartoes!K47)</f>
        <v>3</v>
      </c>
      <c r="N47" s="22" t="str">
        <f>VLOOKUP(A47,Escalacao!A:R,18,0)</f>
        <v>18.01.2025 - Imperatriz - MA x Pinheiro - MA</v>
      </c>
    </row>
    <row r="48" spans="1:14" ht="13.8" customHeight="1">
      <c r="A48" s="7">
        <v>7</v>
      </c>
      <c r="B48" s="7" t="s">
        <v>398</v>
      </c>
      <c r="C48" s="7" t="s">
        <v>111</v>
      </c>
      <c r="D48" s="8">
        <v>22</v>
      </c>
      <c r="E48" s="7" t="s">
        <v>515</v>
      </c>
      <c r="F48" s="14" t="s">
        <v>107</v>
      </c>
      <c r="G48" s="22" t="str">
        <f>VLOOKUP(A48,'JOGOS BASE'!A:F,6,)</f>
        <v>Jose Marcos Rocha</v>
      </c>
      <c r="H48" s="14">
        <v>1</v>
      </c>
      <c r="I48" s="14">
        <v>0</v>
      </c>
      <c r="J48" s="22" t="str">
        <f t="shared" si="6"/>
        <v>722Imperatriz - MA</v>
      </c>
      <c r="K48" s="22">
        <f>INDEX(Escalacao!G:G,MATCH(Cartoes!J48,Escalacao!Q:Q,0))</f>
        <v>762150</v>
      </c>
      <c r="L48" s="22" t="str">
        <f>VLOOKUP(K48,Escalacao!G:I,3,0)</f>
        <v>Junior</v>
      </c>
      <c r="M48" s="22">
        <f>COUNTIF(Escalacao!G:G,Cartoes!K48)</f>
        <v>3</v>
      </c>
      <c r="N48" s="22" t="str">
        <f>VLOOKUP(A48,Escalacao!A:R,18,0)</f>
        <v>18.01.2025 - Imperatriz - MA x Pinheiro - MA</v>
      </c>
    </row>
    <row r="49" spans="1:14" ht="13.8" customHeight="1">
      <c r="A49" s="7">
        <v>7</v>
      </c>
      <c r="B49" s="7" t="s">
        <v>587</v>
      </c>
      <c r="C49" s="7" t="s">
        <v>141</v>
      </c>
      <c r="D49" s="8">
        <v>6</v>
      </c>
      <c r="E49" s="7" t="s">
        <v>358</v>
      </c>
      <c r="F49" s="14" t="s">
        <v>368</v>
      </c>
      <c r="G49" s="22" t="str">
        <f>VLOOKUP(A49,'JOGOS BASE'!A:F,6,)</f>
        <v>Jose Marcos Rocha</v>
      </c>
      <c r="H49" s="14">
        <v>1</v>
      </c>
      <c r="I49" s="14">
        <v>0</v>
      </c>
      <c r="J49" s="22" t="str">
        <f t="shared" si="6"/>
        <v>76Pinheiro - MA</v>
      </c>
      <c r="K49" s="22">
        <f>INDEX(Escalacao!G:G,MATCH(Cartoes!J49,Escalacao!Q:Q,0))</f>
        <v>637743</v>
      </c>
      <c r="L49" s="22" t="str">
        <f>VLOOKUP(K49,Escalacao!G:I,3,0)</f>
        <v>Gabriel</v>
      </c>
      <c r="M49" s="22">
        <f>COUNTIF(Escalacao!G:G,Cartoes!K49)</f>
        <v>3</v>
      </c>
      <c r="N49" s="22" t="str">
        <f>VLOOKUP(A49,Escalacao!A:R,18,0)</f>
        <v>18.01.2025 - Imperatriz - MA x Pinheiro - MA</v>
      </c>
    </row>
    <row r="50" spans="1:14" ht="13.8" customHeight="1">
      <c r="A50" s="7">
        <v>7</v>
      </c>
      <c r="B50" s="7" t="s">
        <v>584</v>
      </c>
      <c r="C50" s="7" t="s">
        <v>141</v>
      </c>
      <c r="D50" s="8">
        <v>1</v>
      </c>
      <c r="E50" s="7" t="s">
        <v>302</v>
      </c>
      <c r="F50" s="14" t="s">
        <v>368</v>
      </c>
      <c r="G50" s="22" t="str">
        <f>VLOOKUP(A50,'JOGOS BASE'!A:F,6,)</f>
        <v>Jose Marcos Rocha</v>
      </c>
      <c r="H50" s="14">
        <v>1</v>
      </c>
      <c r="I50" s="14">
        <v>0</v>
      </c>
      <c r="J50" s="22" t="str">
        <f t="shared" si="6"/>
        <v>71Pinheiro - MA</v>
      </c>
      <c r="K50" s="22">
        <f>INDEX(Escalacao!G:G,MATCH(Cartoes!J50,Escalacao!Q:Q,0))</f>
        <v>530809</v>
      </c>
      <c r="L50" s="22" t="str">
        <f>VLOOKUP(K50,Escalacao!G:I,3,0)</f>
        <v>Mateus</v>
      </c>
      <c r="M50" s="22">
        <f>COUNTIF(Escalacao!G:G,Cartoes!K50)</f>
        <v>3</v>
      </c>
      <c r="N50" s="22" t="str">
        <f>VLOOKUP(A50,Escalacao!A:R,18,0)</f>
        <v>18.01.2025 - Imperatriz - MA x Pinheiro - MA</v>
      </c>
    </row>
    <row r="51" spans="1:14" ht="13.8" customHeight="1">
      <c r="A51" s="7">
        <v>7</v>
      </c>
      <c r="B51" s="7" t="s">
        <v>156</v>
      </c>
      <c r="C51" s="7" t="s">
        <v>141</v>
      </c>
      <c r="D51" s="8">
        <v>11</v>
      </c>
      <c r="E51" s="7" t="s">
        <v>588</v>
      </c>
      <c r="F51" s="14" t="s">
        <v>368</v>
      </c>
      <c r="G51" s="22" t="str">
        <f>VLOOKUP(A51,'JOGOS BASE'!A:F,6,)</f>
        <v>Jose Marcos Rocha</v>
      </c>
      <c r="H51" s="14">
        <v>1</v>
      </c>
      <c r="I51" s="14">
        <v>0</v>
      </c>
      <c r="J51" s="22" t="str">
        <f t="shared" si="6"/>
        <v>711Pinheiro - MA</v>
      </c>
      <c r="K51" s="22">
        <f>INDEX(Escalacao!G:G,MATCH(Cartoes!J51,Escalacao!Q:Q,0))</f>
        <v>612866</v>
      </c>
      <c r="L51" s="22" t="str">
        <f>VLOOKUP(K51,Escalacao!G:I,3,0)</f>
        <v>Joao Pedro</v>
      </c>
      <c r="M51" s="22">
        <f>COUNTIF(Escalacao!G:G,Cartoes!K51)</f>
        <v>3</v>
      </c>
      <c r="N51" s="22" t="str">
        <f>VLOOKUP(A51,Escalacao!A:R,18,0)</f>
        <v>18.01.2025 - Imperatriz - MA x Pinheiro - MA</v>
      </c>
    </row>
    <row r="52" spans="1:14" ht="13.8" customHeight="1">
      <c r="A52" s="7">
        <v>8</v>
      </c>
      <c r="B52" s="47" t="s">
        <v>114</v>
      </c>
      <c r="C52" s="47" t="s">
        <v>111</v>
      </c>
      <c r="D52" s="46">
        <v>7</v>
      </c>
      <c r="E52" s="45" t="s">
        <v>619</v>
      </c>
      <c r="F52" s="18" t="s">
        <v>381</v>
      </c>
      <c r="G52" s="22" t="str">
        <f>VLOOKUP(A52,'JOGOS BASE'!A:F,6,)</f>
        <v>Ranilton Oliveira de Sousa</v>
      </c>
      <c r="H52" s="14">
        <v>1</v>
      </c>
      <c r="I52" s="14">
        <v>0</v>
      </c>
      <c r="J52" s="22" t="str">
        <f t="shared" ref="J52:J55" si="7">A52&amp;D52&amp;F52</f>
        <v>87Viana - MA</v>
      </c>
      <c r="K52" s="22">
        <f>INDEX(Escalacao!G:G,MATCH(Cartoes!J52,Escalacao!Q:Q,0))</f>
        <v>590716</v>
      </c>
      <c r="L52" s="22" t="str">
        <f>VLOOKUP(K52,Escalacao!G:I,3,0)</f>
        <v>arisco</v>
      </c>
      <c r="M52" s="22">
        <f>COUNTIF(Escalacao!G:G,Cartoes!K52)</f>
        <v>1</v>
      </c>
      <c r="N52" s="22" t="str">
        <f>VLOOKUP(A52,Escalacao!A:R,18,0)</f>
        <v>19.01.2025 - Viana - MA x Sampaio Corrêa - MA</v>
      </c>
    </row>
    <row r="53" spans="1:14" ht="13.8" customHeight="1">
      <c r="A53" s="7">
        <v>8</v>
      </c>
      <c r="B53" s="50" t="s">
        <v>114</v>
      </c>
      <c r="C53" s="50" t="s">
        <v>111</v>
      </c>
      <c r="D53" s="46">
        <v>3</v>
      </c>
      <c r="E53" s="45" t="s">
        <v>620</v>
      </c>
      <c r="F53" s="18" t="s">
        <v>381</v>
      </c>
      <c r="G53" s="22" t="str">
        <f>VLOOKUP(A53,'JOGOS BASE'!A:F,6,)</f>
        <v>Ranilton Oliveira de Sousa</v>
      </c>
      <c r="H53" s="14">
        <v>1</v>
      </c>
      <c r="I53" s="14">
        <v>0</v>
      </c>
      <c r="J53" s="22" t="str">
        <f t="shared" si="7"/>
        <v>83Viana - MA</v>
      </c>
      <c r="K53" s="22">
        <f>INDEX(Escalacao!G:G,MATCH(Cartoes!J53,Escalacao!Q:Q,0))</f>
        <v>396008</v>
      </c>
      <c r="L53" s="22" t="str">
        <f>VLOOKUP(K53,Escalacao!G:I,3,0)</f>
        <v>Brener Bessa</v>
      </c>
      <c r="M53" s="22">
        <f>COUNTIF(Escalacao!G:G,Cartoes!K53)</f>
        <v>2</v>
      </c>
      <c r="N53" s="22" t="str">
        <f>VLOOKUP(A53,Escalacao!A:R,18,0)</f>
        <v>19.01.2025 - Viana - MA x Sampaio Corrêa - MA</v>
      </c>
    </row>
    <row r="54" spans="1:14" ht="13.8" customHeight="1">
      <c r="A54" s="7">
        <v>8</v>
      </c>
      <c r="B54" s="50" t="s">
        <v>585</v>
      </c>
      <c r="C54" s="50" t="s">
        <v>111</v>
      </c>
      <c r="D54" s="51">
        <v>10</v>
      </c>
      <c r="E54" s="45" t="s">
        <v>75</v>
      </c>
      <c r="F54" s="18" t="s">
        <v>122</v>
      </c>
      <c r="G54" s="22" t="str">
        <f>VLOOKUP(A54,'JOGOS BASE'!A:F,6,)</f>
        <v>Ranilton Oliveira de Sousa</v>
      </c>
      <c r="H54" s="14">
        <v>1</v>
      </c>
      <c r="I54" s="14">
        <v>0</v>
      </c>
      <c r="J54" s="22" t="str">
        <f t="shared" si="7"/>
        <v>810Sampaio Corrêa - MA</v>
      </c>
      <c r="K54" s="22">
        <f>INDEX(Escalacao!G:G,MATCH(Cartoes!J54,Escalacao!Q:Q,0))</f>
        <v>668800</v>
      </c>
      <c r="L54" s="22" t="str">
        <f>VLOOKUP(K54,Escalacao!G:I,3,0)</f>
        <v>STENCE</v>
      </c>
      <c r="M54" s="22">
        <f>COUNTIF(Escalacao!G:G,Cartoes!K54)</f>
        <v>3</v>
      </c>
      <c r="N54" s="22" t="str">
        <f>VLOOKUP(A54,Escalacao!A:R,18,0)</f>
        <v>19.01.2025 - Viana - MA x Sampaio Corrêa - MA</v>
      </c>
    </row>
    <row r="55" spans="1:14" ht="13.8" customHeight="1">
      <c r="A55" s="7">
        <v>8</v>
      </c>
      <c r="B55" s="50" t="s">
        <v>621</v>
      </c>
      <c r="C55" s="50" t="s">
        <v>111</v>
      </c>
      <c r="D55" s="51">
        <v>16</v>
      </c>
      <c r="E55" s="45" t="s">
        <v>157</v>
      </c>
      <c r="F55" s="18" t="s">
        <v>122</v>
      </c>
      <c r="G55" s="22" t="str">
        <f>VLOOKUP(A55,'JOGOS BASE'!A:F,6,)</f>
        <v>Ranilton Oliveira de Sousa</v>
      </c>
      <c r="H55" s="14">
        <v>1</v>
      </c>
      <c r="I55" s="14">
        <v>0</v>
      </c>
      <c r="J55" s="22" t="str">
        <f t="shared" si="7"/>
        <v>816Sampaio Corrêa - MA</v>
      </c>
      <c r="K55" s="22">
        <f>INDEX(Escalacao!G:G,MATCH(Cartoes!J55,Escalacao!Q:Q,0))</f>
        <v>748572</v>
      </c>
      <c r="L55" s="22" t="str">
        <f>VLOOKUP(K55,Escalacao!G:I,3,0)</f>
        <v>ADRIANO</v>
      </c>
      <c r="M55" s="22">
        <f>COUNTIF(Escalacao!G:G,Cartoes!K55)</f>
        <v>3</v>
      </c>
      <c r="N55" s="22" t="str">
        <f>VLOOKUP(A55,Escalacao!A:R,18,0)</f>
        <v>19.01.2025 - Viana - MA x Sampaio Corrêa - MA</v>
      </c>
    </row>
    <row r="56" spans="1:14" ht="13.8" customHeight="1">
      <c r="A56" s="7"/>
      <c r="B56" s="7"/>
      <c r="C56" s="7"/>
      <c r="D56" s="8"/>
      <c r="E56" s="7"/>
      <c r="F56" s="14"/>
      <c r="G56" s="22"/>
      <c r="H56" s="14"/>
      <c r="I56" s="14"/>
      <c r="J56" s="22"/>
      <c r="K56" s="22"/>
      <c r="L56" s="22"/>
      <c r="M56" s="22"/>
      <c r="N56" s="22"/>
    </row>
    <row r="57" spans="1:14" ht="13.8" customHeight="1">
      <c r="A57" s="7"/>
      <c r="B57" s="7"/>
      <c r="C57" s="7"/>
      <c r="D57" s="8"/>
      <c r="E57" s="7"/>
      <c r="F57" s="14"/>
      <c r="G57" s="22"/>
      <c r="H57" s="14"/>
      <c r="I57" s="14"/>
      <c r="J57" s="22"/>
      <c r="K57" s="22"/>
      <c r="L57" s="22"/>
      <c r="M57" s="22"/>
      <c r="N57" s="22"/>
    </row>
    <row r="58" spans="1:14" ht="13.8" customHeight="1">
      <c r="A58" s="7"/>
      <c r="B58" s="7"/>
      <c r="C58" s="7"/>
      <c r="D58" s="8"/>
      <c r="E58" s="7"/>
      <c r="F58" s="14"/>
      <c r="G58" s="22"/>
      <c r="H58" s="14"/>
      <c r="I58" s="14"/>
      <c r="J58" s="22"/>
      <c r="K58" s="22"/>
      <c r="L58" s="22"/>
      <c r="M58" s="22"/>
      <c r="N58" s="22"/>
    </row>
    <row r="59" spans="1:14" ht="13.8" customHeight="1">
      <c r="A59" s="7"/>
      <c r="B59" s="7"/>
      <c r="C59" s="7"/>
      <c r="D59" s="8"/>
      <c r="E59" s="7"/>
      <c r="F59" s="14"/>
      <c r="G59" s="22"/>
      <c r="H59" s="14"/>
      <c r="I59" s="14"/>
      <c r="J59" s="22"/>
      <c r="K59" s="22"/>
      <c r="L59" s="22"/>
      <c r="M59" s="22"/>
      <c r="N59" s="22"/>
    </row>
    <row r="60" spans="1:14" ht="13.8" customHeight="1">
      <c r="A60" s="7"/>
      <c r="B60" s="7"/>
      <c r="C60" s="7"/>
      <c r="D60" s="8"/>
      <c r="E60" s="7"/>
      <c r="F60" s="14"/>
      <c r="G60" s="22"/>
      <c r="H60" s="14"/>
      <c r="I60" s="14"/>
      <c r="J60" s="22"/>
      <c r="K60" s="22"/>
      <c r="L60" s="22"/>
      <c r="M60" s="22"/>
      <c r="N60" s="22"/>
    </row>
    <row r="61" spans="1:14" ht="13.8" customHeight="1">
      <c r="A61" s="7"/>
      <c r="B61" s="7"/>
      <c r="C61" s="7"/>
      <c r="D61" s="8"/>
      <c r="E61" s="7"/>
      <c r="F61" s="14"/>
      <c r="G61" s="22"/>
      <c r="H61" s="14"/>
      <c r="I61" s="14"/>
      <c r="J61" s="22"/>
      <c r="K61" s="22"/>
      <c r="L61" s="22"/>
      <c r="M61" s="22"/>
      <c r="N61" s="22"/>
    </row>
    <row r="62" spans="1:14" ht="13.8" customHeight="1">
      <c r="A62" s="7"/>
      <c r="B62" s="7"/>
      <c r="C62" s="7"/>
      <c r="D62" s="8"/>
      <c r="E62" s="7"/>
      <c r="F62" s="14"/>
      <c r="G62" s="22"/>
      <c r="H62" s="14"/>
      <c r="I62" s="14"/>
      <c r="J62" s="22"/>
      <c r="K62" s="22"/>
      <c r="L62" s="22"/>
      <c r="M62" s="22"/>
      <c r="N62" s="22"/>
    </row>
    <row r="63" spans="1:14" ht="13.8" customHeight="1">
      <c r="A63" s="7"/>
      <c r="B63" s="7"/>
      <c r="C63" s="7"/>
      <c r="D63" s="8"/>
      <c r="E63" s="7"/>
      <c r="F63" s="14"/>
      <c r="G63" s="22"/>
      <c r="H63" s="14"/>
      <c r="I63" s="14"/>
      <c r="J63" s="22"/>
      <c r="K63" s="22"/>
      <c r="L63" s="22"/>
      <c r="M63" s="22"/>
      <c r="N63" s="22"/>
    </row>
    <row r="64" spans="1:14" ht="13.8" customHeight="1">
      <c r="A64" s="7"/>
      <c r="B64" s="7"/>
      <c r="C64" s="7"/>
      <c r="D64" s="8"/>
      <c r="E64" s="7"/>
      <c r="F64" s="14"/>
      <c r="G64" s="22"/>
      <c r="H64" s="14"/>
      <c r="I64" s="14"/>
      <c r="J64" s="22"/>
      <c r="K64" s="22"/>
      <c r="L64" s="22"/>
      <c r="M64" s="22"/>
      <c r="N64" s="22"/>
    </row>
    <row r="65" spans="1:14" ht="13.8" customHeight="1">
      <c r="A65" s="7"/>
      <c r="B65" s="7"/>
      <c r="C65" s="7"/>
      <c r="D65" s="8"/>
      <c r="E65" s="7"/>
      <c r="F65" s="14"/>
      <c r="G65" s="22"/>
      <c r="H65" s="14"/>
      <c r="I65" s="14"/>
      <c r="J65" s="22"/>
      <c r="K65" s="22"/>
      <c r="L65" s="22"/>
      <c r="M65" s="22"/>
      <c r="N65" s="22"/>
    </row>
    <row r="66" spans="1:14" ht="13.8" customHeight="1">
      <c r="A66" s="7"/>
      <c r="B66" s="7"/>
      <c r="C66" s="7"/>
      <c r="D66" s="8"/>
      <c r="E66" s="7"/>
      <c r="F66" s="14"/>
      <c r="G66" s="22"/>
      <c r="H66" s="14"/>
      <c r="I66" s="14"/>
      <c r="J66" s="22"/>
      <c r="K66" s="22"/>
      <c r="L66" s="22"/>
      <c r="M66" s="22"/>
      <c r="N66" s="22"/>
    </row>
    <row r="67" spans="1:14" ht="13.8" customHeight="1">
      <c r="A67" s="7"/>
      <c r="B67" s="7"/>
      <c r="C67" s="7"/>
      <c r="D67" s="8"/>
      <c r="E67" s="7"/>
      <c r="F67" s="14"/>
      <c r="G67" s="22"/>
      <c r="H67" s="14"/>
      <c r="I67" s="14"/>
      <c r="J67" s="22"/>
      <c r="K67" s="22"/>
      <c r="L67" s="22"/>
      <c r="M67" s="22"/>
      <c r="N67" s="22"/>
    </row>
    <row r="68" spans="1:14" ht="13.8" customHeight="1">
      <c r="A68" s="7"/>
      <c r="B68" s="7"/>
      <c r="C68" s="7"/>
      <c r="D68" s="8"/>
      <c r="E68" s="7"/>
      <c r="F68" s="14"/>
      <c r="G68" s="22"/>
      <c r="H68" s="14"/>
      <c r="I68" s="14"/>
      <c r="J68" s="22"/>
      <c r="K68" s="22"/>
      <c r="L68" s="22"/>
      <c r="M68" s="22"/>
      <c r="N68" s="22"/>
    </row>
    <row r="69" spans="1:14" ht="13.8" customHeight="1">
      <c r="A69" s="7"/>
      <c r="B69" s="7"/>
      <c r="C69" s="7"/>
      <c r="D69" s="8"/>
      <c r="E69" s="7"/>
      <c r="F69" s="14"/>
      <c r="G69" s="22"/>
      <c r="H69" s="14"/>
      <c r="I69" s="14"/>
      <c r="J69" s="22"/>
      <c r="K69" s="22"/>
      <c r="L69" s="22"/>
      <c r="M69" s="22"/>
      <c r="N69" s="22"/>
    </row>
    <row r="70" spans="1:14" ht="13.8" customHeight="1">
      <c r="A70" s="7"/>
      <c r="B70" s="7"/>
      <c r="C70" s="7"/>
      <c r="D70" s="8"/>
      <c r="E70" s="7"/>
      <c r="F70" s="14"/>
      <c r="G70" s="22"/>
      <c r="H70" s="14"/>
      <c r="I70" s="14"/>
      <c r="J70" s="22"/>
      <c r="K70" s="22"/>
      <c r="L70" s="22"/>
      <c r="M70" s="22"/>
      <c r="N70" s="22"/>
    </row>
    <row r="71" spans="1:14" ht="13.8" customHeight="1">
      <c r="A71" s="7"/>
      <c r="B71" s="7"/>
      <c r="C71" s="7"/>
      <c r="D71" s="8"/>
      <c r="E71" s="7"/>
      <c r="F71" s="14"/>
      <c r="G71" s="22"/>
      <c r="H71" s="14"/>
      <c r="I71" s="14"/>
      <c r="J71" s="22"/>
      <c r="K71" s="22"/>
      <c r="L71" s="22"/>
      <c r="M71" s="22"/>
      <c r="N71" s="22"/>
    </row>
    <row r="72" spans="1:14" ht="13.8" customHeight="1">
      <c r="A72" s="7"/>
      <c r="B72" s="7"/>
      <c r="C72" s="7"/>
      <c r="D72" s="8"/>
      <c r="E72" s="7"/>
      <c r="F72" s="14"/>
      <c r="G72" s="22"/>
      <c r="H72" s="14"/>
      <c r="I72" s="14"/>
      <c r="J72" s="22"/>
      <c r="K72" s="22"/>
      <c r="L72" s="22"/>
      <c r="M72" s="22"/>
      <c r="N72" s="22"/>
    </row>
    <row r="73" spans="1:14" ht="13.8" customHeight="1">
      <c r="A73" s="7"/>
      <c r="B73" s="7"/>
      <c r="C73" s="7"/>
      <c r="D73" s="8"/>
      <c r="E73" s="7"/>
      <c r="F73" s="14"/>
      <c r="G73" s="22"/>
      <c r="H73" s="14"/>
      <c r="I73" s="14"/>
      <c r="J73" s="22"/>
      <c r="K73" s="22"/>
      <c r="L73" s="22"/>
      <c r="M73" s="22"/>
      <c r="N73" s="22"/>
    </row>
    <row r="74" spans="1:14" ht="13.8" customHeight="1">
      <c r="A74" s="7"/>
      <c r="B74" s="7"/>
      <c r="C74" s="7"/>
      <c r="D74" s="8"/>
      <c r="E74" s="7"/>
      <c r="F74" s="14"/>
      <c r="G74" s="22"/>
      <c r="H74" s="14"/>
      <c r="I74" s="14"/>
      <c r="J74" s="22"/>
      <c r="K74" s="22"/>
      <c r="L74" s="22"/>
      <c r="M74" s="22"/>
      <c r="N74" s="22"/>
    </row>
    <row r="75" spans="1:14" ht="13.8" customHeight="1">
      <c r="A75" s="7"/>
      <c r="B75" s="7"/>
      <c r="C75" s="7"/>
      <c r="D75" s="8"/>
      <c r="E75" s="7"/>
      <c r="F75" s="14"/>
      <c r="G75" s="22"/>
      <c r="H75" s="14"/>
      <c r="I75" s="14"/>
      <c r="J75" s="22"/>
      <c r="K75" s="22"/>
      <c r="L75" s="22"/>
      <c r="M75" s="22"/>
      <c r="N75" s="22"/>
    </row>
    <row r="76" spans="1:14" ht="13.8" customHeight="1">
      <c r="A76" s="7"/>
      <c r="B76" s="7"/>
      <c r="C76" s="7"/>
      <c r="D76" s="8"/>
      <c r="E76" s="7"/>
      <c r="F76" s="14"/>
      <c r="G76" s="22"/>
      <c r="H76" s="14"/>
      <c r="I76" s="14"/>
      <c r="J76" s="22"/>
      <c r="K76" s="22"/>
      <c r="L76" s="22"/>
      <c r="M76" s="22"/>
      <c r="N76" s="22"/>
    </row>
    <row r="77" spans="1:14" ht="13.8" customHeight="1">
      <c r="A77" s="7"/>
      <c r="B77" s="7"/>
      <c r="C77" s="7"/>
      <c r="D77" s="8"/>
      <c r="E77" s="7"/>
      <c r="F77" s="14"/>
      <c r="G77" s="22"/>
      <c r="H77" s="14"/>
      <c r="I77" s="14"/>
      <c r="J77" s="22"/>
      <c r="K77" s="22"/>
      <c r="L77" s="22"/>
      <c r="M77" s="22"/>
      <c r="N77" s="22"/>
    </row>
    <row r="78" spans="1:14" ht="13.8" customHeight="1">
      <c r="A78" s="7"/>
      <c r="B78" s="7"/>
      <c r="C78" s="7"/>
      <c r="D78" s="8"/>
      <c r="E78" s="7"/>
      <c r="F78" s="14"/>
      <c r="G78" s="22"/>
      <c r="H78" s="14"/>
      <c r="I78" s="14"/>
      <c r="J78" s="22"/>
      <c r="K78" s="22"/>
      <c r="L78" s="22"/>
      <c r="M78" s="22"/>
      <c r="N78" s="22"/>
    </row>
    <row r="79" spans="1:14" ht="13.8" customHeight="1">
      <c r="A79" s="7"/>
      <c r="B79" s="7"/>
      <c r="C79" s="7"/>
      <c r="D79" s="8"/>
      <c r="E79" s="7"/>
      <c r="F79" s="14"/>
      <c r="G79" s="22"/>
      <c r="H79" s="14"/>
      <c r="I79" s="14"/>
      <c r="J79" s="22"/>
      <c r="K79" s="22"/>
      <c r="L79" s="22"/>
      <c r="M79" s="22"/>
      <c r="N79" s="22"/>
    </row>
    <row r="80" spans="1:14" ht="13.8" customHeight="1">
      <c r="A80" s="7"/>
      <c r="B80" s="7"/>
      <c r="C80" s="7"/>
      <c r="D80" s="8"/>
      <c r="E80" s="7"/>
      <c r="F80" s="14"/>
      <c r="G80" s="22"/>
      <c r="H80" s="14"/>
      <c r="I80" s="14"/>
      <c r="J80" s="22"/>
      <c r="K80" s="22"/>
      <c r="L80" s="22"/>
      <c r="M80" s="22"/>
      <c r="N80" s="22"/>
    </row>
    <row r="81" spans="1:14" ht="13.8" customHeight="1">
      <c r="A81" s="7"/>
      <c r="B81" s="7"/>
      <c r="C81" s="7"/>
      <c r="D81" s="8"/>
      <c r="E81" s="7"/>
      <c r="F81" s="14"/>
      <c r="G81" s="22"/>
      <c r="H81" s="14"/>
      <c r="I81" s="14"/>
      <c r="J81" s="22"/>
      <c r="K81" s="22"/>
      <c r="L81" s="22"/>
      <c r="M81" s="22"/>
      <c r="N81" s="22"/>
    </row>
    <row r="82" spans="1:14" ht="13.8" customHeight="1">
      <c r="A82" s="7"/>
      <c r="B82" s="7"/>
      <c r="C82" s="7"/>
      <c r="D82" s="8"/>
      <c r="E82" s="7"/>
      <c r="F82" s="14"/>
      <c r="G82" s="22"/>
      <c r="H82" s="14"/>
      <c r="I82" s="14"/>
      <c r="J82" s="22"/>
      <c r="K82" s="22"/>
      <c r="L82" s="22"/>
      <c r="M82" s="22"/>
      <c r="N82" s="22"/>
    </row>
    <row r="83" spans="1:14" ht="13.8" customHeight="1">
      <c r="A83" s="7"/>
      <c r="B83" s="7"/>
      <c r="C83" s="7"/>
      <c r="D83" s="8"/>
      <c r="E83" s="7"/>
      <c r="F83" s="14"/>
      <c r="G83" s="22"/>
      <c r="H83" s="14"/>
      <c r="I83" s="14"/>
      <c r="J83" s="22"/>
      <c r="K83" s="22"/>
      <c r="L83" s="22"/>
      <c r="M83" s="22"/>
      <c r="N83" s="22"/>
    </row>
    <row r="84" spans="1:14" ht="13.8" customHeight="1">
      <c r="A84" s="7"/>
      <c r="B84" s="7"/>
      <c r="C84" s="7"/>
      <c r="D84" s="8"/>
      <c r="E84" s="7"/>
      <c r="F84" s="14"/>
      <c r="G84" s="22"/>
      <c r="H84" s="14"/>
      <c r="I84" s="14"/>
      <c r="J84" s="22"/>
      <c r="K84" s="22"/>
      <c r="L84" s="22"/>
      <c r="M84" s="22"/>
      <c r="N84" s="22"/>
    </row>
    <row r="85" spans="1:14" ht="13.8" customHeight="1">
      <c r="A85" s="7"/>
      <c r="B85" s="7"/>
      <c r="C85" s="7"/>
      <c r="D85" s="8"/>
      <c r="E85" s="7"/>
      <c r="F85" s="14"/>
      <c r="G85" s="22"/>
      <c r="H85" s="14"/>
      <c r="I85" s="14"/>
      <c r="J85" s="22"/>
      <c r="K85" s="22"/>
      <c r="L85" s="22"/>
      <c r="M85" s="22"/>
      <c r="N85" s="22"/>
    </row>
    <row r="86" spans="1:14" ht="13.8" customHeight="1">
      <c r="A86" s="7"/>
      <c r="B86" s="7"/>
      <c r="C86" s="7"/>
      <c r="D86" s="8"/>
      <c r="E86" s="7"/>
      <c r="F86" s="14"/>
      <c r="G86" s="22"/>
      <c r="H86" s="14"/>
      <c r="I86" s="14"/>
      <c r="J86" s="22"/>
      <c r="K86" s="22"/>
      <c r="L86" s="22"/>
      <c r="M86" s="22"/>
      <c r="N86" s="22"/>
    </row>
    <row r="87" spans="1:14" ht="13.8" customHeight="1">
      <c r="A87" s="7"/>
      <c r="B87" s="7"/>
      <c r="C87" s="7"/>
      <c r="D87" s="8"/>
      <c r="E87" s="7"/>
      <c r="F87" s="14"/>
      <c r="G87" s="22"/>
      <c r="H87" s="14"/>
      <c r="I87" s="14"/>
      <c r="J87" s="22"/>
      <c r="K87" s="22"/>
      <c r="L87" s="22"/>
      <c r="M87" s="22"/>
      <c r="N87" s="22"/>
    </row>
    <row r="88" spans="1:14" ht="13.8" customHeight="1">
      <c r="A88" s="7"/>
      <c r="B88" s="7"/>
      <c r="C88" s="7"/>
      <c r="D88" s="8"/>
      <c r="E88" s="7"/>
      <c r="F88" s="14"/>
      <c r="G88" s="22"/>
      <c r="H88" s="14"/>
      <c r="I88" s="14"/>
      <c r="J88" s="22"/>
      <c r="K88" s="22"/>
      <c r="L88" s="22"/>
      <c r="M88" s="22"/>
      <c r="N88" s="22"/>
    </row>
    <row r="89" spans="1:14" ht="13.8" customHeight="1">
      <c r="A89" s="7"/>
      <c r="B89" s="7"/>
      <c r="C89" s="7"/>
      <c r="D89" s="8"/>
      <c r="E89" s="7"/>
      <c r="F89" s="14"/>
      <c r="G89" s="22"/>
      <c r="H89" s="14"/>
      <c r="I89" s="14"/>
      <c r="J89" s="22"/>
      <c r="K89" s="22"/>
      <c r="L89" s="22"/>
      <c r="M89" s="22"/>
      <c r="N89" s="22"/>
    </row>
    <row r="90" spans="1:14" ht="13.8" customHeight="1">
      <c r="A90" s="7"/>
      <c r="B90" s="7"/>
      <c r="C90" s="7"/>
      <c r="D90" s="8"/>
      <c r="E90" s="7"/>
      <c r="F90" s="14"/>
      <c r="G90" s="22"/>
      <c r="H90" s="14"/>
      <c r="I90" s="14"/>
      <c r="J90" s="22"/>
      <c r="K90" s="22"/>
      <c r="L90" s="22"/>
      <c r="M90" s="22"/>
      <c r="N90" s="22"/>
    </row>
    <row r="91" spans="1:14" ht="13.8" customHeight="1">
      <c r="A91" s="7"/>
      <c r="B91" s="7"/>
      <c r="C91" s="7"/>
      <c r="D91" s="8"/>
      <c r="E91" s="7"/>
      <c r="F91" s="14"/>
      <c r="G91" s="22"/>
      <c r="H91" s="14"/>
      <c r="I91" s="14"/>
      <c r="J91" s="22"/>
      <c r="K91" s="22"/>
      <c r="L91" s="22"/>
      <c r="M91" s="22"/>
      <c r="N91" s="22"/>
    </row>
    <row r="92" spans="1:14" ht="13.8" customHeight="1">
      <c r="A92" s="7"/>
      <c r="B92" s="7"/>
      <c r="C92" s="7"/>
      <c r="D92" s="8"/>
      <c r="E92" s="7"/>
      <c r="F92" s="14"/>
      <c r="G92" s="22"/>
      <c r="H92" s="14"/>
      <c r="I92" s="14"/>
      <c r="J92" s="22"/>
      <c r="K92" s="22"/>
      <c r="L92" s="22"/>
      <c r="M92" s="22"/>
      <c r="N92" s="22"/>
    </row>
    <row r="93" spans="1:14" ht="13.8" customHeight="1">
      <c r="A93" s="7"/>
      <c r="B93" s="7"/>
      <c r="C93" s="7"/>
      <c r="D93" s="8"/>
      <c r="E93" s="7"/>
      <c r="F93" s="14"/>
      <c r="G93" s="22"/>
      <c r="H93" s="14"/>
      <c r="I93" s="14"/>
      <c r="J93" s="22"/>
      <c r="K93" s="22"/>
      <c r="L93" s="22"/>
      <c r="M93" s="22"/>
      <c r="N93" s="22"/>
    </row>
    <row r="94" spans="1:14" ht="13.8" customHeight="1">
      <c r="A94" s="7"/>
      <c r="B94" s="7"/>
      <c r="C94" s="7"/>
      <c r="D94" s="8"/>
      <c r="E94" s="7"/>
      <c r="F94" s="14"/>
      <c r="G94" s="22"/>
      <c r="H94" s="14"/>
      <c r="I94" s="14"/>
      <c r="J94" s="22"/>
      <c r="K94" s="22"/>
      <c r="L94" s="22"/>
      <c r="M94" s="22"/>
      <c r="N94" s="22"/>
    </row>
    <row r="95" spans="1:14" ht="13.8" customHeight="1">
      <c r="A95" s="7"/>
      <c r="B95" s="7"/>
      <c r="C95" s="7"/>
      <c r="D95" s="8"/>
      <c r="E95" s="7"/>
      <c r="F95" s="14"/>
      <c r="G95" s="22"/>
      <c r="H95" s="14"/>
      <c r="I95" s="14"/>
      <c r="J95" s="22"/>
      <c r="K95" s="22"/>
      <c r="L95" s="22"/>
      <c r="M95" s="22"/>
      <c r="N95" s="22"/>
    </row>
    <row r="96" spans="1:14" ht="13.8" customHeight="1">
      <c r="A96" s="7"/>
      <c r="B96" s="7"/>
      <c r="C96" s="7"/>
      <c r="D96" s="8"/>
      <c r="E96" s="7"/>
      <c r="F96" s="14"/>
      <c r="G96" s="22"/>
      <c r="H96" s="14"/>
      <c r="I96" s="14"/>
      <c r="J96" s="22"/>
      <c r="K96" s="22"/>
      <c r="L96" s="22"/>
      <c r="M96" s="22"/>
      <c r="N96" s="22"/>
    </row>
    <row r="97" spans="1:14" ht="13.8" customHeight="1">
      <c r="A97" s="7"/>
      <c r="B97" s="7"/>
      <c r="C97" s="7"/>
      <c r="D97" s="8"/>
      <c r="E97" s="7"/>
      <c r="F97" s="14"/>
      <c r="G97" s="22"/>
      <c r="H97" s="14"/>
      <c r="I97" s="14"/>
      <c r="J97" s="22"/>
      <c r="K97" s="22"/>
      <c r="L97" s="22"/>
      <c r="M97" s="22"/>
      <c r="N97" s="22"/>
    </row>
    <row r="98" spans="1:14" ht="13.8" customHeight="1">
      <c r="A98" s="7"/>
      <c r="B98" s="7"/>
      <c r="C98" s="7"/>
      <c r="D98" s="8"/>
      <c r="E98" s="7"/>
      <c r="F98" s="14"/>
      <c r="G98" s="22"/>
      <c r="H98" s="14"/>
      <c r="I98" s="14"/>
      <c r="J98" s="22"/>
      <c r="K98" s="22"/>
      <c r="L98" s="22"/>
      <c r="M98" s="22"/>
      <c r="N98" s="22"/>
    </row>
    <row r="99" spans="1:14" ht="13.8" customHeight="1">
      <c r="A99" s="7"/>
      <c r="B99" s="7"/>
      <c r="C99" s="7"/>
      <c r="D99" s="8"/>
      <c r="E99" s="7"/>
      <c r="F99" s="14"/>
      <c r="G99" s="22"/>
      <c r="H99" s="14"/>
      <c r="I99" s="14"/>
      <c r="J99" s="22"/>
      <c r="K99" s="22"/>
      <c r="L99" s="22"/>
      <c r="M99" s="22"/>
      <c r="N99" s="22"/>
    </row>
    <row r="100" spans="1:14" ht="13.8" customHeight="1">
      <c r="A100" s="7"/>
      <c r="B100" s="7"/>
      <c r="C100" s="7"/>
      <c r="D100" s="8"/>
      <c r="E100" s="7"/>
      <c r="F100" s="14"/>
      <c r="G100" s="22"/>
      <c r="H100" s="14"/>
      <c r="I100" s="14"/>
      <c r="J100" s="22"/>
      <c r="K100" s="22"/>
      <c r="L100" s="22"/>
      <c r="M100" s="22"/>
      <c r="N100" s="22"/>
    </row>
    <row r="101" spans="1:14" ht="13.8" customHeight="1">
      <c r="A101" s="7"/>
      <c r="B101" s="7"/>
      <c r="C101" s="7"/>
      <c r="D101" s="8"/>
      <c r="E101" s="7"/>
      <c r="F101" s="14"/>
      <c r="G101" s="22"/>
      <c r="H101" s="14"/>
      <c r="I101" s="14"/>
      <c r="J101" s="22"/>
      <c r="K101" s="22"/>
      <c r="L101" s="22"/>
      <c r="M101" s="22"/>
      <c r="N101" s="22"/>
    </row>
    <row r="102" spans="1:14" ht="13.8" customHeight="1">
      <c r="A102" s="7"/>
      <c r="B102" s="7"/>
      <c r="C102" s="7"/>
      <c r="D102" s="8"/>
      <c r="E102" s="7"/>
      <c r="F102" s="14"/>
      <c r="G102" s="22"/>
      <c r="H102" s="14"/>
      <c r="I102" s="14"/>
      <c r="J102" s="22"/>
      <c r="K102" s="22"/>
      <c r="L102" s="22"/>
      <c r="M102" s="22"/>
      <c r="N102" s="22"/>
    </row>
    <row r="103" spans="1:14" ht="13.8" customHeight="1">
      <c r="A103" s="7"/>
      <c r="B103" s="7"/>
      <c r="C103" s="7"/>
      <c r="D103" s="8"/>
      <c r="E103" s="7"/>
      <c r="F103" s="14"/>
      <c r="G103" s="22"/>
      <c r="H103" s="14"/>
      <c r="I103" s="14"/>
      <c r="J103" s="22"/>
      <c r="K103" s="22"/>
      <c r="L103" s="22"/>
      <c r="M103" s="22"/>
      <c r="N103" s="22"/>
    </row>
    <row r="104" spans="1:14" ht="13.8" customHeight="1">
      <c r="A104" s="7"/>
      <c r="B104" s="7"/>
      <c r="C104" s="7"/>
      <c r="D104" s="8"/>
      <c r="E104" s="7"/>
      <c r="F104" s="14"/>
      <c r="G104" s="22"/>
      <c r="H104" s="14"/>
      <c r="I104" s="14"/>
      <c r="J104" s="22"/>
      <c r="K104" s="22"/>
      <c r="L104" s="22"/>
      <c r="M104" s="22"/>
      <c r="N104" s="22"/>
    </row>
    <row r="105" spans="1:14" ht="13.8" customHeight="1">
      <c r="A105" s="7"/>
      <c r="B105" s="7"/>
      <c r="C105" s="7"/>
      <c r="D105" s="8"/>
      <c r="E105" s="7"/>
      <c r="F105" s="14"/>
      <c r="G105" s="22"/>
      <c r="H105" s="14"/>
      <c r="I105" s="14"/>
      <c r="J105" s="22"/>
      <c r="K105" s="22"/>
      <c r="L105" s="22"/>
      <c r="M105" s="22"/>
      <c r="N105" s="22"/>
    </row>
    <row r="106" spans="1:14" ht="13.8" customHeight="1">
      <c r="A106" s="7"/>
      <c r="B106" s="7"/>
      <c r="C106" s="7"/>
      <c r="D106" s="8"/>
      <c r="E106" s="7"/>
      <c r="F106" s="14"/>
      <c r="G106" s="22"/>
      <c r="H106" s="14"/>
      <c r="I106" s="14"/>
      <c r="J106" s="22"/>
      <c r="K106" s="22"/>
      <c r="L106" s="22"/>
      <c r="M106" s="22"/>
      <c r="N106" s="22"/>
    </row>
    <row r="107" spans="1:14" ht="13.8" customHeight="1">
      <c r="A107" s="7"/>
      <c r="B107" s="7"/>
      <c r="C107" s="7"/>
      <c r="D107" s="8"/>
      <c r="E107" s="7"/>
      <c r="F107" s="14"/>
      <c r="G107" s="22"/>
      <c r="H107" s="14"/>
      <c r="I107" s="14"/>
      <c r="J107" s="22"/>
      <c r="K107" s="22"/>
      <c r="L107" s="22"/>
      <c r="M107" s="22"/>
      <c r="N107" s="22"/>
    </row>
    <row r="108" spans="1:14" ht="13.8" customHeight="1">
      <c r="A108" s="7"/>
      <c r="B108" s="7"/>
      <c r="C108" s="7"/>
      <c r="D108" s="8"/>
      <c r="E108" s="7"/>
      <c r="F108" s="14"/>
      <c r="G108" s="22"/>
      <c r="H108" s="14"/>
      <c r="I108" s="14"/>
      <c r="J108" s="22"/>
      <c r="K108" s="22"/>
      <c r="L108" s="22"/>
      <c r="M108" s="22"/>
      <c r="N108" s="22"/>
    </row>
    <row r="109" spans="1:14" ht="13.8" customHeight="1">
      <c r="A109" s="7"/>
      <c r="B109" s="7"/>
      <c r="C109" s="7"/>
      <c r="D109" s="8"/>
      <c r="E109" s="7"/>
      <c r="F109" s="14"/>
      <c r="G109" s="22"/>
      <c r="H109" s="14"/>
      <c r="I109" s="14"/>
      <c r="J109" s="22"/>
      <c r="K109" s="22"/>
      <c r="L109" s="22"/>
      <c r="M109" s="22"/>
      <c r="N109" s="22"/>
    </row>
    <row r="110" spans="1:14" ht="13.8" customHeight="1">
      <c r="A110" s="7"/>
      <c r="B110" s="7"/>
      <c r="C110" s="7"/>
      <c r="D110" s="8"/>
      <c r="E110" s="7"/>
      <c r="F110" s="14"/>
      <c r="G110" s="22"/>
      <c r="H110" s="14"/>
      <c r="I110" s="14"/>
      <c r="J110" s="22"/>
      <c r="K110" s="22"/>
      <c r="L110" s="22"/>
      <c r="M110" s="22"/>
      <c r="N110" s="22"/>
    </row>
    <row r="111" spans="1:14" ht="13.8" customHeight="1">
      <c r="A111" s="7"/>
      <c r="B111" s="7"/>
      <c r="C111" s="7"/>
      <c r="D111" s="8"/>
      <c r="E111" s="7"/>
      <c r="F111" s="14"/>
      <c r="G111" s="22"/>
      <c r="H111" s="14"/>
      <c r="I111" s="14"/>
      <c r="J111" s="22"/>
      <c r="K111" s="22"/>
      <c r="L111" s="22"/>
      <c r="M111" s="22"/>
      <c r="N111" s="22"/>
    </row>
    <row r="112" spans="1:14" ht="13.8" customHeight="1">
      <c r="A112" s="7"/>
      <c r="B112" s="7"/>
      <c r="C112" s="7"/>
      <c r="D112" s="8"/>
      <c r="E112" s="7"/>
      <c r="F112" s="14"/>
      <c r="G112" s="22"/>
      <c r="H112" s="14"/>
      <c r="I112" s="14"/>
      <c r="J112" s="22"/>
      <c r="K112" s="22"/>
      <c r="L112" s="22"/>
      <c r="M112" s="22"/>
      <c r="N112" s="22"/>
    </row>
    <row r="113" spans="1:14" ht="13.8" customHeight="1">
      <c r="A113" s="7"/>
      <c r="B113" s="7"/>
      <c r="C113" s="7"/>
      <c r="D113" s="8"/>
      <c r="E113" s="7"/>
      <c r="F113" s="14"/>
      <c r="G113" s="22"/>
      <c r="H113" s="14"/>
      <c r="I113" s="14"/>
      <c r="J113" s="22"/>
      <c r="K113" s="22"/>
      <c r="L113" s="22"/>
      <c r="M113" s="22"/>
      <c r="N113" s="22"/>
    </row>
    <row r="114" spans="1:14" ht="13.8" customHeight="1">
      <c r="A114" s="7"/>
      <c r="B114" s="7"/>
      <c r="C114" s="7"/>
      <c r="D114" s="8"/>
      <c r="E114" s="7"/>
      <c r="F114" s="14"/>
      <c r="G114" s="22"/>
      <c r="H114" s="14"/>
      <c r="I114" s="14"/>
      <c r="J114" s="22"/>
      <c r="K114" s="22"/>
      <c r="L114" s="22"/>
      <c r="M114" s="22"/>
      <c r="N114" s="22"/>
    </row>
    <row r="115" spans="1:14" ht="13.8" customHeight="1">
      <c r="A115" s="7"/>
      <c r="B115" s="7"/>
      <c r="C115" s="7"/>
      <c r="D115" s="8"/>
      <c r="E115" s="7"/>
      <c r="F115" s="14"/>
      <c r="G115" s="22"/>
      <c r="H115" s="14"/>
      <c r="I115" s="14"/>
      <c r="J115" s="22"/>
      <c r="K115" s="22"/>
      <c r="L115" s="22"/>
      <c r="M115" s="22"/>
      <c r="N115" s="22"/>
    </row>
    <row r="116" spans="1:14" ht="13.8" customHeight="1">
      <c r="A116" s="7"/>
      <c r="B116" s="7"/>
      <c r="C116" s="7"/>
      <c r="D116" s="8"/>
      <c r="E116" s="7"/>
      <c r="F116" s="14"/>
      <c r="G116" s="22"/>
      <c r="H116" s="14"/>
      <c r="I116" s="14"/>
      <c r="J116" s="22"/>
      <c r="K116" s="22"/>
      <c r="L116" s="22"/>
      <c r="M116" s="22"/>
      <c r="N116" s="22"/>
    </row>
    <row r="117" spans="1:14" ht="13.8" customHeight="1">
      <c r="A117" s="7"/>
      <c r="B117" s="7"/>
      <c r="C117" s="7"/>
      <c r="D117" s="8"/>
      <c r="E117" s="7"/>
      <c r="F117" s="14"/>
      <c r="G117" s="22"/>
      <c r="H117" s="14"/>
      <c r="I117" s="14"/>
      <c r="J117" s="22"/>
      <c r="K117" s="22"/>
      <c r="L117" s="22"/>
      <c r="M117" s="22"/>
      <c r="N117" s="22"/>
    </row>
    <row r="118" spans="1:14" ht="13.8" customHeight="1">
      <c r="A118" s="7"/>
      <c r="B118" s="7"/>
      <c r="C118" s="7"/>
      <c r="D118" s="8"/>
      <c r="E118" s="7"/>
      <c r="F118" s="14"/>
      <c r="G118" s="22"/>
      <c r="H118" s="14"/>
      <c r="I118" s="14"/>
      <c r="J118" s="22"/>
      <c r="K118" s="22"/>
      <c r="L118" s="22"/>
      <c r="M118" s="22"/>
      <c r="N118" s="22"/>
    </row>
    <row r="119" spans="1:14" ht="13.8" customHeight="1">
      <c r="A119" s="7"/>
      <c r="B119" s="7"/>
      <c r="C119" s="7"/>
      <c r="D119" s="8"/>
      <c r="E119" s="7"/>
      <c r="F119" s="14"/>
      <c r="G119" s="22"/>
      <c r="H119" s="14"/>
      <c r="I119" s="14"/>
      <c r="J119" s="22"/>
      <c r="K119" s="22"/>
      <c r="L119" s="22"/>
      <c r="M119" s="22"/>
      <c r="N119" s="22"/>
    </row>
    <row r="120" spans="1:14" ht="13.8" customHeight="1">
      <c r="A120" s="7"/>
      <c r="B120" s="7"/>
      <c r="C120" s="7"/>
      <c r="D120" s="8"/>
      <c r="E120" s="7"/>
      <c r="F120" s="14"/>
      <c r="G120" s="22"/>
      <c r="H120" s="14"/>
      <c r="I120" s="14"/>
      <c r="J120" s="22"/>
      <c r="K120" s="22"/>
      <c r="L120" s="22"/>
      <c r="M120" s="22"/>
      <c r="N120" s="22"/>
    </row>
    <row r="121" spans="1:14" ht="13.8" customHeight="1">
      <c r="A121" s="7"/>
      <c r="B121" s="7"/>
      <c r="C121" s="7"/>
      <c r="D121" s="8"/>
      <c r="E121" s="7"/>
      <c r="F121" s="14"/>
      <c r="G121" s="22"/>
      <c r="H121" s="14"/>
      <c r="I121" s="14"/>
      <c r="J121" s="22"/>
      <c r="K121" s="22"/>
      <c r="L121" s="22"/>
      <c r="M121" s="22"/>
      <c r="N121" s="22"/>
    </row>
    <row r="122" spans="1:14" ht="13.8" customHeight="1">
      <c r="A122" s="7"/>
      <c r="B122" s="7"/>
      <c r="C122" s="7"/>
      <c r="D122" s="8"/>
      <c r="E122" s="7"/>
      <c r="F122" s="14"/>
      <c r="G122" s="22"/>
      <c r="H122" s="14"/>
      <c r="I122" s="14"/>
      <c r="J122" s="22"/>
      <c r="K122" s="22"/>
      <c r="L122" s="22"/>
      <c r="M122" s="22"/>
      <c r="N122" s="22"/>
    </row>
    <row r="123" spans="1:14" ht="13.8" customHeight="1">
      <c r="A123" s="7"/>
      <c r="B123" s="7"/>
      <c r="C123" s="7"/>
      <c r="D123" s="8"/>
      <c r="E123" s="7"/>
      <c r="F123" s="14"/>
      <c r="G123" s="22"/>
      <c r="H123" s="14"/>
      <c r="I123" s="14"/>
      <c r="J123" s="22"/>
      <c r="K123" s="22"/>
      <c r="L123" s="22"/>
      <c r="M123" s="22"/>
      <c r="N123" s="22"/>
    </row>
    <row r="124" spans="1:14" ht="13.8" customHeight="1">
      <c r="A124" s="7"/>
      <c r="B124" s="7"/>
      <c r="C124" s="7"/>
      <c r="D124" s="8"/>
      <c r="E124" s="7"/>
      <c r="F124" s="14"/>
      <c r="G124" s="22"/>
      <c r="H124" s="14"/>
      <c r="I124" s="14"/>
      <c r="J124" s="22"/>
      <c r="K124" s="22"/>
      <c r="L124" s="22"/>
      <c r="M124" s="22"/>
      <c r="N124" s="22"/>
    </row>
    <row r="125" spans="1:14" ht="13.8" customHeight="1">
      <c r="A125" s="7"/>
      <c r="B125" s="7"/>
      <c r="C125" s="7"/>
      <c r="D125" s="8"/>
      <c r="E125" s="7"/>
      <c r="F125" s="14"/>
      <c r="G125" s="22"/>
      <c r="H125" s="14"/>
      <c r="I125" s="14"/>
      <c r="J125" s="22"/>
      <c r="K125" s="22"/>
      <c r="L125" s="22"/>
      <c r="M125" s="22"/>
      <c r="N125" s="22"/>
    </row>
    <row r="126" spans="1:14" ht="13.8" customHeight="1">
      <c r="A126" s="7"/>
      <c r="B126" s="7"/>
      <c r="C126" s="7"/>
      <c r="D126" s="8"/>
      <c r="E126" s="7"/>
      <c r="F126" s="14"/>
      <c r="G126" s="22"/>
      <c r="H126" s="14"/>
      <c r="I126" s="14"/>
      <c r="J126" s="22"/>
      <c r="K126" s="22"/>
      <c r="L126" s="22"/>
      <c r="M126" s="22"/>
      <c r="N126" s="22"/>
    </row>
    <row r="127" spans="1:14" ht="13.8" customHeight="1">
      <c r="A127" s="7"/>
      <c r="B127" s="7"/>
      <c r="C127" s="7"/>
      <c r="D127" s="8"/>
      <c r="E127" s="7"/>
      <c r="F127" s="14"/>
      <c r="G127" s="22"/>
      <c r="H127" s="14"/>
      <c r="I127" s="14"/>
      <c r="J127" s="22"/>
      <c r="K127" s="22"/>
      <c r="L127" s="22"/>
      <c r="M127" s="22"/>
      <c r="N127" s="22"/>
    </row>
    <row r="128" spans="1:14" ht="13.8" customHeight="1">
      <c r="A128" s="7"/>
      <c r="B128" s="7"/>
      <c r="C128" s="7"/>
      <c r="D128" s="8"/>
      <c r="E128" s="7"/>
      <c r="F128" s="14"/>
      <c r="G128" s="22"/>
      <c r="H128" s="14"/>
      <c r="I128" s="14"/>
      <c r="J128" s="22"/>
      <c r="K128" s="22"/>
      <c r="L128" s="22"/>
      <c r="M128" s="22"/>
      <c r="N128" s="22"/>
    </row>
    <row r="129" spans="1:14" ht="13.8" customHeight="1">
      <c r="A129" s="7"/>
      <c r="B129" s="7"/>
      <c r="C129" s="7"/>
      <c r="D129" s="8"/>
      <c r="E129" s="7"/>
      <c r="F129" s="14"/>
      <c r="G129" s="22"/>
      <c r="H129" s="14"/>
      <c r="I129" s="14"/>
      <c r="J129" s="22"/>
      <c r="K129" s="22"/>
      <c r="L129" s="22"/>
      <c r="M129" s="22"/>
      <c r="N129" s="22"/>
    </row>
    <row r="130" spans="1:14" ht="13.8" customHeight="1">
      <c r="A130" s="7"/>
      <c r="B130" s="7"/>
      <c r="C130" s="7"/>
      <c r="D130" s="8"/>
      <c r="E130" s="7"/>
      <c r="F130" s="14"/>
      <c r="G130" s="22"/>
      <c r="H130" s="14"/>
      <c r="I130" s="14"/>
      <c r="J130" s="22"/>
      <c r="K130" s="22"/>
      <c r="L130" s="22"/>
      <c r="M130" s="22"/>
      <c r="N130" s="22"/>
    </row>
    <row r="131" spans="1:14" ht="13.8" customHeight="1">
      <c r="A131" s="7"/>
      <c r="B131" s="7"/>
      <c r="C131" s="7"/>
      <c r="D131" s="8"/>
      <c r="E131" s="7"/>
      <c r="F131" s="14"/>
      <c r="G131" s="22"/>
      <c r="H131" s="14"/>
      <c r="I131" s="14"/>
      <c r="J131" s="22"/>
      <c r="K131" s="22"/>
      <c r="L131" s="22"/>
      <c r="M131" s="22"/>
      <c r="N131" s="22"/>
    </row>
    <row r="132" spans="1:14" ht="13.8" customHeight="1">
      <c r="A132" s="7"/>
      <c r="B132" s="7"/>
      <c r="C132" s="7"/>
      <c r="D132" s="8"/>
      <c r="E132" s="7"/>
      <c r="F132" s="14"/>
      <c r="G132" s="22"/>
      <c r="H132" s="14"/>
      <c r="I132" s="14"/>
      <c r="J132" s="22"/>
      <c r="K132" s="22"/>
      <c r="L132" s="22"/>
      <c r="M132" s="22"/>
      <c r="N132" s="22"/>
    </row>
    <row r="133" spans="1:14" ht="13.8" customHeight="1">
      <c r="A133" s="7"/>
      <c r="B133" s="7"/>
      <c r="C133" s="7"/>
      <c r="D133" s="8"/>
      <c r="E133" s="7"/>
      <c r="F133" s="14"/>
      <c r="G133" s="22"/>
      <c r="H133" s="14"/>
      <c r="I133" s="14"/>
      <c r="J133" s="22"/>
      <c r="K133" s="22"/>
      <c r="L133" s="22"/>
      <c r="M133" s="22"/>
      <c r="N133" s="22"/>
    </row>
    <row r="134" spans="1:14" ht="13.8" customHeight="1">
      <c r="A134" s="7"/>
      <c r="B134" s="7"/>
      <c r="C134" s="7"/>
      <c r="D134" s="8"/>
      <c r="E134" s="7"/>
      <c r="F134" s="14"/>
      <c r="G134" s="22"/>
      <c r="H134" s="14"/>
      <c r="I134" s="14"/>
      <c r="J134" s="22"/>
      <c r="K134" s="22"/>
      <c r="L134" s="22"/>
      <c r="M134" s="22"/>
      <c r="N134" s="2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E166D-6A5A-45E2-833F-D0524957A1BA}">
  <dimension ref="A1:R72"/>
  <sheetViews>
    <sheetView showGridLines="0" topLeftCell="A56" workbookViewId="0">
      <selection activeCell="G64" sqref="G64:R72"/>
    </sheetView>
  </sheetViews>
  <sheetFormatPr defaultRowHeight="14.4"/>
  <cols>
    <col min="1" max="1" width="5.109375" style="15" customWidth="1"/>
    <col min="2" max="2" width="12.6640625" customWidth="1"/>
    <col min="3" max="3" width="4.21875" bestFit="1" customWidth="1"/>
    <col min="4" max="6" width="15.6640625" customWidth="1"/>
    <col min="7" max="7" width="15.6640625" style="39" customWidth="1"/>
    <col min="8" max="11" width="15.6640625" style="23" customWidth="1"/>
    <col min="12" max="13" width="5.88671875" style="40" customWidth="1"/>
    <col min="14" max="14" width="5.88671875" style="23" customWidth="1"/>
    <col min="15" max="18" width="5.88671875" style="40" customWidth="1"/>
  </cols>
  <sheetData>
    <row r="1" spans="1:18" ht="28.8">
      <c r="A1" s="41" t="s">
        <v>134</v>
      </c>
      <c r="B1" s="4" t="s">
        <v>100</v>
      </c>
      <c r="C1" s="4" t="s">
        <v>101</v>
      </c>
      <c r="D1" s="4" t="s">
        <v>102</v>
      </c>
      <c r="E1" s="4" t="s">
        <v>103</v>
      </c>
      <c r="F1" s="4" t="s">
        <v>104</v>
      </c>
      <c r="G1" s="30" t="s">
        <v>148</v>
      </c>
      <c r="H1" s="31" t="s">
        <v>146</v>
      </c>
      <c r="I1" s="31" t="s">
        <v>147</v>
      </c>
      <c r="J1" s="31" t="s">
        <v>138</v>
      </c>
      <c r="K1" s="31" t="s">
        <v>139</v>
      </c>
      <c r="L1" s="32" t="s">
        <v>135</v>
      </c>
      <c r="M1" s="32" t="s">
        <v>136</v>
      </c>
      <c r="N1" s="31" t="s">
        <v>140</v>
      </c>
      <c r="O1" s="33" t="s">
        <v>142</v>
      </c>
      <c r="P1" s="33" t="s">
        <v>143</v>
      </c>
      <c r="Q1" s="33" t="s">
        <v>149</v>
      </c>
      <c r="R1" s="33" t="s">
        <v>150</v>
      </c>
    </row>
    <row r="2" spans="1:18" ht="20.399999999999999">
      <c r="A2" s="42">
        <v>1</v>
      </c>
      <c r="B2" s="3" t="s">
        <v>105</v>
      </c>
      <c r="C2" s="3" t="s">
        <v>106</v>
      </c>
      <c r="D2" s="2" t="s">
        <v>107</v>
      </c>
      <c r="E2" s="2" t="s">
        <v>108</v>
      </c>
      <c r="F2" s="2" t="s">
        <v>109</v>
      </c>
      <c r="G2" s="34">
        <f>VALUE(LEFT(B2,2))</f>
        <v>0</v>
      </c>
      <c r="H2" s="35">
        <f>IF(VALUE(LEFT(E2,2))&lt;10,VALUE(LEFT(E2,1)),VALUE(LEFT(E2,2)))</f>
        <v>19</v>
      </c>
      <c r="I2" s="35">
        <f>IF(VALUE(LEFT(F2,2))&lt;10,VALUE(LEFT(F2,1)),VALUE(LEFT(F2,2)))</f>
        <v>10</v>
      </c>
      <c r="J2" s="36" t="str">
        <f>$A2&amp;$D2&amp;H2</f>
        <v>1Imperatriz - MA19</v>
      </c>
      <c r="K2" s="36" t="str">
        <f>$A2&amp;$D2&amp;I2</f>
        <v>1Imperatriz - MA10</v>
      </c>
      <c r="L2" s="37">
        <f>VLOOKUP(A2,'JOGOS BASE'!A:E,4,0)</f>
        <v>49</v>
      </c>
      <c r="M2" s="37">
        <f>VLOOKUP(A2,'JOGOS BASE'!A:E,5,0)</f>
        <v>50</v>
      </c>
      <c r="N2" s="38" t="str">
        <f>LEFT(C2,1)</f>
        <v>I</v>
      </c>
      <c r="O2" s="37">
        <f>IF(N2="1",L2-G2,0)</f>
        <v>0</v>
      </c>
      <c r="P2" s="37">
        <f>IF(N2="1",M2,IF(OR(N2="2",N2="I"),M2-G2,0))</f>
        <v>50</v>
      </c>
      <c r="Q2" s="37">
        <f>IF(N2="1",G2,L2)</f>
        <v>49</v>
      </c>
      <c r="R2" s="37">
        <f>IF(OR(N2="1",N2="I"),0,G2)</f>
        <v>0</v>
      </c>
    </row>
    <row r="3" spans="1:18" ht="20.399999999999999">
      <c r="A3" s="42">
        <v>1</v>
      </c>
      <c r="B3" s="3" t="s">
        <v>110</v>
      </c>
      <c r="C3" s="3" t="s">
        <v>111</v>
      </c>
      <c r="D3" s="2" t="s">
        <v>107</v>
      </c>
      <c r="E3" s="2" t="s">
        <v>112</v>
      </c>
      <c r="F3" s="2" t="s">
        <v>113</v>
      </c>
      <c r="G3" s="34">
        <f t="shared" ref="G3:G11" si="0">VALUE(LEFT(B3,2))</f>
        <v>13</v>
      </c>
      <c r="H3" s="35">
        <f t="shared" ref="H3:H11" si="1">IF(VALUE(LEFT(E3,2))&lt;10,VALUE(LEFT(E3,1)),VALUE(LEFT(E3,2)))</f>
        <v>21</v>
      </c>
      <c r="I3" s="35">
        <f t="shared" ref="I3:I11" si="2">IF(VALUE(LEFT(F3,2))&lt;10,VALUE(LEFT(F3,1)),VALUE(LEFT(F3,2)))</f>
        <v>11</v>
      </c>
      <c r="J3" s="36" t="str">
        <f t="shared" ref="J3:J11" si="3">$A3&amp;$D3&amp;H3</f>
        <v>1Imperatriz - MA21</v>
      </c>
      <c r="K3" s="36" t="str">
        <f t="shared" ref="K3:K11" si="4">$A3&amp;$D3&amp;I3</f>
        <v>1Imperatriz - MA11</v>
      </c>
      <c r="L3" s="37">
        <f>VLOOKUP(A3,'JOGOS BASE'!A:E,4,0)</f>
        <v>49</v>
      </c>
      <c r="M3" s="37">
        <f>VLOOKUP(A3,'JOGOS BASE'!A:E,5,0)</f>
        <v>50</v>
      </c>
      <c r="N3" s="38" t="str">
        <f t="shared" ref="N3:N11" si="5">LEFT(C3,1)</f>
        <v>2</v>
      </c>
      <c r="O3" s="37">
        <f t="shared" ref="O3:O11" si="6">IF(N3="1",L3-G3,0)</f>
        <v>0</v>
      </c>
      <c r="P3" s="37">
        <f t="shared" ref="P3:P11" si="7">IF(N3="1",M3,IF(OR(N3="2",N3="I"),M3-G3,0))</f>
        <v>37</v>
      </c>
      <c r="Q3" s="37">
        <f t="shared" ref="Q3:Q11" si="8">IF(N3="1",G3,L3)</f>
        <v>49</v>
      </c>
      <c r="R3" s="37">
        <f t="shared" ref="R3:R11" si="9">IF(OR(N3="1",N3="I"),0,G3)</f>
        <v>13</v>
      </c>
    </row>
    <row r="4" spans="1:18" ht="20.399999999999999">
      <c r="A4" s="42">
        <v>1</v>
      </c>
      <c r="B4" s="3" t="s">
        <v>114</v>
      </c>
      <c r="C4" s="3" t="s">
        <v>111</v>
      </c>
      <c r="D4" s="2" t="s">
        <v>107</v>
      </c>
      <c r="E4" s="2" t="s">
        <v>115</v>
      </c>
      <c r="F4" s="2" t="s">
        <v>116</v>
      </c>
      <c r="G4" s="34">
        <f t="shared" si="0"/>
        <v>27</v>
      </c>
      <c r="H4" s="35">
        <f t="shared" si="1"/>
        <v>22</v>
      </c>
      <c r="I4" s="35">
        <f t="shared" si="2"/>
        <v>9</v>
      </c>
      <c r="J4" s="36" t="str">
        <f t="shared" si="3"/>
        <v>1Imperatriz - MA22</v>
      </c>
      <c r="K4" s="36" t="str">
        <f t="shared" si="4"/>
        <v>1Imperatriz - MA9</v>
      </c>
      <c r="L4" s="37">
        <f>VLOOKUP(A4,'JOGOS BASE'!A:E,4,0)</f>
        <v>49</v>
      </c>
      <c r="M4" s="37">
        <f>VLOOKUP(A4,'JOGOS BASE'!A:E,5,0)</f>
        <v>50</v>
      </c>
      <c r="N4" s="38" t="str">
        <f t="shared" si="5"/>
        <v>2</v>
      </c>
      <c r="O4" s="37">
        <f t="shared" si="6"/>
        <v>0</v>
      </c>
      <c r="P4" s="37">
        <f t="shared" si="7"/>
        <v>23</v>
      </c>
      <c r="Q4" s="37">
        <f t="shared" si="8"/>
        <v>49</v>
      </c>
      <c r="R4" s="37">
        <f t="shared" si="9"/>
        <v>27</v>
      </c>
    </row>
    <row r="5" spans="1:18" ht="20.399999999999999">
      <c r="A5" s="42">
        <v>1</v>
      </c>
      <c r="B5" s="3" t="s">
        <v>114</v>
      </c>
      <c r="C5" s="3" t="s">
        <v>111</v>
      </c>
      <c r="D5" s="2" t="s">
        <v>107</v>
      </c>
      <c r="E5" s="2" t="s">
        <v>117</v>
      </c>
      <c r="F5" s="2" t="s">
        <v>118</v>
      </c>
      <c r="G5" s="34">
        <f t="shared" si="0"/>
        <v>27</v>
      </c>
      <c r="H5" s="35">
        <f t="shared" si="1"/>
        <v>17</v>
      </c>
      <c r="I5" s="35">
        <f t="shared" si="2"/>
        <v>5</v>
      </c>
      <c r="J5" s="36" t="str">
        <f t="shared" si="3"/>
        <v>1Imperatriz - MA17</v>
      </c>
      <c r="K5" s="36" t="str">
        <f t="shared" si="4"/>
        <v>1Imperatriz - MA5</v>
      </c>
      <c r="L5" s="37">
        <f>VLOOKUP(A5,'JOGOS BASE'!A:E,4,0)</f>
        <v>49</v>
      </c>
      <c r="M5" s="37">
        <f>VLOOKUP(A5,'JOGOS BASE'!A:E,5,0)</f>
        <v>50</v>
      </c>
      <c r="N5" s="38" t="str">
        <f t="shared" si="5"/>
        <v>2</v>
      </c>
      <c r="O5" s="37">
        <f t="shared" si="6"/>
        <v>0</v>
      </c>
      <c r="P5" s="37">
        <f t="shared" si="7"/>
        <v>23</v>
      </c>
      <c r="Q5" s="37">
        <f t="shared" si="8"/>
        <v>49</v>
      </c>
      <c r="R5" s="37">
        <f t="shared" si="9"/>
        <v>27</v>
      </c>
    </row>
    <row r="6" spans="1:18" ht="20.399999999999999">
      <c r="A6" s="42">
        <v>1</v>
      </c>
      <c r="B6" s="3" t="s">
        <v>119</v>
      </c>
      <c r="C6" s="3" t="s">
        <v>111</v>
      </c>
      <c r="D6" s="2" t="s">
        <v>107</v>
      </c>
      <c r="E6" s="2" t="s">
        <v>120</v>
      </c>
      <c r="F6" s="2" t="s">
        <v>121</v>
      </c>
      <c r="G6" s="34">
        <f t="shared" si="0"/>
        <v>40</v>
      </c>
      <c r="H6" s="35">
        <f t="shared" si="1"/>
        <v>20</v>
      </c>
      <c r="I6" s="35">
        <f t="shared" si="2"/>
        <v>7</v>
      </c>
      <c r="J6" s="36" t="str">
        <f t="shared" si="3"/>
        <v>1Imperatriz - MA20</v>
      </c>
      <c r="K6" s="36" t="str">
        <f t="shared" si="4"/>
        <v>1Imperatriz - MA7</v>
      </c>
      <c r="L6" s="37">
        <f>VLOOKUP(A6,'JOGOS BASE'!A:E,4,0)</f>
        <v>49</v>
      </c>
      <c r="M6" s="37">
        <f>VLOOKUP(A6,'JOGOS BASE'!A:E,5,0)</f>
        <v>50</v>
      </c>
      <c r="N6" s="38" t="str">
        <f t="shared" si="5"/>
        <v>2</v>
      </c>
      <c r="O6" s="37">
        <f t="shared" si="6"/>
        <v>0</v>
      </c>
      <c r="P6" s="37">
        <f t="shared" si="7"/>
        <v>10</v>
      </c>
      <c r="Q6" s="37">
        <f t="shared" si="8"/>
        <v>49</v>
      </c>
      <c r="R6" s="37">
        <f t="shared" si="9"/>
        <v>40</v>
      </c>
    </row>
    <row r="7" spans="1:18" ht="20.399999999999999">
      <c r="A7" s="42">
        <v>1</v>
      </c>
      <c r="B7" s="3" t="s">
        <v>105</v>
      </c>
      <c r="C7" s="3" t="s">
        <v>106</v>
      </c>
      <c r="D7" s="2" t="s">
        <v>122</v>
      </c>
      <c r="E7" s="2" t="s">
        <v>123</v>
      </c>
      <c r="F7" s="2" t="s">
        <v>124</v>
      </c>
      <c r="G7" s="34">
        <f t="shared" si="0"/>
        <v>0</v>
      </c>
      <c r="H7" s="35">
        <f t="shared" si="1"/>
        <v>19</v>
      </c>
      <c r="I7" s="35">
        <f t="shared" si="2"/>
        <v>7</v>
      </c>
      <c r="J7" s="36" t="str">
        <f t="shared" si="3"/>
        <v>1Sampaio Corrêa - MA19</v>
      </c>
      <c r="K7" s="36" t="str">
        <f t="shared" si="4"/>
        <v>1Sampaio Corrêa - MA7</v>
      </c>
      <c r="L7" s="37">
        <f>VLOOKUP(A7,'JOGOS BASE'!A:E,4,0)</f>
        <v>49</v>
      </c>
      <c r="M7" s="37">
        <f>VLOOKUP(A7,'JOGOS BASE'!A:E,5,0)</f>
        <v>50</v>
      </c>
      <c r="N7" s="38" t="str">
        <f t="shared" si="5"/>
        <v>I</v>
      </c>
      <c r="O7" s="37">
        <f t="shared" si="6"/>
        <v>0</v>
      </c>
      <c r="P7" s="37">
        <f t="shared" si="7"/>
        <v>50</v>
      </c>
      <c r="Q7" s="37">
        <f t="shared" si="8"/>
        <v>49</v>
      </c>
      <c r="R7" s="37">
        <f t="shared" si="9"/>
        <v>0</v>
      </c>
    </row>
    <row r="8" spans="1:18" ht="20.399999999999999">
      <c r="A8" s="42">
        <v>1</v>
      </c>
      <c r="B8" s="3" t="s">
        <v>110</v>
      </c>
      <c r="C8" s="3" t="s">
        <v>111</v>
      </c>
      <c r="D8" s="2" t="s">
        <v>122</v>
      </c>
      <c r="E8" s="2" t="s">
        <v>125</v>
      </c>
      <c r="F8" s="2" t="s">
        <v>126</v>
      </c>
      <c r="G8" s="34">
        <f t="shared" si="0"/>
        <v>13</v>
      </c>
      <c r="H8" s="35">
        <f t="shared" si="1"/>
        <v>18</v>
      </c>
      <c r="I8" s="35">
        <f t="shared" si="2"/>
        <v>10</v>
      </c>
      <c r="J8" s="36" t="str">
        <f t="shared" si="3"/>
        <v>1Sampaio Corrêa - MA18</v>
      </c>
      <c r="K8" s="36" t="str">
        <f t="shared" si="4"/>
        <v>1Sampaio Corrêa - MA10</v>
      </c>
      <c r="L8" s="37">
        <f>VLOOKUP(A8,'JOGOS BASE'!A:E,4,0)</f>
        <v>49</v>
      </c>
      <c r="M8" s="37">
        <f>VLOOKUP(A8,'JOGOS BASE'!A:E,5,0)</f>
        <v>50</v>
      </c>
      <c r="N8" s="38" t="str">
        <f t="shared" si="5"/>
        <v>2</v>
      </c>
      <c r="O8" s="37">
        <f t="shared" si="6"/>
        <v>0</v>
      </c>
      <c r="P8" s="37">
        <f t="shared" si="7"/>
        <v>37</v>
      </c>
      <c r="Q8" s="37">
        <f t="shared" si="8"/>
        <v>49</v>
      </c>
      <c r="R8" s="37">
        <f t="shared" si="9"/>
        <v>13</v>
      </c>
    </row>
    <row r="9" spans="1:18" ht="20.399999999999999">
      <c r="A9" s="42">
        <v>1</v>
      </c>
      <c r="B9" s="3" t="s">
        <v>110</v>
      </c>
      <c r="C9" s="3" t="s">
        <v>111</v>
      </c>
      <c r="D9" s="2" t="s">
        <v>122</v>
      </c>
      <c r="E9" s="2" t="s">
        <v>127</v>
      </c>
      <c r="F9" s="2" t="s">
        <v>128</v>
      </c>
      <c r="G9" s="34">
        <f t="shared" si="0"/>
        <v>13</v>
      </c>
      <c r="H9" s="35">
        <f t="shared" si="1"/>
        <v>15</v>
      </c>
      <c r="I9" s="35">
        <f t="shared" si="2"/>
        <v>6</v>
      </c>
      <c r="J9" s="36" t="str">
        <f t="shared" si="3"/>
        <v>1Sampaio Corrêa - MA15</v>
      </c>
      <c r="K9" s="36" t="str">
        <f t="shared" si="4"/>
        <v>1Sampaio Corrêa - MA6</v>
      </c>
      <c r="L9" s="37">
        <f>VLOOKUP(A9,'JOGOS BASE'!A:E,4,0)</f>
        <v>49</v>
      </c>
      <c r="M9" s="37">
        <f>VLOOKUP(A9,'JOGOS BASE'!A:E,5,0)</f>
        <v>50</v>
      </c>
      <c r="N9" s="38" t="str">
        <f t="shared" si="5"/>
        <v>2</v>
      </c>
      <c r="O9" s="37">
        <f t="shared" si="6"/>
        <v>0</v>
      </c>
      <c r="P9" s="37">
        <f t="shared" si="7"/>
        <v>37</v>
      </c>
      <c r="Q9" s="37">
        <f t="shared" si="8"/>
        <v>49</v>
      </c>
      <c r="R9" s="37">
        <f t="shared" si="9"/>
        <v>13</v>
      </c>
    </row>
    <row r="10" spans="1:18" ht="20.399999999999999">
      <c r="A10" s="42">
        <v>1</v>
      </c>
      <c r="B10" s="3" t="s">
        <v>114</v>
      </c>
      <c r="C10" s="3" t="s">
        <v>111</v>
      </c>
      <c r="D10" s="2" t="s">
        <v>122</v>
      </c>
      <c r="E10" s="2" t="s">
        <v>129</v>
      </c>
      <c r="F10" s="2" t="s">
        <v>130</v>
      </c>
      <c r="G10" s="34">
        <f t="shared" si="0"/>
        <v>27</v>
      </c>
      <c r="H10" s="35">
        <f t="shared" si="1"/>
        <v>21</v>
      </c>
      <c r="I10" s="35">
        <f t="shared" si="2"/>
        <v>11</v>
      </c>
      <c r="J10" s="36" t="str">
        <f t="shared" si="3"/>
        <v>1Sampaio Corrêa - MA21</v>
      </c>
      <c r="K10" s="36" t="str">
        <f t="shared" si="4"/>
        <v>1Sampaio Corrêa - MA11</v>
      </c>
      <c r="L10" s="37">
        <f>VLOOKUP(A10,'JOGOS BASE'!A:E,4,0)</f>
        <v>49</v>
      </c>
      <c r="M10" s="37">
        <f>VLOOKUP(A10,'JOGOS BASE'!A:E,5,0)</f>
        <v>50</v>
      </c>
      <c r="N10" s="38" t="str">
        <f t="shared" si="5"/>
        <v>2</v>
      </c>
      <c r="O10" s="37">
        <f t="shared" si="6"/>
        <v>0</v>
      </c>
      <c r="P10" s="37">
        <f t="shared" si="7"/>
        <v>23</v>
      </c>
      <c r="Q10" s="37">
        <f t="shared" si="8"/>
        <v>49</v>
      </c>
      <c r="R10" s="37">
        <f t="shared" si="9"/>
        <v>27</v>
      </c>
    </row>
    <row r="11" spans="1:18" ht="20.399999999999999">
      <c r="A11" s="42">
        <v>1</v>
      </c>
      <c r="B11" s="3" t="s">
        <v>131</v>
      </c>
      <c r="C11" s="3" t="s">
        <v>111</v>
      </c>
      <c r="D11" s="2" t="s">
        <v>122</v>
      </c>
      <c r="E11" s="2" t="s">
        <v>132</v>
      </c>
      <c r="F11" s="2" t="s">
        <v>133</v>
      </c>
      <c r="G11" s="34">
        <f t="shared" si="0"/>
        <v>41</v>
      </c>
      <c r="H11" s="35">
        <f t="shared" si="1"/>
        <v>17</v>
      </c>
      <c r="I11" s="35">
        <f t="shared" si="2"/>
        <v>9</v>
      </c>
      <c r="J11" s="36" t="str">
        <f t="shared" si="3"/>
        <v>1Sampaio Corrêa - MA17</v>
      </c>
      <c r="K11" s="36" t="str">
        <f t="shared" si="4"/>
        <v>1Sampaio Corrêa - MA9</v>
      </c>
      <c r="L11" s="37">
        <f>VLOOKUP(A11,'JOGOS BASE'!A:E,4,0)</f>
        <v>49</v>
      </c>
      <c r="M11" s="37">
        <f>VLOOKUP(A11,'JOGOS BASE'!A:E,5,0)</f>
        <v>50</v>
      </c>
      <c r="N11" s="38" t="str">
        <f t="shared" si="5"/>
        <v>2</v>
      </c>
      <c r="O11" s="37">
        <f t="shared" si="6"/>
        <v>0</v>
      </c>
      <c r="P11" s="37">
        <f t="shared" si="7"/>
        <v>9</v>
      </c>
      <c r="Q11" s="37">
        <f t="shared" si="8"/>
        <v>49</v>
      </c>
      <c r="R11" s="37">
        <f t="shared" si="9"/>
        <v>41</v>
      </c>
    </row>
    <row r="12" spans="1:18" ht="20.399999999999999">
      <c r="A12" s="15">
        <v>2</v>
      </c>
      <c r="B12" s="48">
        <v>2.25</v>
      </c>
      <c r="C12" s="47" t="s">
        <v>111</v>
      </c>
      <c r="D12" s="45" t="s">
        <v>260</v>
      </c>
      <c r="E12" s="45" t="s">
        <v>261</v>
      </c>
      <c r="F12" s="45" t="s">
        <v>262</v>
      </c>
      <c r="G12" s="34">
        <f t="shared" ref="G12:G21" si="10">VALUE(LEFT(B12,2))</f>
        <v>2</v>
      </c>
      <c r="H12" s="35">
        <f t="shared" ref="H12:H21" si="11">IF(VALUE(LEFT(E12,2))&lt;10,VALUE(LEFT(E12,1)),VALUE(LEFT(E12,2)))</f>
        <v>14</v>
      </c>
      <c r="I12" s="35">
        <f t="shared" ref="I12:I21" si="12">IF(VALUE(LEFT(F12,2))&lt;10,VALUE(LEFT(F12,1)),VALUE(LEFT(F12,2)))</f>
        <v>11</v>
      </c>
      <c r="J12" s="36" t="str">
        <f t="shared" ref="J12:J21" si="13">$A12&amp;$D12&amp;H12</f>
        <v>2Maranhão - MA14</v>
      </c>
      <c r="K12" s="36" t="str">
        <f t="shared" ref="K12:K21" si="14">$A12&amp;$D12&amp;I12</f>
        <v>2Maranhão - MA11</v>
      </c>
      <c r="L12" s="37">
        <f>VLOOKUP(A12,'JOGOS BASE'!A:E,4,0)</f>
        <v>47</v>
      </c>
      <c r="M12" s="37">
        <f>VLOOKUP(A12,'JOGOS BASE'!A:E,5,0)</f>
        <v>50</v>
      </c>
      <c r="N12" s="38" t="str">
        <f t="shared" ref="N12:N21" si="15">LEFT(C12,1)</f>
        <v>2</v>
      </c>
      <c r="O12" s="37">
        <f t="shared" ref="O12:O21" si="16">IF(N12="1",L12-G12,0)</f>
        <v>0</v>
      </c>
      <c r="P12" s="37">
        <f t="shared" ref="P12:P21" si="17">IF(N12="1",M12,IF(OR(N12="2",N12="I"),M12-G12,0))</f>
        <v>48</v>
      </c>
      <c r="Q12" s="37">
        <f t="shared" ref="Q12:Q21" si="18">IF(N12="1",G12,L12)</f>
        <v>47</v>
      </c>
      <c r="R12" s="37">
        <f t="shared" ref="R12:R21" si="19">IF(OR(N12="1",N12="I"),0,G12)</f>
        <v>2</v>
      </c>
    </row>
    <row r="13" spans="1:18" ht="20.399999999999999">
      <c r="A13" s="15">
        <v>2</v>
      </c>
      <c r="B13" s="47" t="s">
        <v>105</v>
      </c>
      <c r="C13" s="47" t="s">
        <v>106</v>
      </c>
      <c r="D13" s="45" t="s">
        <v>260</v>
      </c>
      <c r="E13" s="45" t="s">
        <v>263</v>
      </c>
      <c r="F13" s="45" t="s">
        <v>264</v>
      </c>
      <c r="G13" s="34">
        <f t="shared" si="10"/>
        <v>0</v>
      </c>
      <c r="H13" s="35">
        <f t="shared" si="11"/>
        <v>19</v>
      </c>
      <c r="I13" s="35">
        <f t="shared" si="12"/>
        <v>10</v>
      </c>
      <c r="J13" s="36" t="str">
        <f t="shared" si="13"/>
        <v>2Maranhão - MA19</v>
      </c>
      <c r="K13" s="36" t="str">
        <f t="shared" si="14"/>
        <v>2Maranhão - MA10</v>
      </c>
      <c r="L13" s="37">
        <f>VLOOKUP(A13,'JOGOS BASE'!A:E,4,0)</f>
        <v>47</v>
      </c>
      <c r="M13" s="37">
        <f>VLOOKUP(A13,'JOGOS BASE'!A:E,5,0)</f>
        <v>50</v>
      </c>
      <c r="N13" s="38" t="str">
        <f t="shared" si="15"/>
        <v>I</v>
      </c>
      <c r="O13" s="37">
        <f t="shared" si="16"/>
        <v>0</v>
      </c>
      <c r="P13" s="37">
        <f t="shared" si="17"/>
        <v>50</v>
      </c>
      <c r="Q13" s="37">
        <f t="shared" si="18"/>
        <v>47</v>
      </c>
      <c r="R13" s="37">
        <f t="shared" si="19"/>
        <v>0</v>
      </c>
    </row>
    <row r="14" spans="1:18" ht="20.399999999999999">
      <c r="A14" s="15">
        <v>2</v>
      </c>
      <c r="B14" s="47" t="s">
        <v>105</v>
      </c>
      <c r="C14" s="47" t="s">
        <v>106</v>
      </c>
      <c r="D14" s="45" t="s">
        <v>260</v>
      </c>
      <c r="E14" s="45" t="s">
        <v>265</v>
      </c>
      <c r="F14" s="45" t="s">
        <v>266</v>
      </c>
      <c r="G14" s="34">
        <f t="shared" si="10"/>
        <v>0</v>
      </c>
      <c r="H14" s="35">
        <f t="shared" si="11"/>
        <v>18</v>
      </c>
      <c r="I14" s="35">
        <f t="shared" si="12"/>
        <v>8</v>
      </c>
      <c r="J14" s="36" t="str">
        <f t="shared" si="13"/>
        <v>2Maranhão - MA18</v>
      </c>
      <c r="K14" s="36" t="str">
        <f t="shared" si="14"/>
        <v>2Maranhão - MA8</v>
      </c>
      <c r="L14" s="37">
        <f>VLOOKUP(A14,'JOGOS BASE'!A:E,4,0)</f>
        <v>47</v>
      </c>
      <c r="M14" s="37">
        <f>VLOOKUP(A14,'JOGOS BASE'!A:E,5,0)</f>
        <v>50</v>
      </c>
      <c r="N14" s="38" t="str">
        <f t="shared" si="15"/>
        <v>I</v>
      </c>
      <c r="O14" s="37">
        <f t="shared" si="16"/>
        <v>0</v>
      </c>
      <c r="P14" s="37">
        <f t="shared" si="17"/>
        <v>50</v>
      </c>
      <c r="Q14" s="37">
        <f t="shared" si="18"/>
        <v>47</v>
      </c>
      <c r="R14" s="37">
        <f t="shared" si="19"/>
        <v>0</v>
      </c>
    </row>
    <row r="15" spans="1:18" ht="20.399999999999999">
      <c r="A15" s="15">
        <v>2</v>
      </c>
      <c r="B15" s="47" t="s">
        <v>105</v>
      </c>
      <c r="C15" s="47" t="s">
        <v>106</v>
      </c>
      <c r="D15" s="45" t="s">
        <v>260</v>
      </c>
      <c r="E15" s="45" t="s">
        <v>267</v>
      </c>
      <c r="F15" s="45" t="s">
        <v>268</v>
      </c>
      <c r="G15" s="34">
        <f t="shared" si="10"/>
        <v>0</v>
      </c>
      <c r="H15" s="35">
        <f t="shared" si="11"/>
        <v>20</v>
      </c>
      <c r="I15" s="35">
        <f t="shared" si="12"/>
        <v>22</v>
      </c>
      <c r="J15" s="36" t="str">
        <f t="shared" si="13"/>
        <v>2Maranhão - MA20</v>
      </c>
      <c r="K15" s="36" t="str">
        <f t="shared" si="14"/>
        <v>2Maranhão - MA22</v>
      </c>
      <c r="L15" s="37">
        <f>VLOOKUP(A15,'JOGOS BASE'!A:E,4,0)</f>
        <v>47</v>
      </c>
      <c r="M15" s="37">
        <f>VLOOKUP(A15,'JOGOS BASE'!A:E,5,0)</f>
        <v>50</v>
      </c>
      <c r="N15" s="38" t="str">
        <f t="shared" si="15"/>
        <v>I</v>
      </c>
      <c r="O15" s="37">
        <f t="shared" si="16"/>
        <v>0</v>
      </c>
      <c r="P15" s="37">
        <f t="shared" si="17"/>
        <v>50</v>
      </c>
      <c r="Q15" s="37">
        <f t="shared" si="18"/>
        <v>47</v>
      </c>
      <c r="R15" s="37">
        <f t="shared" si="19"/>
        <v>0</v>
      </c>
    </row>
    <row r="16" spans="1:18" ht="20.399999999999999">
      <c r="A16" s="15">
        <v>2</v>
      </c>
      <c r="B16" s="47" t="s">
        <v>269</v>
      </c>
      <c r="C16" s="47" t="s">
        <v>111</v>
      </c>
      <c r="D16" s="45" t="s">
        <v>260</v>
      </c>
      <c r="E16" s="45" t="s">
        <v>270</v>
      </c>
      <c r="F16" s="45" t="s">
        <v>271</v>
      </c>
      <c r="G16" s="34">
        <f t="shared" si="10"/>
        <v>23</v>
      </c>
      <c r="H16" s="35">
        <f t="shared" si="11"/>
        <v>13</v>
      </c>
      <c r="I16" s="35">
        <f t="shared" si="12"/>
        <v>2</v>
      </c>
      <c r="J16" s="36" t="str">
        <f t="shared" si="13"/>
        <v>2Maranhão - MA13</v>
      </c>
      <c r="K16" s="36" t="str">
        <f t="shared" si="14"/>
        <v>2Maranhão - MA2</v>
      </c>
      <c r="L16" s="37">
        <f>VLOOKUP(A16,'JOGOS BASE'!A:E,4,0)</f>
        <v>47</v>
      </c>
      <c r="M16" s="37">
        <f>VLOOKUP(A16,'JOGOS BASE'!A:E,5,0)</f>
        <v>50</v>
      </c>
      <c r="N16" s="38" t="str">
        <f t="shared" si="15"/>
        <v>2</v>
      </c>
      <c r="O16" s="37">
        <f t="shared" si="16"/>
        <v>0</v>
      </c>
      <c r="P16" s="37">
        <f t="shared" si="17"/>
        <v>27</v>
      </c>
      <c r="Q16" s="37">
        <f t="shared" si="18"/>
        <v>47</v>
      </c>
      <c r="R16" s="37">
        <f t="shared" si="19"/>
        <v>23</v>
      </c>
    </row>
    <row r="17" spans="1:18" ht="20.399999999999999">
      <c r="A17" s="15">
        <v>2</v>
      </c>
      <c r="B17" s="47" t="s">
        <v>272</v>
      </c>
      <c r="C17" s="47" t="s">
        <v>111</v>
      </c>
      <c r="D17" s="45" t="s">
        <v>273</v>
      </c>
      <c r="E17" s="45" t="s">
        <v>274</v>
      </c>
      <c r="F17" s="45" t="s">
        <v>275</v>
      </c>
      <c r="G17" s="34">
        <f t="shared" si="10"/>
        <v>15</v>
      </c>
      <c r="H17" s="35">
        <f t="shared" si="11"/>
        <v>19</v>
      </c>
      <c r="I17" s="35">
        <f t="shared" si="12"/>
        <v>10</v>
      </c>
      <c r="J17" s="36" t="str">
        <f t="shared" si="13"/>
        <v>2Moto Club - MA19</v>
      </c>
      <c r="K17" s="36" t="str">
        <f t="shared" si="14"/>
        <v>2Moto Club - MA10</v>
      </c>
      <c r="L17" s="37">
        <f>VLOOKUP(A17,'JOGOS BASE'!A:E,4,0)</f>
        <v>47</v>
      </c>
      <c r="M17" s="37">
        <f>VLOOKUP(A17,'JOGOS BASE'!A:E,5,0)</f>
        <v>50</v>
      </c>
      <c r="N17" s="38" t="str">
        <f t="shared" si="15"/>
        <v>2</v>
      </c>
      <c r="O17" s="37">
        <f t="shared" si="16"/>
        <v>0</v>
      </c>
      <c r="P17" s="37">
        <f t="shared" si="17"/>
        <v>35</v>
      </c>
      <c r="Q17" s="37">
        <f t="shared" si="18"/>
        <v>47</v>
      </c>
      <c r="R17" s="37">
        <f t="shared" si="19"/>
        <v>15</v>
      </c>
    </row>
    <row r="18" spans="1:18" ht="20.399999999999999">
      <c r="A18" s="15">
        <v>2</v>
      </c>
      <c r="B18" s="47" t="s">
        <v>272</v>
      </c>
      <c r="C18" s="47" t="s">
        <v>111</v>
      </c>
      <c r="D18" s="45" t="s">
        <v>273</v>
      </c>
      <c r="E18" s="45" t="s">
        <v>276</v>
      </c>
      <c r="F18" s="45" t="s">
        <v>277</v>
      </c>
      <c r="G18" s="34">
        <f t="shared" si="10"/>
        <v>15</v>
      </c>
      <c r="H18" s="35">
        <f t="shared" si="11"/>
        <v>15</v>
      </c>
      <c r="I18" s="35">
        <f t="shared" si="12"/>
        <v>9</v>
      </c>
      <c r="J18" s="36" t="str">
        <f t="shared" si="13"/>
        <v>2Moto Club - MA15</v>
      </c>
      <c r="K18" s="36" t="str">
        <f t="shared" si="14"/>
        <v>2Moto Club - MA9</v>
      </c>
      <c r="L18" s="37">
        <f>VLOOKUP(A18,'JOGOS BASE'!A:E,4,0)</f>
        <v>47</v>
      </c>
      <c r="M18" s="37">
        <f>VLOOKUP(A18,'JOGOS BASE'!A:E,5,0)</f>
        <v>50</v>
      </c>
      <c r="N18" s="38" t="str">
        <f t="shared" si="15"/>
        <v>2</v>
      </c>
      <c r="O18" s="37">
        <f t="shared" si="16"/>
        <v>0</v>
      </c>
      <c r="P18" s="37">
        <f t="shared" si="17"/>
        <v>35</v>
      </c>
      <c r="Q18" s="37">
        <f t="shared" si="18"/>
        <v>47</v>
      </c>
      <c r="R18" s="37">
        <f t="shared" si="19"/>
        <v>15</v>
      </c>
    </row>
    <row r="19" spans="1:18" ht="20.399999999999999">
      <c r="A19" s="15">
        <v>2</v>
      </c>
      <c r="B19" s="47" t="s">
        <v>278</v>
      </c>
      <c r="C19" s="47" t="s">
        <v>111</v>
      </c>
      <c r="D19" s="45" t="s">
        <v>273</v>
      </c>
      <c r="E19" s="45" t="s">
        <v>279</v>
      </c>
      <c r="F19" s="45" t="s">
        <v>280</v>
      </c>
      <c r="G19" s="34">
        <f t="shared" si="10"/>
        <v>20</v>
      </c>
      <c r="H19" s="35">
        <f t="shared" si="11"/>
        <v>16</v>
      </c>
      <c r="I19" s="35">
        <f t="shared" si="12"/>
        <v>6</v>
      </c>
      <c r="J19" s="36" t="str">
        <f t="shared" si="13"/>
        <v>2Moto Club - MA16</v>
      </c>
      <c r="K19" s="36" t="str">
        <f t="shared" si="14"/>
        <v>2Moto Club - MA6</v>
      </c>
      <c r="L19" s="37">
        <f>VLOOKUP(A19,'JOGOS BASE'!A:E,4,0)</f>
        <v>47</v>
      </c>
      <c r="M19" s="37">
        <f>VLOOKUP(A19,'JOGOS BASE'!A:E,5,0)</f>
        <v>50</v>
      </c>
      <c r="N19" s="38" t="str">
        <f t="shared" si="15"/>
        <v>2</v>
      </c>
      <c r="O19" s="37">
        <f t="shared" si="16"/>
        <v>0</v>
      </c>
      <c r="P19" s="37">
        <f t="shared" si="17"/>
        <v>30</v>
      </c>
      <c r="Q19" s="37">
        <f t="shared" si="18"/>
        <v>47</v>
      </c>
      <c r="R19" s="37">
        <f t="shared" si="19"/>
        <v>20</v>
      </c>
    </row>
    <row r="20" spans="1:18" ht="20.399999999999999">
      <c r="A20" s="15">
        <v>2</v>
      </c>
      <c r="B20" s="47" t="s">
        <v>281</v>
      </c>
      <c r="C20" s="47" t="s">
        <v>111</v>
      </c>
      <c r="D20" s="45" t="s">
        <v>273</v>
      </c>
      <c r="E20" s="45" t="s">
        <v>282</v>
      </c>
      <c r="F20" s="45" t="s">
        <v>283</v>
      </c>
      <c r="G20" s="34">
        <f t="shared" si="10"/>
        <v>24</v>
      </c>
      <c r="H20" s="35">
        <f t="shared" si="11"/>
        <v>17</v>
      </c>
      <c r="I20" s="35">
        <f t="shared" si="12"/>
        <v>3</v>
      </c>
      <c r="J20" s="36" t="str">
        <f t="shared" si="13"/>
        <v>2Moto Club - MA17</v>
      </c>
      <c r="K20" s="36" t="str">
        <f t="shared" si="14"/>
        <v>2Moto Club - MA3</v>
      </c>
      <c r="L20" s="37">
        <f>VLOOKUP(A20,'JOGOS BASE'!A:E,4,0)</f>
        <v>47</v>
      </c>
      <c r="M20" s="37">
        <f>VLOOKUP(A20,'JOGOS BASE'!A:E,5,0)</f>
        <v>50</v>
      </c>
      <c r="N20" s="38" t="str">
        <f t="shared" si="15"/>
        <v>2</v>
      </c>
      <c r="O20" s="37">
        <f t="shared" si="16"/>
        <v>0</v>
      </c>
      <c r="P20" s="37">
        <f t="shared" si="17"/>
        <v>26</v>
      </c>
      <c r="Q20" s="37">
        <f t="shared" si="18"/>
        <v>47</v>
      </c>
      <c r="R20" s="37">
        <f t="shared" si="19"/>
        <v>24</v>
      </c>
    </row>
    <row r="21" spans="1:18" ht="20.399999999999999">
      <c r="A21" s="15">
        <v>2</v>
      </c>
      <c r="B21" s="47" t="s">
        <v>281</v>
      </c>
      <c r="C21" s="47" t="s">
        <v>111</v>
      </c>
      <c r="D21" s="45" t="s">
        <v>273</v>
      </c>
      <c r="E21" s="45" t="s">
        <v>284</v>
      </c>
      <c r="F21" s="45" t="s">
        <v>285</v>
      </c>
      <c r="G21" s="34">
        <f t="shared" si="10"/>
        <v>24</v>
      </c>
      <c r="H21" s="35">
        <f t="shared" si="11"/>
        <v>20</v>
      </c>
      <c r="I21" s="35">
        <f t="shared" si="12"/>
        <v>8</v>
      </c>
      <c r="J21" s="36" t="str">
        <f t="shared" si="13"/>
        <v>2Moto Club - MA20</v>
      </c>
      <c r="K21" s="36" t="str">
        <f t="shared" si="14"/>
        <v>2Moto Club - MA8</v>
      </c>
      <c r="L21" s="37">
        <f>VLOOKUP(A21,'JOGOS BASE'!A:E,4,0)</f>
        <v>47</v>
      </c>
      <c r="M21" s="37">
        <f>VLOOKUP(A21,'JOGOS BASE'!A:E,5,0)</f>
        <v>50</v>
      </c>
      <c r="N21" s="38" t="str">
        <f t="shared" si="15"/>
        <v>2</v>
      </c>
      <c r="O21" s="37">
        <f t="shared" si="16"/>
        <v>0</v>
      </c>
      <c r="P21" s="37">
        <f t="shared" si="17"/>
        <v>26</v>
      </c>
      <c r="Q21" s="37">
        <f t="shared" si="18"/>
        <v>47</v>
      </c>
      <c r="R21" s="37">
        <f t="shared" si="19"/>
        <v>24</v>
      </c>
    </row>
    <row r="22" spans="1:18" ht="20.399999999999999">
      <c r="A22" s="15">
        <v>3</v>
      </c>
      <c r="B22" s="47" t="s">
        <v>367</v>
      </c>
      <c r="C22" s="47" t="s">
        <v>111</v>
      </c>
      <c r="D22" s="45" t="s">
        <v>368</v>
      </c>
      <c r="E22" s="45" t="s">
        <v>369</v>
      </c>
      <c r="F22" s="45" t="s">
        <v>370</v>
      </c>
      <c r="G22" s="34">
        <f t="shared" ref="G22:G27" si="20">VALUE(LEFT(B22,2))</f>
        <v>25</v>
      </c>
      <c r="H22" s="35">
        <f t="shared" ref="H22:H27" si="21">IF(VALUE(LEFT(E22,2))&lt;10,VALUE(LEFT(E22,1)),VALUE(LEFT(E22,2)))</f>
        <v>18</v>
      </c>
      <c r="I22" s="35">
        <f t="shared" ref="I22:I27" si="22">IF(VALUE(LEFT(F22,2))&lt;10,VALUE(LEFT(F22,1)),VALUE(LEFT(F22,2)))</f>
        <v>11</v>
      </c>
      <c r="J22" s="36" t="str">
        <f t="shared" ref="J22:J27" si="23">$A22&amp;$D22&amp;H22</f>
        <v>3Pinheiro - MA18</v>
      </c>
      <c r="K22" s="36" t="str">
        <f t="shared" ref="K22:K27" si="24">$A22&amp;$D22&amp;I22</f>
        <v>3Pinheiro - MA11</v>
      </c>
      <c r="L22" s="37">
        <f>VLOOKUP(A22,'JOGOS BASE'!A:E,4,0)</f>
        <v>50</v>
      </c>
      <c r="M22" s="37">
        <f>VLOOKUP(A22,'JOGOS BASE'!A:E,5,0)</f>
        <v>47</v>
      </c>
      <c r="N22" s="38" t="str">
        <f t="shared" ref="N22:N27" si="25">LEFT(C22,1)</f>
        <v>2</v>
      </c>
      <c r="O22" s="37">
        <f t="shared" ref="O22:O27" si="26">IF(N22="1",L22-G22,0)</f>
        <v>0</v>
      </c>
      <c r="P22" s="37">
        <f t="shared" ref="P22:P27" si="27">IF(N22="1",M22,IF(OR(N22="2",N22="I"),M22-G22,0))</f>
        <v>22</v>
      </c>
      <c r="Q22" s="37">
        <f t="shared" ref="Q22:Q27" si="28">IF(N22="1",G22,L22)</f>
        <v>50</v>
      </c>
      <c r="R22" s="37">
        <f t="shared" ref="R22:R27" si="29">IF(OR(N22="1",N22="I"),0,G22)</f>
        <v>25</v>
      </c>
    </row>
    <row r="23" spans="1:18" ht="20.399999999999999">
      <c r="A23" s="15">
        <v>3</v>
      </c>
      <c r="B23" s="47" t="s">
        <v>371</v>
      </c>
      <c r="C23" s="47" t="s">
        <v>111</v>
      </c>
      <c r="D23" s="45" t="s">
        <v>368</v>
      </c>
      <c r="E23" s="45" t="s">
        <v>372</v>
      </c>
      <c r="F23" s="45" t="s">
        <v>373</v>
      </c>
      <c r="G23" s="34">
        <f t="shared" si="20"/>
        <v>32</v>
      </c>
      <c r="H23" s="35">
        <f t="shared" si="21"/>
        <v>13</v>
      </c>
      <c r="I23" s="35">
        <f t="shared" si="22"/>
        <v>7</v>
      </c>
      <c r="J23" s="36" t="str">
        <f t="shared" si="23"/>
        <v>3Pinheiro - MA13</v>
      </c>
      <c r="K23" s="36" t="str">
        <f t="shared" si="24"/>
        <v>3Pinheiro - MA7</v>
      </c>
      <c r="L23" s="37">
        <f>VLOOKUP(A23,'JOGOS BASE'!A:E,4,0)</f>
        <v>50</v>
      </c>
      <c r="M23" s="37">
        <f>VLOOKUP(A23,'JOGOS BASE'!A:E,5,0)</f>
        <v>47</v>
      </c>
      <c r="N23" s="38" t="str">
        <f t="shared" si="25"/>
        <v>2</v>
      </c>
      <c r="O23" s="37">
        <f t="shared" si="26"/>
        <v>0</v>
      </c>
      <c r="P23" s="37">
        <f t="shared" si="27"/>
        <v>15</v>
      </c>
      <c r="Q23" s="37">
        <f t="shared" si="28"/>
        <v>50</v>
      </c>
      <c r="R23" s="37">
        <f t="shared" si="29"/>
        <v>32</v>
      </c>
    </row>
    <row r="24" spans="1:18" ht="20.399999999999999">
      <c r="A24" s="15">
        <v>3</v>
      </c>
      <c r="B24" s="47" t="s">
        <v>371</v>
      </c>
      <c r="C24" s="47" t="s">
        <v>111</v>
      </c>
      <c r="D24" s="45" t="s">
        <v>368</v>
      </c>
      <c r="E24" s="45" t="s">
        <v>374</v>
      </c>
      <c r="F24" s="45" t="s">
        <v>375</v>
      </c>
      <c r="G24" s="34">
        <f t="shared" si="20"/>
        <v>32</v>
      </c>
      <c r="H24" s="35">
        <f t="shared" si="21"/>
        <v>17</v>
      </c>
      <c r="I24" s="35">
        <f t="shared" si="22"/>
        <v>9</v>
      </c>
      <c r="J24" s="36" t="str">
        <f t="shared" si="23"/>
        <v>3Pinheiro - MA17</v>
      </c>
      <c r="K24" s="36" t="str">
        <f t="shared" si="24"/>
        <v>3Pinheiro - MA9</v>
      </c>
      <c r="L24" s="37">
        <f>VLOOKUP(A24,'JOGOS BASE'!A:E,4,0)</f>
        <v>50</v>
      </c>
      <c r="M24" s="37">
        <f>VLOOKUP(A24,'JOGOS BASE'!A:E,5,0)</f>
        <v>47</v>
      </c>
      <c r="N24" s="38" t="str">
        <f t="shared" si="25"/>
        <v>2</v>
      </c>
      <c r="O24" s="37">
        <f t="shared" si="26"/>
        <v>0</v>
      </c>
      <c r="P24" s="37">
        <f t="shared" si="27"/>
        <v>15</v>
      </c>
      <c r="Q24" s="37">
        <f t="shared" si="28"/>
        <v>50</v>
      </c>
      <c r="R24" s="37">
        <f t="shared" si="29"/>
        <v>32</v>
      </c>
    </row>
    <row r="25" spans="1:18" ht="20.399999999999999">
      <c r="A25" s="15">
        <v>3</v>
      </c>
      <c r="B25" s="47" t="s">
        <v>371</v>
      </c>
      <c r="C25" s="47" t="s">
        <v>111</v>
      </c>
      <c r="D25" s="45" t="s">
        <v>368</v>
      </c>
      <c r="E25" s="45" t="s">
        <v>376</v>
      </c>
      <c r="F25" s="45" t="s">
        <v>377</v>
      </c>
      <c r="G25" s="34">
        <f t="shared" si="20"/>
        <v>32</v>
      </c>
      <c r="H25" s="35">
        <f t="shared" si="21"/>
        <v>15</v>
      </c>
      <c r="I25" s="35">
        <f t="shared" si="22"/>
        <v>6</v>
      </c>
      <c r="J25" s="36" t="str">
        <f t="shared" si="23"/>
        <v>3Pinheiro - MA15</v>
      </c>
      <c r="K25" s="36" t="str">
        <f t="shared" si="24"/>
        <v>3Pinheiro - MA6</v>
      </c>
      <c r="L25" s="37">
        <f>VLOOKUP(A25,'JOGOS BASE'!A:E,4,0)</f>
        <v>50</v>
      </c>
      <c r="M25" s="37">
        <f>VLOOKUP(A25,'JOGOS BASE'!A:E,5,0)</f>
        <v>47</v>
      </c>
      <c r="N25" s="38" t="str">
        <f t="shared" si="25"/>
        <v>2</v>
      </c>
      <c r="O25" s="37">
        <f t="shared" si="26"/>
        <v>0</v>
      </c>
      <c r="P25" s="37">
        <f t="shared" si="27"/>
        <v>15</v>
      </c>
      <c r="Q25" s="37">
        <f t="shared" si="28"/>
        <v>50</v>
      </c>
      <c r="R25" s="37">
        <f t="shared" si="29"/>
        <v>32</v>
      </c>
    </row>
    <row r="26" spans="1:18" ht="20.399999999999999">
      <c r="A26" s="15">
        <v>3</v>
      </c>
      <c r="B26" s="47" t="s">
        <v>378</v>
      </c>
      <c r="C26" s="47" t="s">
        <v>141</v>
      </c>
      <c r="D26" s="45" t="s">
        <v>368</v>
      </c>
      <c r="E26" s="45" t="s">
        <v>379</v>
      </c>
      <c r="F26" s="45" t="s">
        <v>380</v>
      </c>
      <c r="G26" s="34">
        <f t="shared" si="20"/>
        <v>42</v>
      </c>
      <c r="H26" s="35">
        <f t="shared" si="21"/>
        <v>14</v>
      </c>
      <c r="I26" s="35">
        <f t="shared" si="22"/>
        <v>2</v>
      </c>
      <c r="J26" s="36" t="str">
        <f t="shared" si="23"/>
        <v>3Pinheiro - MA14</v>
      </c>
      <c r="K26" s="36" t="str">
        <f t="shared" si="24"/>
        <v>3Pinheiro - MA2</v>
      </c>
      <c r="L26" s="37">
        <f>VLOOKUP(A26,'JOGOS BASE'!A:E,4,0)</f>
        <v>50</v>
      </c>
      <c r="M26" s="37">
        <f>VLOOKUP(A26,'JOGOS BASE'!A:E,5,0)</f>
        <v>47</v>
      </c>
      <c r="N26" s="38" t="str">
        <f t="shared" si="25"/>
        <v>1</v>
      </c>
      <c r="O26" s="37">
        <f t="shared" si="26"/>
        <v>8</v>
      </c>
      <c r="P26" s="37">
        <f t="shared" si="27"/>
        <v>47</v>
      </c>
      <c r="Q26" s="37">
        <f t="shared" si="28"/>
        <v>42</v>
      </c>
      <c r="R26" s="37">
        <f t="shared" si="29"/>
        <v>0</v>
      </c>
    </row>
    <row r="27" spans="1:18" ht="20.399999999999999">
      <c r="A27" s="15">
        <v>3</v>
      </c>
      <c r="B27" s="47" t="s">
        <v>371</v>
      </c>
      <c r="C27" s="47" t="s">
        <v>111</v>
      </c>
      <c r="D27" s="45" t="s">
        <v>381</v>
      </c>
      <c r="E27" s="45" t="s">
        <v>382</v>
      </c>
      <c r="F27" s="45" t="s">
        <v>383</v>
      </c>
      <c r="G27" s="34">
        <f t="shared" si="20"/>
        <v>32</v>
      </c>
      <c r="H27" s="35">
        <f t="shared" si="21"/>
        <v>13</v>
      </c>
      <c r="I27" s="35">
        <f t="shared" si="22"/>
        <v>8</v>
      </c>
      <c r="J27" s="36" t="str">
        <f t="shared" si="23"/>
        <v>3Viana - MA13</v>
      </c>
      <c r="K27" s="36" t="str">
        <f t="shared" si="24"/>
        <v>3Viana - MA8</v>
      </c>
      <c r="L27" s="37">
        <f>VLOOKUP(A27,'JOGOS BASE'!A:E,4,0)</f>
        <v>50</v>
      </c>
      <c r="M27" s="37">
        <f>VLOOKUP(A27,'JOGOS BASE'!A:E,5,0)</f>
        <v>47</v>
      </c>
      <c r="N27" s="38" t="str">
        <f t="shared" si="25"/>
        <v>2</v>
      </c>
      <c r="O27" s="37">
        <f t="shared" si="26"/>
        <v>0</v>
      </c>
      <c r="P27" s="37">
        <f t="shared" si="27"/>
        <v>15</v>
      </c>
      <c r="Q27" s="37">
        <f t="shared" si="28"/>
        <v>50</v>
      </c>
      <c r="R27" s="37">
        <f t="shared" si="29"/>
        <v>32</v>
      </c>
    </row>
    <row r="28" spans="1:18" ht="20.399999999999999">
      <c r="A28" s="15">
        <v>4</v>
      </c>
      <c r="B28" s="47" t="s">
        <v>404</v>
      </c>
      <c r="C28" s="47" t="s">
        <v>111</v>
      </c>
      <c r="D28" s="45" t="s">
        <v>368</v>
      </c>
      <c r="E28" s="45" t="s">
        <v>369</v>
      </c>
      <c r="F28" s="45" t="s">
        <v>370</v>
      </c>
      <c r="G28" s="34">
        <f t="shared" ref="G28:G36" si="30">VALUE(LEFT(B28,2))</f>
        <v>17</v>
      </c>
      <c r="H28" s="35">
        <f t="shared" ref="H28:H36" si="31">IF(VALUE(LEFT(E28,2))&lt;10,VALUE(LEFT(E28,1)),VALUE(LEFT(E28,2)))</f>
        <v>18</v>
      </c>
      <c r="I28" s="35">
        <f t="shared" ref="I28:I36" si="32">IF(VALUE(LEFT(F28,2))&lt;10,VALUE(LEFT(F28,1)),VALUE(LEFT(F28,2)))</f>
        <v>11</v>
      </c>
      <c r="J28" s="36" t="str">
        <f t="shared" ref="J28:J36" si="33">$A28&amp;$D28&amp;H28</f>
        <v>4Pinheiro - MA18</v>
      </c>
      <c r="K28" s="36" t="str">
        <f t="shared" ref="K28:K36" si="34">$A28&amp;$D28&amp;I28</f>
        <v>4Pinheiro - MA11</v>
      </c>
      <c r="L28" s="37">
        <f>VLOOKUP(A28,'JOGOS BASE'!A:E,4,0)</f>
        <v>49</v>
      </c>
      <c r="M28" s="37">
        <f>VLOOKUP(A28,'JOGOS BASE'!A:E,5,0)</f>
        <v>51</v>
      </c>
      <c r="N28" s="38" t="str">
        <f t="shared" ref="N28:N36" si="35">LEFT(C28,1)</f>
        <v>2</v>
      </c>
      <c r="O28" s="37">
        <f t="shared" ref="O28:O36" si="36">IF(N28="1",L28-G28,0)</f>
        <v>0</v>
      </c>
      <c r="P28" s="37">
        <f t="shared" ref="P28:P36" si="37">IF(N28="1",M28,IF(OR(N28="2",N28="I"),M28-G28,0))</f>
        <v>34</v>
      </c>
      <c r="Q28" s="37">
        <f t="shared" ref="Q28:Q36" si="38">IF(N28="1",G28,L28)</f>
        <v>49</v>
      </c>
      <c r="R28" s="37">
        <f t="shared" ref="R28:R36" si="39">IF(OR(N28="1",N28="I"),0,G28)</f>
        <v>17</v>
      </c>
    </row>
    <row r="29" spans="1:18" ht="20.399999999999999">
      <c r="A29" s="15">
        <v>4</v>
      </c>
      <c r="B29" s="47" t="s">
        <v>281</v>
      </c>
      <c r="C29" s="47" t="s">
        <v>111</v>
      </c>
      <c r="D29" s="45" t="s">
        <v>368</v>
      </c>
      <c r="E29" s="45" t="s">
        <v>372</v>
      </c>
      <c r="F29" s="45" t="s">
        <v>375</v>
      </c>
      <c r="G29" s="34">
        <f t="shared" si="30"/>
        <v>24</v>
      </c>
      <c r="H29" s="35">
        <f t="shared" si="31"/>
        <v>13</v>
      </c>
      <c r="I29" s="35">
        <f t="shared" si="32"/>
        <v>9</v>
      </c>
      <c r="J29" s="36" t="str">
        <f t="shared" si="33"/>
        <v>4Pinheiro - MA13</v>
      </c>
      <c r="K29" s="36" t="str">
        <f t="shared" si="34"/>
        <v>4Pinheiro - MA9</v>
      </c>
      <c r="L29" s="37">
        <f>VLOOKUP(A29,'JOGOS BASE'!A:E,4,0)</f>
        <v>49</v>
      </c>
      <c r="M29" s="37">
        <f>VLOOKUP(A29,'JOGOS BASE'!A:E,5,0)</f>
        <v>51</v>
      </c>
      <c r="N29" s="38" t="str">
        <f t="shared" si="35"/>
        <v>2</v>
      </c>
      <c r="O29" s="37">
        <f t="shared" si="36"/>
        <v>0</v>
      </c>
      <c r="P29" s="37">
        <f t="shared" si="37"/>
        <v>27</v>
      </c>
      <c r="Q29" s="37">
        <f t="shared" si="38"/>
        <v>49</v>
      </c>
      <c r="R29" s="37">
        <f t="shared" si="39"/>
        <v>24</v>
      </c>
    </row>
    <row r="30" spans="1:18" ht="20.399999999999999">
      <c r="A30" s="15">
        <v>4</v>
      </c>
      <c r="B30" s="47" t="s">
        <v>159</v>
      </c>
      <c r="C30" s="47" t="s">
        <v>111</v>
      </c>
      <c r="D30" s="45" t="s">
        <v>368</v>
      </c>
      <c r="E30" s="45" t="s">
        <v>374</v>
      </c>
      <c r="F30" s="45" t="s">
        <v>373</v>
      </c>
      <c r="G30" s="34">
        <f t="shared" si="30"/>
        <v>43</v>
      </c>
      <c r="H30" s="35">
        <f t="shared" si="31"/>
        <v>17</v>
      </c>
      <c r="I30" s="35">
        <f t="shared" si="32"/>
        <v>7</v>
      </c>
      <c r="J30" s="36" t="str">
        <f t="shared" si="33"/>
        <v>4Pinheiro - MA17</v>
      </c>
      <c r="K30" s="36" t="str">
        <f t="shared" si="34"/>
        <v>4Pinheiro - MA7</v>
      </c>
      <c r="L30" s="37">
        <f>VLOOKUP(A30,'JOGOS BASE'!A:E,4,0)</f>
        <v>49</v>
      </c>
      <c r="M30" s="37">
        <f>VLOOKUP(A30,'JOGOS BASE'!A:E,5,0)</f>
        <v>51</v>
      </c>
      <c r="N30" s="38" t="str">
        <f t="shared" si="35"/>
        <v>2</v>
      </c>
      <c r="O30" s="37">
        <f t="shared" si="36"/>
        <v>0</v>
      </c>
      <c r="P30" s="37">
        <f t="shared" si="37"/>
        <v>8</v>
      </c>
      <c r="Q30" s="37">
        <f t="shared" si="38"/>
        <v>49</v>
      </c>
      <c r="R30" s="37">
        <f t="shared" si="39"/>
        <v>43</v>
      </c>
    </row>
    <row r="31" spans="1:18" ht="20.399999999999999">
      <c r="A31" s="15">
        <v>4</v>
      </c>
      <c r="B31" s="47" t="s">
        <v>159</v>
      </c>
      <c r="C31" s="47" t="s">
        <v>111</v>
      </c>
      <c r="D31" s="45" t="s">
        <v>368</v>
      </c>
      <c r="E31" s="45" t="s">
        <v>379</v>
      </c>
      <c r="F31" s="45" t="s">
        <v>405</v>
      </c>
      <c r="G31" s="34">
        <f t="shared" si="30"/>
        <v>43</v>
      </c>
      <c r="H31" s="35">
        <f t="shared" si="31"/>
        <v>14</v>
      </c>
      <c r="I31" s="35">
        <f t="shared" si="32"/>
        <v>10</v>
      </c>
      <c r="J31" s="36" t="str">
        <f t="shared" si="33"/>
        <v>4Pinheiro - MA14</v>
      </c>
      <c r="K31" s="36" t="str">
        <f t="shared" si="34"/>
        <v>4Pinheiro - MA10</v>
      </c>
      <c r="L31" s="37">
        <f>VLOOKUP(A31,'JOGOS BASE'!A:E,4,0)</f>
        <v>49</v>
      </c>
      <c r="M31" s="37">
        <f>VLOOKUP(A31,'JOGOS BASE'!A:E,5,0)</f>
        <v>51</v>
      </c>
      <c r="N31" s="38" t="str">
        <f t="shared" si="35"/>
        <v>2</v>
      </c>
      <c r="O31" s="37">
        <f t="shared" si="36"/>
        <v>0</v>
      </c>
      <c r="P31" s="37">
        <f t="shared" si="37"/>
        <v>8</v>
      </c>
      <c r="Q31" s="37">
        <f t="shared" si="38"/>
        <v>49</v>
      </c>
      <c r="R31" s="37">
        <f t="shared" si="39"/>
        <v>43</v>
      </c>
    </row>
    <row r="32" spans="1:18" ht="20.399999999999999">
      <c r="A32" s="15">
        <v>4</v>
      </c>
      <c r="B32" s="47" t="s">
        <v>404</v>
      </c>
      <c r="C32" s="47" t="s">
        <v>111</v>
      </c>
      <c r="D32" s="45" t="s">
        <v>260</v>
      </c>
      <c r="E32" s="45" t="s">
        <v>268</v>
      </c>
      <c r="F32" s="45" t="s">
        <v>267</v>
      </c>
      <c r="G32" s="34">
        <f t="shared" si="30"/>
        <v>17</v>
      </c>
      <c r="H32" s="35">
        <f t="shared" si="31"/>
        <v>22</v>
      </c>
      <c r="I32" s="35">
        <f t="shared" si="32"/>
        <v>20</v>
      </c>
      <c r="J32" s="36" t="str">
        <f t="shared" si="33"/>
        <v>4Maranhão - MA22</v>
      </c>
      <c r="K32" s="36" t="str">
        <f t="shared" si="34"/>
        <v>4Maranhão - MA20</v>
      </c>
      <c r="L32" s="37">
        <f>VLOOKUP(A32,'JOGOS BASE'!A:E,4,0)</f>
        <v>49</v>
      </c>
      <c r="M32" s="37">
        <f>VLOOKUP(A32,'JOGOS BASE'!A:E,5,0)</f>
        <v>51</v>
      </c>
      <c r="N32" s="38" t="str">
        <f t="shared" si="35"/>
        <v>2</v>
      </c>
      <c r="O32" s="37">
        <f t="shared" si="36"/>
        <v>0</v>
      </c>
      <c r="P32" s="37">
        <f t="shared" si="37"/>
        <v>34</v>
      </c>
      <c r="Q32" s="37">
        <f t="shared" si="38"/>
        <v>49</v>
      </c>
      <c r="R32" s="37">
        <f t="shared" si="39"/>
        <v>17</v>
      </c>
    </row>
    <row r="33" spans="1:18" ht="20.399999999999999">
      <c r="A33" s="15">
        <v>4</v>
      </c>
      <c r="B33" s="47" t="s">
        <v>404</v>
      </c>
      <c r="C33" s="47" t="s">
        <v>111</v>
      </c>
      <c r="D33" s="45" t="s">
        <v>260</v>
      </c>
      <c r="E33" s="45" t="s">
        <v>406</v>
      </c>
      <c r="F33" s="45" t="s">
        <v>262</v>
      </c>
      <c r="G33" s="34">
        <f t="shared" si="30"/>
        <v>17</v>
      </c>
      <c r="H33" s="35">
        <f t="shared" si="31"/>
        <v>7</v>
      </c>
      <c r="I33" s="35">
        <f t="shared" si="32"/>
        <v>11</v>
      </c>
      <c r="J33" s="36" t="str">
        <f t="shared" si="33"/>
        <v>4Maranhão - MA7</v>
      </c>
      <c r="K33" s="36" t="str">
        <f t="shared" si="34"/>
        <v>4Maranhão - MA11</v>
      </c>
      <c r="L33" s="37">
        <f>VLOOKUP(A33,'JOGOS BASE'!A:E,4,0)</f>
        <v>49</v>
      </c>
      <c r="M33" s="37">
        <f>VLOOKUP(A33,'JOGOS BASE'!A:E,5,0)</f>
        <v>51</v>
      </c>
      <c r="N33" s="38" t="str">
        <f t="shared" si="35"/>
        <v>2</v>
      </c>
      <c r="O33" s="37">
        <f t="shared" si="36"/>
        <v>0</v>
      </c>
      <c r="P33" s="37">
        <f t="shared" si="37"/>
        <v>34</v>
      </c>
      <c r="Q33" s="37">
        <f t="shared" si="38"/>
        <v>49</v>
      </c>
      <c r="R33" s="37">
        <f t="shared" si="39"/>
        <v>17</v>
      </c>
    </row>
    <row r="34" spans="1:18" ht="20.399999999999999">
      <c r="A34" s="15">
        <v>4</v>
      </c>
      <c r="B34" s="47" t="s">
        <v>404</v>
      </c>
      <c r="C34" s="47" t="s">
        <v>111</v>
      </c>
      <c r="D34" s="45" t="s">
        <v>260</v>
      </c>
      <c r="E34" s="45" t="s">
        <v>407</v>
      </c>
      <c r="F34" s="45" t="s">
        <v>408</v>
      </c>
      <c r="G34" s="34">
        <f t="shared" si="30"/>
        <v>17</v>
      </c>
      <c r="H34" s="35">
        <f t="shared" si="31"/>
        <v>18</v>
      </c>
      <c r="I34" s="35">
        <f t="shared" si="32"/>
        <v>8</v>
      </c>
      <c r="J34" s="36" t="str">
        <f t="shared" si="33"/>
        <v>4Maranhão - MA18</v>
      </c>
      <c r="K34" s="36" t="str">
        <f t="shared" si="34"/>
        <v>4Maranhão - MA8</v>
      </c>
      <c r="L34" s="37">
        <f>VLOOKUP(A34,'JOGOS BASE'!A:E,4,0)</f>
        <v>49</v>
      </c>
      <c r="M34" s="37">
        <f>VLOOKUP(A34,'JOGOS BASE'!A:E,5,0)</f>
        <v>51</v>
      </c>
      <c r="N34" s="38" t="str">
        <f t="shared" si="35"/>
        <v>2</v>
      </c>
      <c r="O34" s="37">
        <f t="shared" si="36"/>
        <v>0</v>
      </c>
      <c r="P34" s="37">
        <f t="shared" si="37"/>
        <v>34</v>
      </c>
      <c r="Q34" s="37">
        <f t="shared" si="38"/>
        <v>49</v>
      </c>
      <c r="R34" s="37">
        <f t="shared" si="39"/>
        <v>17</v>
      </c>
    </row>
    <row r="35" spans="1:18" ht="20.399999999999999">
      <c r="A35" s="15">
        <v>4</v>
      </c>
      <c r="B35" s="47" t="s">
        <v>281</v>
      </c>
      <c r="C35" s="47" t="s">
        <v>111</v>
      </c>
      <c r="D35" s="45" t="s">
        <v>260</v>
      </c>
      <c r="E35" s="45" t="s">
        <v>261</v>
      </c>
      <c r="F35" s="45" t="s">
        <v>409</v>
      </c>
      <c r="G35" s="34">
        <f t="shared" si="30"/>
        <v>24</v>
      </c>
      <c r="H35" s="35">
        <f t="shared" si="31"/>
        <v>14</v>
      </c>
      <c r="I35" s="35">
        <f t="shared" si="32"/>
        <v>4</v>
      </c>
      <c r="J35" s="36" t="str">
        <f t="shared" si="33"/>
        <v>4Maranhão - MA14</v>
      </c>
      <c r="K35" s="36" t="str">
        <f t="shared" si="34"/>
        <v>4Maranhão - MA4</v>
      </c>
      <c r="L35" s="37">
        <f>VLOOKUP(A35,'JOGOS BASE'!A:E,4,0)</f>
        <v>49</v>
      </c>
      <c r="M35" s="37">
        <f>VLOOKUP(A35,'JOGOS BASE'!A:E,5,0)</f>
        <v>51</v>
      </c>
      <c r="N35" s="38" t="str">
        <f t="shared" si="35"/>
        <v>2</v>
      </c>
      <c r="O35" s="37">
        <f t="shared" si="36"/>
        <v>0</v>
      </c>
      <c r="P35" s="37">
        <f t="shared" si="37"/>
        <v>27</v>
      </c>
      <c r="Q35" s="37">
        <f t="shared" si="38"/>
        <v>49</v>
      </c>
      <c r="R35" s="37">
        <f t="shared" si="39"/>
        <v>24</v>
      </c>
    </row>
    <row r="36" spans="1:18" ht="20.399999999999999">
      <c r="A36" s="15">
        <v>4</v>
      </c>
      <c r="B36" s="47" t="s">
        <v>131</v>
      </c>
      <c r="C36" s="47" t="s">
        <v>111</v>
      </c>
      <c r="D36" s="45" t="s">
        <v>260</v>
      </c>
      <c r="E36" s="45" t="s">
        <v>410</v>
      </c>
      <c r="F36" s="45" t="s">
        <v>411</v>
      </c>
      <c r="G36" s="34">
        <f t="shared" si="30"/>
        <v>41</v>
      </c>
      <c r="H36" s="35">
        <f t="shared" si="31"/>
        <v>19</v>
      </c>
      <c r="I36" s="35">
        <f t="shared" si="32"/>
        <v>10</v>
      </c>
      <c r="J36" s="36" t="str">
        <f t="shared" si="33"/>
        <v>4Maranhão - MA19</v>
      </c>
      <c r="K36" s="36" t="str">
        <f t="shared" si="34"/>
        <v>4Maranhão - MA10</v>
      </c>
      <c r="L36" s="37">
        <f>VLOOKUP(A36,'JOGOS BASE'!A:E,4,0)</f>
        <v>49</v>
      </c>
      <c r="M36" s="37">
        <f>VLOOKUP(A36,'JOGOS BASE'!A:E,5,0)</f>
        <v>51</v>
      </c>
      <c r="N36" s="38" t="str">
        <f t="shared" si="35"/>
        <v>2</v>
      </c>
      <c r="O36" s="37">
        <f t="shared" si="36"/>
        <v>0</v>
      </c>
      <c r="P36" s="37">
        <f t="shared" si="37"/>
        <v>10</v>
      </c>
      <c r="Q36" s="37">
        <f t="shared" si="38"/>
        <v>49</v>
      </c>
      <c r="R36" s="37">
        <f t="shared" si="39"/>
        <v>41</v>
      </c>
    </row>
    <row r="37" spans="1:18" ht="20.399999999999999">
      <c r="A37" s="15">
        <v>5</v>
      </c>
      <c r="B37" s="47" t="s">
        <v>105</v>
      </c>
      <c r="C37" s="47" t="s">
        <v>106</v>
      </c>
      <c r="D37" s="45" t="s">
        <v>412</v>
      </c>
      <c r="E37" s="45" t="s">
        <v>413</v>
      </c>
      <c r="F37" s="45" t="s">
        <v>414</v>
      </c>
      <c r="G37" s="34">
        <f t="shared" ref="G37:G46" si="40">VALUE(LEFT(B37,2))</f>
        <v>0</v>
      </c>
      <c r="H37" s="35">
        <f t="shared" ref="H37:H46" si="41">IF(VALUE(LEFT(E37,2))&lt;10,VALUE(LEFT(E37,1)),VALUE(LEFT(E37,2)))</f>
        <v>8</v>
      </c>
      <c r="I37" s="35">
        <f t="shared" ref="I37:I46" si="42">IF(VALUE(LEFT(F37,2))&lt;10,VALUE(LEFT(F37,1)),VALUE(LEFT(F37,2)))</f>
        <v>11</v>
      </c>
      <c r="J37" s="36" t="str">
        <f t="shared" ref="J37:J46" si="43">$A37&amp;$D37&amp;H37</f>
        <v>5Iape - MA8</v>
      </c>
      <c r="K37" s="36" t="str">
        <f t="shared" ref="K37:K46" si="44">$A37&amp;$D37&amp;I37</f>
        <v>5Iape - MA11</v>
      </c>
      <c r="L37" s="37">
        <f>VLOOKUP(A37,'JOGOS BASE'!A:E,4,0)</f>
        <v>46</v>
      </c>
      <c r="M37" s="37">
        <f>VLOOKUP(A37,'JOGOS BASE'!A:E,5,0)</f>
        <v>48</v>
      </c>
      <c r="N37" s="38" t="str">
        <f t="shared" ref="N37:N46" si="45">LEFT(C37,1)</f>
        <v>I</v>
      </c>
      <c r="O37" s="37">
        <f t="shared" ref="O37:O46" si="46">IF(N37="1",L37-G37,0)</f>
        <v>0</v>
      </c>
      <c r="P37" s="37">
        <f t="shared" ref="P37:P46" si="47">IF(N37="1",M37,IF(OR(N37="2",N37="I"),M37-G37,0))</f>
        <v>48</v>
      </c>
      <c r="Q37" s="37">
        <f t="shared" ref="Q37:Q46" si="48">IF(N37="1",G37,L37)</f>
        <v>46</v>
      </c>
      <c r="R37" s="37">
        <f t="shared" ref="R37:R46" si="49">IF(OR(N37="1",N37="I"),0,G37)</f>
        <v>0</v>
      </c>
    </row>
    <row r="38" spans="1:18" ht="20.399999999999999">
      <c r="A38" s="15">
        <v>5</v>
      </c>
      <c r="B38" s="47" t="s">
        <v>105</v>
      </c>
      <c r="C38" s="47" t="s">
        <v>106</v>
      </c>
      <c r="D38" s="45" t="s">
        <v>412</v>
      </c>
      <c r="E38" s="45" t="s">
        <v>415</v>
      </c>
      <c r="F38" s="45" t="s">
        <v>416</v>
      </c>
      <c r="G38" s="34">
        <f t="shared" si="40"/>
        <v>0</v>
      </c>
      <c r="H38" s="35">
        <f t="shared" si="41"/>
        <v>14</v>
      </c>
      <c r="I38" s="35">
        <f t="shared" si="42"/>
        <v>7</v>
      </c>
      <c r="J38" s="36" t="str">
        <f t="shared" si="43"/>
        <v>5Iape - MA14</v>
      </c>
      <c r="K38" s="36" t="str">
        <f t="shared" si="44"/>
        <v>5Iape - MA7</v>
      </c>
      <c r="L38" s="37">
        <f>VLOOKUP(A38,'JOGOS BASE'!A:E,4,0)</f>
        <v>46</v>
      </c>
      <c r="M38" s="37">
        <f>VLOOKUP(A38,'JOGOS BASE'!A:E,5,0)</f>
        <v>48</v>
      </c>
      <c r="N38" s="38" t="str">
        <f t="shared" si="45"/>
        <v>I</v>
      </c>
      <c r="O38" s="37">
        <f t="shared" si="46"/>
        <v>0</v>
      </c>
      <c r="P38" s="37">
        <f t="shared" si="47"/>
        <v>48</v>
      </c>
      <c r="Q38" s="37">
        <f t="shared" si="48"/>
        <v>46</v>
      </c>
      <c r="R38" s="37">
        <f t="shared" si="49"/>
        <v>0</v>
      </c>
    </row>
    <row r="39" spans="1:18" ht="20.399999999999999">
      <c r="A39" s="15">
        <v>5</v>
      </c>
      <c r="B39" s="47" t="s">
        <v>417</v>
      </c>
      <c r="C39" s="47" t="s">
        <v>111</v>
      </c>
      <c r="D39" s="45" t="s">
        <v>412</v>
      </c>
      <c r="E39" s="45" t="s">
        <v>418</v>
      </c>
      <c r="F39" s="45" t="s">
        <v>419</v>
      </c>
      <c r="G39" s="34">
        <f t="shared" si="40"/>
        <v>10</v>
      </c>
      <c r="H39" s="35">
        <f t="shared" si="41"/>
        <v>22</v>
      </c>
      <c r="I39" s="35">
        <f t="shared" si="42"/>
        <v>25</v>
      </c>
      <c r="J39" s="36" t="str">
        <f t="shared" si="43"/>
        <v>5Iape - MA22</v>
      </c>
      <c r="K39" s="36" t="str">
        <f t="shared" si="44"/>
        <v>5Iape - MA25</v>
      </c>
      <c r="L39" s="37">
        <f>VLOOKUP(A39,'JOGOS BASE'!A:E,4,0)</f>
        <v>46</v>
      </c>
      <c r="M39" s="37">
        <f>VLOOKUP(A39,'JOGOS BASE'!A:E,5,0)</f>
        <v>48</v>
      </c>
      <c r="N39" s="38" t="str">
        <f t="shared" si="45"/>
        <v>2</v>
      </c>
      <c r="O39" s="37">
        <f t="shared" si="46"/>
        <v>0</v>
      </c>
      <c r="P39" s="37">
        <f t="shared" si="47"/>
        <v>38</v>
      </c>
      <c r="Q39" s="37">
        <f t="shared" si="48"/>
        <v>46</v>
      </c>
      <c r="R39" s="37">
        <f t="shared" si="49"/>
        <v>10</v>
      </c>
    </row>
    <row r="40" spans="1:18" ht="20.399999999999999">
      <c r="A40" s="15">
        <v>5</v>
      </c>
      <c r="B40" s="47" t="s">
        <v>420</v>
      </c>
      <c r="C40" s="47" t="s">
        <v>111</v>
      </c>
      <c r="D40" s="45" t="s">
        <v>412</v>
      </c>
      <c r="E40" s="45" t="s">
        <v>421</v>
      </c>
      <c r="F40" s="45" t="s">
        <v>422</v>
      </c>
      <c r="G40" s="34">
        <f t="shared" si="40"/>
        <v>16</v>
      </c>
      <c r="H40" s="35">
        <f t="shared" si="41"/>
        <v>17</v>
      </c>
      <c r="I40" s="35">
        <f t="shared" si="42"/>
        <v>9</v>
      </c>
      <c r="J40" s="36" t="str">
        <f t="shared" si="43"/>
        <v>5Iape - MA17</v>
      </c>
      <c r="K40" s="36" t="str">
        <f t="shared" si="44"/>
        <v>5Iape - MA9</v>
      </c>
      <c r="L40" s="37">
        <f>VLOOKUP(A40,'JOGOS BASE'!A:E,4,0)</f>
        <v>46</v>
      </c>
      <c r="M40" s="37">
        <f>VLOOKUP(A40,'JOGOS BASE'!A:E,5,0)</f>
        <v>48</v>
      </c>
      <c r="N40" s="38" t="str">
        <f t="shared" si="45"/>
        <v>2</v>
      </c>
      <c r="O40" s="37">
        <f t="shared" si="46"/>
        <v>0</v>
      </c>
      <c r="P40" s="37">
        <f t="shared" si="47"/>
        <v>32</v>
      </c>
      <c r="Q40" s="37">
        <f t="shared" si="48"/>
        <v>46</v>
      </c>
      <c r="R40" s="37">
        <f t="shared" si="49"/>
        <v>16</v>
      </c>
    </row>
    <row r="41" spans="1:18" ht="20.399999999999999">
      <c r="A41" s="15">
        <v>5</v>
      </c>
      <c r="B41" s="47" t="s">
        <v>281</v>
      </c>
      <c r="C41" s="47" t="s">
        <v>111</v>
      </c>
      <c r="D41" s="45" t="s">
        <v>412</v>
      </c>
      <c r="E41" s="45" t="s">
        <v>423</v>
      </c>
      <c r="F41" s="45" t="s">
        <v>424</v>
      </c>
      <c r="G41" s="34">
        <f t="shared" si="40"/>
        <v>24</v>
      </c>
      <c r="H41" s="35">
        <f t="shared" si="41"/>
        <v>20</v>
      </c>
      <c r="I41" s="35">
        <f t="shared" si="42"/>
        <v>10</v>
      </c>
      <c r="J41" s="36" t="str">
        <f t="shared" si="43"/>
        <v>5Iape - MA20</v>
      </c>
      <c r="K41" s="36" t="str">
        <f t="shared" si="44"/>
        <v>5Iape - MA10</v>
      </c>
      <c r="L41" s="37">
        <f>VLOOKUP(A41,'JOGOS BASE'!A:E,4,0)</f>
        <v>46</v>
      </c>
      <c r="M41" s="37">
        <f>VLOOKUP(A41,'JOGOS BASE'!A:E,5,0)</f>
        <v>48</v>
      </c>
      <c r="N41" s="38" t="str">
        <f t="shared" si="45"/>
        <v>2</v>
      </c>
      <c r="O41" s="37">
        <f t="shared" si="46"/>
        <v>0</v>
      </c>
      <c r="P41" s="37">
        <f t="shared" si="47"/>
        <v>24</v>
      </c>
      <c r="Q41" s="37">
        <f t="shared" si="48"/>
        <v>46</v>
      </c>
      <c r="R41" s="37">
        <f t="shared" si="49"/>
        <v>24</v>
      </c>
    </row>
    <row r="42" spans="1:18" ht="20.399999999999999">
      <c r="A42" s="15">
        <v>5</v>
      </c>
      <c r="B42" s="47" t="s">
        <v>105</v>
      </c>
      <c r="C42" s="47" t="s">
        <v>106</v>
      </c>
      <c r="D42" s="45" t="s">
        <v>122</v>
      </c>
      <c r="E42" s="45" t="s">
        <v>425</v>
      </c>
      <c r="F42" s="45" t="s">
        <v>426</v>
      </c>
      <c r="G42" s="34">
        <f t="shared" si="40"/>
        <v>0</v>
      </c>
      <c r="H42" s="35">
        <f t="shared" si="41"/>
        <v>23</v>
      </c>
      <c r="I42" s="35">
        <f t="shared" si="42"/>
        <v>17</v>
      </c>
      <c r="J42" s="36" t="str">
        <f t="shared" si="43"/>
        <v>5Sampaio Corrêa - MA23</v>
      </c>
      <c r="K42" s="36" t="str">
        <f t="shared" si="44"/>
        <v>5Sampaio Corrêa - MA17</v>
      </c>
      <c r="L42" s="37">
        <f>VLOOKUP(A42,'JOGOS BASE'!A:E,4,0)</f>
        <v>46</v>
      </c>
      <c r="M42" s="37">
        <f>VLOOKUP(A42,'JOGOS BASE'!A:E,5,0)</f>
        <v>48</v>
      </c>
      <c r="N42" s="38" t="str">
        <f t="shared" si="45"/>
        <v>I</v>
      </c>
      <c r="O42" s="37">
        <f t="shared" si="46"/>
        <v>0</v>
      </c>
      <c r="P42" s="37">
        <f t="shared" si="47"/>
        <v>48</v>
      </c>
      <c r="Q42" s="37">
        <f t="shared" si="48"/>
        <v>46</v>
      </c>
      <c r="R42" s="37">
        <f t="shared" si="49"/>
        <v>0</v>
      </c>
    </row>
    <row r="43" spans="1:18" ht="20.399999999999999">
      <c r="A43" s="15">
        <v>5</v>
      </c>
      <c r="B43" s="47" t="s">
        <v>105</v>
      </c>
      <c r="C43" s="47" t="s">
        <v>106</v>
      </c>
      <c r="D43" s="45" t="s">
        <v>122</v>
      </c>
      <c r="E43" s="45" t="s">
        <v>125</v>
      </c>
      <c r="F43" s="45" t="s">
        <v>126</v>
      </c>
      <c r="G43" s="34">
        <f t="shared" si="40"/>
        <v>0</v>
      </c>
      <c r="H43" s="35">
        <f t="shared" si="41"/>
        <v>18</v>
      </c>
      <c r="I43" s="35">
        <f t="shared" si="42"/>
        <v>10</v>
      </c>
      <c r="J43" s="36" t="str">
        <f t="shared" si="43"/>
        <v>5Sampaio Corrêa - MA18</v>
      </c>
      <c r="K43" s="36" t="str">
        <f t="shared" si="44"/>
        <v>5Sampaio Corrêa - MA10</v>
      </c>
      <c r="L43" s="37">
        <f>VLOOKUP(A43,'JOGOS BASE'!A:E,4,0)</f>
        <v>46</v>
      </c>
      <c r="M43" s="37">
        <f>VLOOKUP(A43,'JOGOS BASE'!A:E,5,0)</f>
        <v>48</v>
      </c>
      <c r="N43" s="38" t="str">
        <f t="shared" si="45"/>
        <v>I</v>
      </c>
      <c r="O43" s="37">
        <f t="shared" si="46"/>
        <v>0</v>
      </c>
      <c r="P43" s="37">
        <f t="shared" si="47"/>
        <v>48</v>
      </c>
      <c r="Q43" s="37">
        <f t="shared" si="48"/>
        <v>46</v>
      </c>
      <c r="R43" s="37">
        <f t="shared" si="49"/>
        <v>0</v>
      </c>
    </row>
    <row r="44" spans="1:18" ht="30.6">
      <c r="A44" s="15">
        <v>5</v>
      </c>
      <c r="B44" s="47" t="s">
        <v>361</v>
      </c>
      <c r="C44" s="47" t="s">
        <v>111</v>
      </c>
      <c r="D44" s="45" t="s">
        <v>122</v>
      </c>
      <c r="E44" s="45" t="s">
        <v>427</v>
      </c>
      <c r="F44" s="45" t="s">
        <v>428</v>
      </c>
      <c r="G44" s="34">
        <f t="shared" si="40"/>
        <v>14</v>
      </c>
      <c r="H44" s="35">
        <f t="shared" si="41"/>
        <v>11</v>
      </c>
      <c r="I44" s="35">
        <f t="shared" si="42"/>
        <v>7</v>
      </c>
      <c r="J44" s="36" t="str">
        <f t="shared" si="43"/>
        <v>5Sampaio Corrêa - MA11</v>
      </c>
      <c r="K44" s="36" t="str">
        <f t="shared" si="44"/>
        <v>5Sampaio Corrêa - MA7</v>
      </c>
      <c r="L44" s="37">
        <f>VLOOKUP(A44,'JOGOS BASE'!A:E,4,0)</f>
        <v>46</v>
      </c>
      <c r="M44" s="37">
        <f>VLOOKUP(A44,'JOGOS BASE'!A:E,5,0)</f>
        <v>48</v>
      </c>
      <c r="N44" s="38" t="str">
        <f t="shared" si="45"/>
        <v>2</v>
      </c>
      <c r="O44" s="37">
        <f t="shared" si="46"/>
        <v>0</v>
      </c>
      <c r="P44" s="37">
        <f t="shared" si="47"/>
        <v>34</v>
      </c>
      <c r="Q44" s="37">
        <f t="shared" si="48"/>
        <v>46</v>
      </c>
      <c r="R44" s="37">
        <f t="shared" si="49"/>
        <v>14</v>
      </c>
    </row>
    <row r="45" spans="1:18" ht="20.399999999999999">
      <c r="A45" s="15">
        <v>5</v>
      </c>
      <c r="B45" s="47" t="s">
        <v>429</v>
      </c>
      <c r="C45" s="47" t="s">
        <v>111</v>
      </c>
      <c r="D45" s="45" t="s">
        <v>122</v>
      </c>
      <c r="E45" s="45" t="s">
        <v>127</v>
      </c>
      <c r="F45" s="45" t="s">
        <v>430</v>
      </c>
      <c r="G45" s="34">
        <f t="shared" si="40"/>
        <v>33</v>
      </c>
      <c r="H45" s="35">
        <f t="shared" si="41"/>
        <v>15</v>
      </c>
      <c r="I45" s="35">
        <f t="shared" si="42"/>
        <v>8</v>
      </c>
      <c r="J45" s="36" t="str">
        <f t="shared" si="43"/>
        <v>5Sampaio Corrêa - MA15</v>
      </c>
      <c r="K45" s="36" t="str">
        <f t="shared" si="44"/>
        <v>5Sampaio Corrêa - MA8</v>
      </c>
      <c r="L45" s="37">
        <f>VLOOKUP(A45,'JOGOS BASE'!A:E,4,0)</f>
        <v>46</v>
      </c>
      <c r="M45" s="37">
        <f>VLOOKUP(A45,'JOGOS BASE'!A:E,5,0)</f>
        <v>48</v>
      </c>
      <c r="N45" s="38" t="str">
        <f t="shared" si="45"/>
        <v>2</v>
      </c>
      <c r="O45" s="37">
        <f t="shared" si="46"/>
        <v>0</v>
      </c>
      <c r="P45" s="37">
        <f t="shared" si="47"/>
        <v>15</v>
      </c>
      <c r="Q45" s="37">
        <f t="shared" si="48"/>
        <v>46</v>
      </c>
      <c r="R45" s="37">
        <f t="shared" si="49"/>
        <v>33</v>
      </c>
    </row>
    <row r="46" spans="1:18" ht="20.399999999999999">
      <c r="A46" s="15">
        <v>5</v>
      </c>
      <c r="B46" s="47" t="s">
        <v>155</v>
      </c>
      <c r="C46" s="47" t="s">
        <v>111</v>
      </c>
      <c r="D46" s="45" t="s">
        <v>122</v>
      </c>
      <c r="E46" s="45" t="s">
        <v>431</v>
      </c>
      <c r="F46" s="45" t="s">
        <v>133</v>
      </c>
      <c r="G46" s="34">
        <f t="shared" si="40"/>
        <v>35</v>
      </c>
      <c r="H46" s="35">
        <f t="shared" si="41"/>
        <v>19</v>
      </c>
      <c r="I46" s="35">
        <f t="shared" si="42"/>
        <v>9</v>
      </c>
      <c r="J46" s="36" t="str">
        <f t="shared" si="43"/>
        <v>5Sampaio Corrêa - MA19</v>
      </c>
      <c r="K46" s="36" t="str">
        <f t="shared" si="44"/>
        <v>5Sampaio Corrêa - MA9</v>
      </c>
      <c r="L46" s="37">
        <f>VLOOKUP(A46,'JOGOS BASE'!A:E,4,0)</f>
        <v>46</v>
      </c>
      <c r="M46" s="37">
        <f>VLOOKUP(A46,'JOGOS BASE'!A:E,5,0)</f>
        <v>48</v>
      </c>
      <c r="N46" s="38" t="str">
        <f t="shared" si="45"/>
        <v>2</v>
      </c>
      <c r="O46" s="37">
        <f t="shared" si="46"/>
        <v>0</v>
      </c>
      <c r="P46" s="37">
        <f t="shared" si="47"/>
        <v>13</v>
      </c>
      <c r="Q46" s="37">
        <f t="shared" si="48"/>
        <v>46</v>
      </c>
      <c r="R46" s="37">
        <f t="shared" si="49"/>
        <v>35</v>
      </c>
    </row>
    <row r="47" spans="1:18" ht="20.399999999999999">
      <c r="A47" s="15">
        <v>6</v>
      </c>
      <c r="B47" s="47" t="s">
        <v>486</v>
      </c>
      <c r="C47" s="47" t="s">
        <v>141</v>
      </c>
      <c r="D47" s="45" t="s">
        <v>388</v>
      </c>
      <c r="E47" s="45" t="s">
        <v>487</v>
      </c>
      <c r="F47" s="45" t="s">
        <v>488</v>
      </c>
      <c r="G47" s="34">
        <f t="shared" ref="G47:G56" si="50">VALUE(LEFT(B47,2))</f>
        <v>22</v>
      </c>
      <c r="H47" s="35">
        <f t="shared" ref="H47:H56" si="51">IF(VALUE(LEFT(E47,2))&lt;10,VALUE(LEFT(E47,1)),VALUE(LEFT(E47,2)))</f>
        <v>12</v>
      </c>
      <c r="I47" s="35">
        <f t="shared" ref="I47:I56" si="52">IF(VALUE(LEFT(F47,2))&lt;10,VALUE(LEFT(F47,1)),VALUE(LEFT(F47,2)))</f>
        <v>1</v>
      </c>
      <c r="J47" s="36" t="str">
        <f t="shared" ref="J47:J56" si="53">$A47&amp;$D47&amp;H47</f>
        <v>6Tuntum - MA12</v>
      </c>
      <c r="K47" s="36" t="str">
        <f t="shared" ref="K47:K56" si="54">$A47&amp;$D47&amp;I47</f>
        <v>6Tuntum - MA1</v>
      </c>
      <c r="L47" s="37">
        <f>VLOOKUP(A47,'JOGOS BASE'!A:E,4,0)</f>
        <v>50</v>
      </c>
      <c r="M47" s="37">
        <f>VLOOKUP(A47,'JOGOS BASE'!A:E,5,0)</f>
        <v>50</v>
      </c>
      <c r="N47" s="38" t="str">
        <f t="shared" ref="N47:N56" si="55">LEFT(C47,1)</f>
        <v>1</v>
      </c>
      <c r="O47" s="37">
        <f t="shared" ref="O47:O56" si="56">IF(N47="1",L47-G47,0)</f>
        <v>28</v>
      </c>
      <c r="P47" s="37">
        <f t="shared" ref="P47:P56" si="57">IF(N47="1",M47,IF(OR(N47="2",N47="I"),M47-G47,0))</f>
        <v>50</v>
      </c>
      <c r="Q47" s="37">
        <f t="shared" ref="Q47:Q56" si="58">IF(N47="1",G47,L47)</f>
        <v>22</v>
      </c>
      <c r="R47" s="37">
        <f t="shared" ref="R47:R56" si="59">IF(OR(N47="1",N47="I"),0,G47)</f>
        <v>0</v>
      </c>
    </row>
    <row r="48" spans="1:18" ht="20.399999999999999">
      <c r="A48" s="15">
        <v>6</v>
      </c>
      <c r="B48" s="47" t="s">
        <v>272</v>
      </c>
      <c r="C48" s="47" t="s">
        <v>111</v>
      </c>
      <c r="D48" s="45" t="s">
        <v>388</v>
      </c>
      <c r="E48" s="45" t="s">
        <v>489</v>
      </c>
      <c r="F48" s="45" t="s">
        <v>490</v>
      </c>
      <c r="G48" s="34">
        <f t="shared" si="50"/>
        <v>15</v>
      </c>
      <c r="H48" s="35">
        <f t="shared" si="51"/>
        <v>19</v>
      </c>
      <c r="I48" s="35">
        <f t="shared" si="52"/>
        <v>9</v>
      </c>
      <c r="J48" s="36" t="str">
        <f t="shared" si="53"/>
        <v>6Tuntum - MA19</v>
      </c>
      <c r="K48" s="36" t="str">
        <f t="shared" si="54"/>
        <v>6Tuntum - MA9</v>
      </c>
      <c r="L48" s="37">
        <f>VLOOKUP(A48,'JOGOS BASE'!A:E,4,0)</f>
        <v>50</v>
      </c>
      <c r="M48" s="37">
        <f>VLOOKUP(A48,'JOGOS BASE'!A:E,5,0)</f>
        <v>50</v>
      </c>
      <c r="N48" s="38" t="str">
        <f t="shared" si="55"/>
        <v>2</v>
      </c>
      <c r="O48" s="37">
        <f t="shared" si="56"/>
        <v>0</v>
      </c>
      <c r="P48" s="37">
        <f t="shared" si="57"/>
        <v>35</v>
      </c>
      <c r="Q48" s="37">
        <f t="shared" si="58"/>
        <v>50</v>
      </c>
      <c r="R48" s="37">
        <f t="shared" si="59"/>
        <v>15</v>
      </c>
    </row>
    <row r="49" spans="1:18" ht="20.399999999999999">
      <c r="A49" s="15">
        <v>6</v>
      </c>
      <c r="B49" s="47" t="s">
        <v>272</v>
      </c>
      <c r="C49" s="47" t="s">
        <v>111</v>
      </c>
      <c r="D49" s="45" t="s">
        <v>388</v>
      </c>
      <c r="E49" s="45" t="s">
        <v>491</v>
      </c>
      <c r="F49" s="45" t="s">
        <v>492</v>
      </c>
      <c r="G49" s="34">
        <f t="shared" si="50"/>
        <v>15</v>
      </c>
      <c r="H49" s="35">
        <f t="shared" si="51"/>
        <v>20</v>
      </c>
      <c r="I49" s="35">
        <f t="shared" si="52"/>
        <v>8</v>
      </c>
      <c r="J49" s="36" t="str">
        <f t="shared" si="53"/>
        <v>6Tuntum - MA20</v>
      </c>
      <c r="K49" s="36" t="str">
        <f t="shared" si="54"/>
        <v>6Tuntum - MA8</v>
      </c>
      <c r="L49" s="37">
        <f>VLOOKUP(A49,'JOGOS BASE'!A:E,4,0)</f>
        <v>50</v>
      </c>
      <c r="M49" s="37">
        <f>VLOOKUP(A49,'JOGOS BASE'!A:E,5,0)</f>
        <v>50</v>
      </c>
      <c r="N49" s="38" t="str">
        <f t="shared" si="55"/>
        <v>2</v>
      </c>
      <c r="O49" s="37">
        <f t="shared" si="56"/>
        <v>0</v>
      </c>
      <c r="P49" s="37">
        <f t="shared" si="57"/>
        <v>35</v>
      </c>
      <c r="Q49" s="37">
        <f t="shared" si="58"/>
        <v>50</v>
      </c>
      <c r="R49" s="37">
        <f t="shared" si="59"/>
        <v>15</v>
      </c>
    </row>
    <row r="50" spans="1:18" ht="20.399999999999999">
      <c r="A50" s="15">
        <v>6</v>
      </c>
      <c r="B50" s="47" t="s">
        <v>156</v>
      </c>
      <c r="C50" s="47" t="s">
        <v>111</v>
      </c>
      <c r="D50" s="45" t="s">
        <v>388</v>
      </c>
      <c r="E50" s="45" t="s">
        <v>493</v>
      </c>
      <c r="F50" s="45" t="s">
        <v>494</v>
      </c>
      <c r="G50" s="34">
        <f t="shared" si="50"/>
        <v>31</v>
      </c>
      <c r="H50" s="35">
        <f t="shared" si="51"/>
        <v>13</v>
      </c>
      <c r="I50" s="35">
        <f t="shared" si="52"/>
        <v>2</v>
      </c>
      <c r="J50" s="36" t="str">
        <f t="shared" si="53"/>
        <v>6Tuntum - MA13</v>
      </c>
      <c r="K50" s="36" t="str">
        <f t="shared" si="54"/>
        <v>6Tuntum - MA2</v>
      </c>
      <c r="L50" s="37">
        <f>VLOOKUP(A50,'JOGOS BASE'!A:E,4,0)</f>
        <v>50</v>
      </c>
      <c r="M50" s="37">
        <f>VLOOKUP(A50,'JOGOS BASE'!A:E,5,0)</f>
        <v>50</v>
      </c>
      <c r="N50" s="38" t="str">
        <f t="shared" si="55"/>
        <v>2</v>
      </c>
      <c r="O50" s="37">
        <f t="shared" si="56"/>
        <v>0</v>
      </c>
      <c r="P50" s="37">
        <f t="shared" si="57"/>
        <v>19</v>
      </c>
      <c r="Q50" s="37">
        <f t="shared" si="58"/>
        <v>50</v>
      </c>
      <c r="R50" s="37">
        <f t="shared" si="59"/>
        <v>31</v>
      </c>
    </row>
    <row r="51" spans="1:18" ht="20.399999999999999">
      <c r="A51" s="15">
        <v>6</v>
      </c>
      <c r="B51" s="47" t="s">
        <v>156</v>
      </c>
      <c r="C51" s="47" t="s">
        <v>111</v>
      </c>
      <c r="D51" s="45" t="s">
        <v>388</v>
      </c>
      <c r="E51" s="45" t="s">
        <v>495</v>
      </c>
      <c r="F51" s="45" t="s">
        <v>496</v>
      </c>
      <c r="G51" s="34">
        <f t="shared" si="50"/>
        <v>31</v>
      </c>
      <c r="H51" s="35">
        <f t="shared" si="51"/>
        <v>21</v>
      </c>
      <c r="I51" s="35">
        <f t="shared" si="52"/>
        <v>10</v>
      </c>
      <c r="J51" s="36" t="str">
        <f t="shared" si="53"/>
        <v>6Tuntum - MA21</v>
      </c>
      <c r="K51" s="36" t="str">
        <f t="shared" si="54"/>
        <v>6Tuntum - MA10</v>
      </c>
      <c r="L51" s="37">
        <f>VLOOKUP(A51,'JOGOS BASE'!A:E,4,0)</f>
        <v>50</v>
      </c>
      <c r="M51" s="37">
        <f>VLOOKUP(A51,'JOGOS BASE'!A:E,5,0)</f>
        <v>50</v>
      </c>
      <c r="N51" s="38" t="str">
        <f t="shared" si="55"/>
        <v>2</v>
      </c>
      <c r="O51" s="37">
        <f t="shared" si="56"/>
        <v>0</v>
      </c>
      <c r="P51" s="37">
        <f t="shared" si="57"/>
        <v>19</v>
      </c>
      <c r="Q51" s="37">
        <f t="shared" si="58"/>
        <v>50</v>
      </c>
      <c r="R51" s="37">
        <f t="shared" si="59"/>
        <v>31</v>
      </c>
    </row>
    <row r="52" spans="1:18" ht="20.399999999999999">
      <c r="A52" s="15">
        <v>6</v>
      </c>
      <c r="B52" s="47" t="s">
        <v>404</v>
      </c>
      <c r="C52" s="47" t="s">
        <v>111</v>
      </c>
      <c r="D52" s="45" t="s">
        <v>107</v>
      </c>
      <c r="E52" s="45" t="s">
        <v>115</v>
      </c>
      <c r="F52" s="45" t="s">
        <v>497</v>
      </c>
      <c r="G52" s="34">
        <f t="shared" si="50"/>
        <v>17</v>
      </c>
      <c r="H52" s="35">
        <f t="shared" si="51"/>
        <v>22</v>
      </c>
      <c r="I52" s="35">
        <f t="shared" si="52"/>
        <v>19</v>
      </c>
      <c r="J52" s="36" t="str">
        <f t="shared" si="53"/>
        <v>6Imperatriz - MA22</v>
      </c>
      <c r="K52" s="36" t="str">
        <f t="shared" si="54"/>
        <v>6Imperatriz - MA19</v>
      </c>
      <c r="L52" s="37">
        <f>VLOOKUP(A52,'JOGOS BASE'!A:E,4,0)</f>
        <v>50</v>
      </c>
      <c r="M52" s="37">
        <f>VLOOKUP(A52,'JOGOS BASE'!A:E,5,0)</f>
        <v>50</v>
      </c>
      <c r="N52" s="38" t="str">
        <f t="shared" si="55"/>
        <v>2</v>
      </c>
      <c r="O52" s="37">
        <f t="shared" si="56"/>
        <v>0</v>
      </c>
      <c r="P52" s="37">
        <f t="shared" si="57"/>
        <v>33</v>
      </c>
      <c r="Q52" s="37">
        <f t="shared" si="58"/>
        <v>50</v>
      </c>
      <c r="R52" s="37">
        <f t="shared" si="59"/>
        <v>17</v>
      </c>
    </row>
    <row r="53" spans="1:18" ht="20.399999999999999">
      <c r="A53" s="15">
        <v>6</v>
      </c>
      <c r="B53" s="47" t="s">
        <v>404</v>
      </c>
      <c r="C53" s="47" t="s">
        <v>111</v>
      </c>
      <c r="D53" s="45" t="s">
        <v>107</v>
      </c>
      <c r="E53" s="45" t="s">
        <v>498</v>
      </c>
      <c r="F53" s="45" t="s">
        <v>109</v>
      </c>
      <c r="G53" s="34">
        <f t="shared" si="50"/>
        <v>17</v>
      </c>
      <c r="H53" s="35">
        <f t="shared" si="51"/>
        <v>11</v>
      </c>
      <c r="I53" s="35">
        <f t="shared" si="52"/>
        <v>10</v>
      </c>
      <c r="J53" s="36" t="str">
        <f t="shared" si="53"/>
        <v>6Imperatriz - MA11</v>
      </c>
      <c r="K53" s="36" t="str">
        <f t="shared" si="54"/>
        <v>6Imperatriz - MA10</v>
      </c>
      <c r="L53" s="37">
        <f>VLOOKUP(A53,'JOGOS BASE'!A:E,4,0)</f>
        <v>50</v>
      </c>
      <c r="M53" s="37">
        <f>VLOOKUP(A53,'JOGOS BASE'!A:E,5,0)</f>
        <v>50</v>
      </c>
      <c r="N53" s="38" t="str">
        <f t="shared" si="55"/>
        <v>2</v>
      </c>
      <c r="O53" s="37">
        <f t="shared" si="56"/>
        <v>0</v>
      </c>
      <c r="P53" s="37">
        <f t="shared" si="57"/>
        <v>33</v>
      </c>
      <c r="Q53" s="37">
        <f t="shared" si="58"/>
        <v>50</v>
      </c>
      <c r="R53" s="37">
        <f t="shared" si="59"/>
        <v>17</v>
      </c>
    </row>
    <row r="54" spans="1:18" ht="20.399999999999999">
      <c r="A54" s="15">
        <v>6</v>
      </c>
      <c r="B54" s="47" t="s">
        <v>156</v>
      </c>
      <c r="C54" s="47" t="s">
        <v>111</v>
      </c>
      <c r="D54" s="45" t="s">
        <v>107</v>
      </c>
      <c r="E54" s="45" t="s">
        <v>499</v>
      </c>
      <c r="F54" s="45" t="s">
        <v>116</v>
      </c>
      <c r="G54" s="34">
        <f t="shared" si="50"/>
        <v>31</v>
      </c>
      <c r="H54" s="35">
        <f t="shared" si="51"/>
        <v>18</v>
      </c>
      <c r="I54" s="35">
        <f t="shared" si="52"/>
        <v>9</v>
      </c>
      <c r="J54" s="36" t="str">
        <f t="shared" si="53"/>
        <v>6Imperatriz - MA18</v>
      </c>
      <c r="K54" s="36" t="str">
        <f t="shared" si="54"/>
        <v>6Imperatriz - MA9</v>
      </c>
      <c r="L54" s="37">
        <f>VLOOKUP(A54,'JOGOS BASE'!A:E,4,0)</f>
        <v>50</v>
      </c>
      <c r="M54" s="37">
        <f>VLOOKUP(A54,'JOGOS BASE'!A:E,5,0)</f>
        <v>50</v>
      </c>
      <c r="N54" s="38" t="str">
        <f t="shared" si="55"/>
        <v>2</v>
      </c>
      <c r="O54" s="37">
        <f t="shared" si="56"/>
        <v>0</v>
      </c>
      <c r="P54" s="37">
        <f t="shared" si="57"/>
        <v>19</v>
      </c>
      <c r="Q54" s="37">
        <f t="shared" si="58"/>
        <v>50</v>
      </c>
      <c r="R54" s="37">
        <f t="shared" si="59"/>
        <v>31</v>
      </c>
    </row>
    <row r="55" spans="1:18" ht="20.399999999999999">
      <c r="A55" s="15">
        <v>6</v>
      </c>
      <c r="B55" s="47" t="s">
        <v>156</v>
      </c>
      <c r="C55" s="47" t="s">
        <v>111</v>
      </c>
      <c r="D55" s="45" t="s">
        <v>107</v>
      </c>
      <c r="E55" s="45" t="s">
        <v>500</v>
      </c>
      <c r="F55" s="45" t="s">
        <v>501</v>
      </c>
      <c r="G55" s="34">
        <f t="shared" si="50"/>
        <v>31</v>
      </c>
      <c r="H55" s="35">
        <f t="shared" si="51"/>
        <v>16</v>
      </c>
      <c r="I55" s="35">
        <f t="shared" si="52"/>
        <v>8</v>
      </c>
      <c r="J55" s="36" t="str">
        <f t="shared" si="53"/>
        <v>6Imperatriz - MA16</v>
      </c>
      <c r="K55" s="36" t="str">
        <f t="shared" si="54"/>
        <v>6Imperatriz - MA8</v>
      </c>
      <c r="L55" s="37">
        <f>VLOOKUP(A55,'JOGOS BASE'!A:E,4,0)</f>
        <v>50</v>
      </c>
      <c r="M55" s="37">
        <f>VLOOKUP(A55,'JOGOS BASE'!A:E,5,0)</f>
        <v>50</v>
      </c>
      <c r="N55" s="38" t="str">
        <f t="shared" si="55"/>
        <v>2</v>
      </c>
      <c r="O55" s="37">
        <f t="shared" si="56"/>
        <v>0</v>
      </c>
      <c r="P55" s="37">
        <f t="shared" si="57"/>
        <v>19</v>
      </c>
      <c r="Q55" s="37">
        <f t="shared" si="58"/>
        <v>50</v>
      </c>
      <c r="R55" s="37">
        <f t="shared" si="59"/>
        <v>31</v>
      </c>
    </row>
    <row r="56" spans="1:18" ht="20.399999999999999">
      <c r="A56" s="15">
        <v>6</v>
      </c>
      <c r="B56" s="47" t="s">
        <v>131</v>
      </c>
      <c r="C56" s="47" t="s">
        <v>111</v>
      </c>
      <c r="D56" s="45" t="s">
        <v>107</v>
      </c>
      <c r="E56" s="45" t="s">
        <v>502</v>
      </c>
      <c r="F56" s="45" t="s">
        <v>121</v>
      </c>
      <c r="G56" s="34">
        <f t="shared" si="50"/>
        <v>41</v>
      </c>
      <c r="H56" s="35">
        <f t="shared" si="51"/>
        <v>15</v>
      </c>
      <c r="I56" s="35">
        <f t="shared" si="52"/>
        <v>7</v>
      </c>
      <c r="J56" s="36" t="str">
        <f t="shared" si="53"/>
        <v>6Imperatriz - MA15</v>
      </c>
      <c r="K56" s="36" t="str">
        <f t="shared" si="54"/>
        <v>6Imperatriz - MA7</v>
      </c>
      <c r="L56" s="37">
        <f>VLOOKUP(A56,'JOGOS BASE'!A:E,4,0)</f>
        <v>50</v>
      </c>
      <c r="M56" s="37">
        <f>VLOOKUP(A56,'JOGOS BASE'!A:E,5,0)</f>
        <v>50</v>
      </c>
      <c r="N56" s="38" t="str">
        <f t="shared" si="55"/>
        <v>2</v>
      </c>
      <c r="O56" s="37">
        <f t="shared" si="56"/>
        <v>0</v>
      </c>
      <c r="P56" s="37">
        <f t="shared" si="57"/>
        <v>9</v>
      </c>
      <c r="Q56" s="37">
        <f t="shared" si="58"/>
        <v>50</v>
      </c>
      <c r="R56" s="37">
        <f t="shared" si="59"/>
        <v>41</v>
      </c>
    </row>
    <row r="57" spans="1:18" ht="20.399999999999999">
      <c r="A57" s="15">
        <v>7</v>
      </c>
      <c r="B57" s="47" t="s">
        <v>281</v>
      </c>
      <c r="C57" s="47" t="s">
        <v>111</v>
      </c>
      <c r="D57" s="45" t="s">
        <v>107</v>
      </c>
      <c r="E57" s="45" t="s">
        <v>115</v>
      </c>
      <c r="F57" s="45" t="s">
        <v>116</v>
      </c>
      <c r="G57" s="34">
        <f t="shared" ref="G57:G64" si="60">VALUE(LEFT(B57,2))</f>
        <v>24</v>
      </c>
      <c r="H57" s="35">
        <f t="shared" ref="H57:H64" si="61">IF(VALUE(LEFT(E57,2))&lt;10,VALUE(LEFT(E57,1)),VALUE(LEFT(E57,2)))</f>
        <v>22</v>
      </c>
      <c r="I57" s="35">
        <f t="shared" ref="I57:I64" si="62">IF(VALUE(LEFT(F57,2))&lt;10,VALUE(LEFT(F57,1)),VALUE(LEFT(F57,2)))</f>
        <v>9</v>
      </c>
      <c r="J57" s="36" t="str">
        <f t="shared" ref="J57:J64" si="63">$A57&amp;$D57&amp;H57</f>
        <v>7Imperatriz - MA22</v>
      </c>
      <c r="K57" s="36" t="str">
        <f t="shared" ref="K57:K64" si="64">$A57&amp;$D57&amp;I57</f>
        <v>7Imperatriz - MA9</v>
      </c>
      <c r="L57" s="37">
        <f>VLOOKUP(A57,'JOGOS BASE'!A:E,4,0)</f>
        <v>48</v>
      </c>
      <c r="M57" s="37">
        <f>VLOOKUP(A57,'JOGOS BASE'!A:E,5,0)</f>
        <v>51</v>
      </c>
      <c r="N57" s="38" t="str">
        <f t="shared" ref="N57:N64" si="65">LEFT(C57,1)</f>
        <v>2</v>
      </c>
      <c r="O57" s="37">
        <f t="shared" ref="O57:O64" si="66">IF(N57="1",L57-G57,0)</f>
        <v>0</v>
      </c>
      <c r="P57" s="37">
        <f t="shared" ref="P57:P64" si="67">IF(N57="1",M57,IF(OR(N57="2",N57="I"),M57-G57,0))</f>
        <v>27</v>
      </c>
      <c r="Q57" s="37">
        <f t="shared" ref="Q57:Q64" si="68">IF(N57="1",G57,L57)</f>
        <v>48</v>
      </c>
      <c r="R57" s="37">
        <f t="shared" ref="R57:R64" si="69">IF(OR(N57="1",N57="I"),0,G57)</f>
        <v>24</v>
      </c>
    </row>
    <row r="58" spans="1:18" ht="20.399999999999999">
      <c r="A58" s="15">
        <v>7</v>
      </c>
      <c r="B58" s="47" t="s">
        <v>281</v>
      </c>
      <c r="C58" s="47" t="s">
        <v>111</v>
      </c>
      <c r="D58" s="45" t="s">
        <v>107</v>
      </c>
      <c r="E58" s="45" t="s">
        <v>571</v>
      </c>
      <c r="F58" s="45" t="s">
        <v>497</v>
      </c>
      <c r="G58" s="34">
        <f t="shared" si="60"/>
        <v>24</v>
      </c>
      <c r="H58" s="35">
        <f t="shared" si="61"/>
        <v>21</v>
      </c>
      <c r="I58" s="35">
        <f t="shared" si="62"/>
        <v>19</v>
      </c>
      <c r="J58" s="36" t="str">
        <f t="shared" si="63"/>
        <v>7Imperatriz - MA21</v>
      </c>
      <c r="K58" s="36" t="str">
        <f t="shared" si="64"/>
        <v>7Imperatriz - MA19</v>
      </c>
      <c r="L58" s="37">
        <f>VLOOKUP(A58,'JOGOS BASE'!A:E,4,0)</f>
        <v>48</v>
      </c>
      <c r="M58" s="37">
        <f>VLOOKUP(A58,'JOGOS BASE'!A:E,5,0)</f>
        <v>51</v>
      </c>
      <c r="N58" s="38" t="str">
        <f t="shared" si="65"/>
        <v>2</v>
      </c>
      <c r="O58" s="37">
        <f t="shared" si="66"/>
        <v>0</v>
      </c>
      <c r="P58" s="37">
        <f t="shared" si="67"/>
        <v>27</v>
      </c>
      <c r="Q58" s="37">
        <f t="shared" si="68"/>
        <v>48</v>
      </c>
      <c r="R58" s="37">
        <f t="shared" si="69"/>
        <v>24</v>
      </c>
    </row>
    <row r="59" spans="1:18" ht="20.399999999999999">
      <c r="A59" s="15">
        <v>7</v>
      </c>
      <c r="B59" s="47" t="s">
        <v>105</v>
      </c>
      <c r="C59" s="47" t="s">
        <v>106</v>
      </c>
      <c r="D59" s="45" t="s">
        <v>107</v>
      </c>
      <c r="E59" s="45" t="s">
        <v>498</v>
      </c>
      <c r="F59" s="45" t="s">
        <v>118</v>
      </c>
      <c r="G59" s="34">
        <f t="shared" si="60"/>
        <v>0</v>
      </c>
      <c r="H59" s="35">
        <f t="shared" si="61"/>
        <v>11</v>
      </c>
      <c r="I59" s="35">
        <f t="shared" si="62"/>
        <v>5</v>
      </c>
      <c r="J59" s="36" t="str">
        <f t="shared" si="63"/>
        <v>7Imperatriz - MA11</v>
      </c>
      <c r="K59" s="36" t="str">
        <f t="shared" si="64"/>
        <v>7Imperatriz - MA5</v>
      </c>
      <c r="L59" s="37">
        <f>VLOOKUP(A59,'JOGOS BASE'!A:E,4,0)</f>
        <v>48</v>
      </c>
      <c r="M59" s="37">
        <f>VLOOKUP(A59,'JOGOS BASE'!A:E,5,0)</f>
        <v>51</v>
      </c>
      <c r="N59" s="38" t="str">
        <f t="shared" si="65"/>
        <v>I</v>
      </c>
      <c r="O59" s="37">
        <f t="shared" si="66"/>
        <v>0</v>
      </c>
      <c r="P59" s="37">
        <f t="shared" si="67"/>
        <v>51</v>
      </c>
      <c r="Q59" s="37">
        <f t="shared" si="68"/>
        <v>48</v>
      </c>
      <c r="R59" s="37">
        <f t="shared" si="69"/>
        <v>0</v>
      </c>
    </row>
    <row r="60" spans="1:18" ht="20.399999999999999">
      <c r="A60" s="15">
        <v>7</v>
      </c>
      <c r="B60" s="47" t="s">
        <v>396</v>
      </c>
      <c r="C60" s="47" t="s">
        <v>111</v>
      </c>
      <c r="D60" s="45" t="s">
        <v>107</v>
      </c>
      <c r="E60" s="45" t="s">
        <v>572</v>
      </c>
      <c r="F60" s="45" t="s">
        <v>109</v>
      </c>
      <c r="G60" s="34">
        <f t="shared" si="60"/>
        <v>30</v>
      </c>
      <c r="H60" s="35">
        <f t="shared" si="61"/>
        <v>14</v>
      </c>
      <c r="I60" s="35">
        <f t="shared" si="62"/>
        <v>10</v>
      </c>
      <c r="J60" s="36" t="str">
        <f t="shared" si="63"/>
        <v>7Imperatriz - MA14</v>
      </c>
      <c r="K60" s="36" t="str">
        <f t="shared" si="64"/>
        <v>7Imperatriz - MA10</v>
      </c>
      <c r="L60" s="37">
        <f>VLOOKUP(A60,'JOGOS BASE'!A:E,4,0)</f>
        <v>48</v>
      </c>
      <c r="M60" s="37">
        <f>VLOOKUP(A60,'JOGOS BASE'!A:E,5,0)</f>
        <v>51</v>
      </c>
      <c r="N60" s="38" t="str">
        <f t="shared" si="65"/>
        <v>2</v>
      </c>
      <c r="O60" s="37">
        <f t="shared" si="66"/>
        <v>0</v>
      </c>
      <c r="P60" s="37">
        <f t="shared" si="67"/>
        <v>21</v>
      </c>
      <c r="Q60" s="37">
        <f t="shared" si="68"/>
        <v>48</v>
      </c>
      <c r="R60" s="37">
        <f t="shared" si="69"/>
        <v>30</v>
      </c>
    </row>
    <row r="61" spans="1:18" ht="20.399999999999999">
      <c r="A61" s="15">
        <v>7</v>
      </c>
      <c r="B61" s="47" t="s">
        <v>396</v>
      </c>
      <c r="C61" s="47" t="s">
        <v>111</v>
      </c>
      <c r="D61" s="45" t="s">
        <v>107</v>
      </c>
      <c r="E61" s="45" t="s">
        <v>573</v>
      </c>
      <c r="F61" s="45" t="s">
        <v>574</v>
      </c>
      <c r="G61" s="34">
        <f t="shared" si="60"/>
        <v>30</v>
      </c>
      <c r="H61" s="35">
        <f t="shared" si="61"/>
        <v>13</v>
      </c>
      <c r="I61" s="35">
        <f t="shared" si="62"/>
        <v>3</v>
      </c>
      <c r="J61" s="36" t="str">
        <f t="shared" si="63"/>
        <v>7Imperatriz - MA13</v>
      </c>
      <c r="K61" s="36" t="str">
        <f t="shared" si="64"/>
        <v>7Imperatriz - MA3</v>
      </c>
      <c r="L61" s="37">
        <f>VLOOKUP(A61,'JOGOS BASE'!A:E,4,0)</f>
        <v>48</v>
      </c>
      <c r="M61" s="37">
        <f>VLOOKUP(A61,'JOGOS BASE'!A:E,5,0)</f>
        <v>51</v>
      </c>
      <c r="N61" s="38" t="str">
        <f t="shared" si="65"/>
        <v>2</v>
      </c>
      <c r="O61" s="37">
        <f t="shared" si="66"/>
        <v>0</v>
      </c>
      <c r="P61" s="37">
        <f t="shared" si="67"/>
        <v>21</v>
      </c>
      <c r="Q61" s="37">
        <f t="shared" si="68"/>
        <v>48</v>
      </c>
      <c r="R61" s="37">
        <f t="shared" si="69"/>
        <v>30</v>
      </c>
    </row>
    <row r="62" spans="1:18" ht="20.399999999999999">
      <c r="A62" s="15">
        <v>7</v>
      </c>
      <c r="B62" s="47" t="s">
        <v>105</v>
      </c>
      <c r="C62" s="47" t="s">
        <v>106</v>
      </c>
      <c r="D62" s="45" t="s">
        <v>368</v>
      </c>
      <c r="E62" s="45" t="s">
        <v>376</v>
      </c>
      <c r="F62" s="45" t="s">
        <v>377</v>
      </c>
      <c r="G62" s="34">
        <f t="shared" si="60"/>
        <v>0</v>
      </c>
      <c r="H62" s="35">
        <f t="shared" si="61"/>
        <v>15</v>
      </c>
      <c r="I62" s="35">
        <f t="shared" si="62"/>
        <v>6</v>
      </c>
      <c r="J62" s="36" t="str">
        <f t="shared" si="63"/>
        <v>7Pinheiro - MA15</v>
      </c>
      <c r="K62" s="36" t="str">
        <f t="shared" si="64"/>
        <v>7Pinheiro - MA6</v>
      </c>
      <c r="L62" s="37">
        <f>VLOOKUP(A62,'JOGOS BASE'!A:E,4,0)</f>
        <v>48</v>
      </c>
      <c r="M62" s="37">
        <f>VLOOKUP(A62,'JOGOS BASE'!A:E,5,0)</f>
        <v>51</v>
      </c>
      <c r="N62" s="38" t="str">
        <f t="shared" si="65"/>
        <v>I</v>
      </c>
      <c r="O62" s="37">
        <f t="shared" si="66"/>
        <v>0</v>
      </c>
      <c r="P62" s="37">
        <f t="shared" si="67"/>
        <v>51</v>
      </c>
      <c r="Q62" s="37">
        <f t="shared" si="68"/>
        <v>48</v>
      </c>
      <c r="R62" s="37">
        <f t="shared" si="69"/>
        <v>0</v>
      </c>
    </row>
    <row r="63" spans="1:18" ht="20.399999999999999">
      <c r="A63" s="15">
        <v>7</v>
      </c>
      <c r="B63" s="47" t="s">
        <v>105</v>
      </c>
      <c r="C63" s="47" t="s">
        <v>106</v>
      </c>
      <c r="D63" s="45" t="s">
        <v>368</v>
      </c>
      <c r="E63" s="45" t="s">
        <v>369</v>
      </c>
      <c r="F63" s="45" t="s">
        <v>370</v>
      </c>
      <c r="G63" s="34">
        <f t="shared" si="60"/>
        <v>0</v>
      </c>
      <c r="H63" s="35">
        <f t="shared" si="61"/>
        <v>18</v>
      </c>
      <c r="I63" s="35">
        <f t="shared" si="62"/>
        <v>11</v>
      </c>
      <c r="J63" s="36" t="str">
        <f t="shared" si="63"/>
        <v>7Pinheiro - MA18</v>
      </c>
      <c r="K63" s="36" t="str">
        <f t="shared" si="64"/>
        <v>7Pinheiro - MA11</v>
      </c>
      <c r="L63" s="37">
        <f>VLOOKUP(A63,'JOGOS BASE'!A:E,4,0)</f>
        <v>48</v>
      </c>
      <c r="M63" s="37">
        <f>VLOOKUP(A63,'JOGOS BASE'!A:E,5,0)</f>
        <v>51</v>
      </c>
      <c r="N63" s="38" t="str">
        <f t="shared" si="65"/>
        <v>I</v>
      </c>
      <c r="O63" s="37">
        <f t="shared" si="66"/>
        <v>0</v>
      </c>
      <c r="P63" s="37">
        <f t="shared" si="67"/>
        <v>51</v>
      </c>
      <c r="Q63" s="37">
        <f t="shared" si="68"/>
        <v>48</v>
      </c>
      <c r="R63" s="37">
        <f t="shared" si="69"/>
        <v>0</v>
      </c>
    </row>
    <row r="64" spans="1:18" ht="20.399999999999999">
      <c r="A64" s="15">
        <v>7</v>
      </c>
      <c r="B64" s="47" t="s">
        <v>396</v>
      </c>
      <c r="C64" s="47" t="s">
        <v>111</v>
      </c>
      <c r="D64" s="45" t="s">
        <v>368</v>
      </c>
      <c r="E64" s="45" t="s">
        <v>374</v>
      </c>
      <c r="F64" s="45" t="s">
        <v>375</v>
      </c>
      <c r="G64" s="34">
        <f t="shared" si="60"/>
        <v>30</v>
      </c>
      <c r="H64" s="35">
        <f t="shared" si="61"/>
        <v>17</v>
      </c>
      <c r="I64" s="35">
        <f t="shared" si="62"/>
        <v>9</v>
      </c>
      <c r="J64" s="36" t="str">
        <f t="shared" si="63"/>
        <v>7Pinheiro - MA17</v>
      </c>
      <c r="K64" s="36" t="str">
        <f t="shared" si="64"/>
        <v>7Pinheiro - MA9</v>
      </c>
      <c r="L64" s="37">
        <f>VLOOKUP(A64,'JOGOS BASE'!A:E,4,0)</f>
        <v>48</v>
      </c>
      <c r="M64" s="37">
        <f>VLOOKUP(A64,'JOGOS BASE'!A:E,5,0)</f>
        <v>51</v>
      </c>
      <c r="N64" s="38" t="str">
        <f t="shared" si="65"/>
        <v>2</v>
      </c>
      <c r="O64" s="37">
        <f t="shared" si="66"/>
        <v>0</v>
      </c>
      <c r="P64" s="37">
        <f t="shared" si="67"/>
        <v>21</v>
      </c>
      <c r="Q64" s="37">
        <f t="shared" si="68"/>
        <v>48</v>
      </c>
      <c r="R64" s="37">
        <f t="shared" si="69"/>
        <v>30</v>
      </c>
    </row>
    <row r="65" spans="1:18" ht="20.399999999999999">
      <c r="A65" s="15">
        <v>8</v>
      </c>
      <c r="B65" s="47" t="s">
        <v>105</v>
      </c>
      <c r="C65" s="47" t="s">
        <v>106</v>
      </c>
      <c r="D65" s="45" t="s">
        <v>381</v>
      </c>
      <c r="E65" s="45" t="s">
        <v>591</v>
      </c>
      <c r="F65" s="45" t="s">
        <v>592</v>
      </c>
      <c r="G65" s="34">
        <f t="shared" ref="G65:G72" si="70">VALUE(LEFT(B65,2))</f>
        <v>0</v>
      </c>
      <c r="H65" s="35">
        <f t="shared" ref="H65:H72" si="71">IF(VALUE(LEFT(E65,2))&lt;10,VALUE(LEFT(E65,1)),VALUE(LEFT(E65,2)))</f>
        <v>15</v>
      </c>
      <c r="I65" s="35">
        <f t="shared" ref="I65:I72" si="72">IF(VALUE(LEFT(F65,2))&lt;10,VALUE(LEFT(F65,1)),VALUE(LEFT(F65,2)))</f>
        <v>10</v>
      </c>
      <c r="J65" s="36" t="str">
        <f t="shared" ref="J65:J72" si="73">$A65&amp;$D65&amp;H65</f>
        <v>8Viana - MA15</v>
      </c>
      <c r="K65" s="36" t="str">
        <f t="shared" ref="K65:K72" si="74">$A65&amp;$D65&amp;I65</f>
        <v>8Viana - MA10</v>
      </c>
      <c r="L65" s="37">
        <f>VLOOKUP(A65,'JOGOS BASE'!A:E,4,0)</f>
        <v>50</v>
      </c>
      <c r="M65" s="37">
        <f>VLOOKUP(A65,'JOGOS BASE'!A:E,5,0)</f>
        <v>53</v>
      </c>
      <c r="N65" s="38" t="str">
        <f t="shared" ref="N65:N72" si="75">LEFT(C65,1)</f>
        <v>I</v>
      </c>
      <c r="O65" s="37">
        <f t="shared" ref="O65:O72" si="76">IF(N65="1",L65-G65,0)</f>
        <v>0</v>
      </c>
      <c r="P65" s="37">
        <f t="shared" ref="P65:P72" si="77">IF(N65="1",M65,IF(OR(N65="2",N65="I"),M65-G65,0))</f>
        <v>53</v>
      </c>
      <c r="Q65" s="37">
        <f t="shared" ref="Q65:Q72" si="78">IF(N65="1",G65,L65)</f>
        <v>50</v>
      </c>
      <c r="R65" s="37">
        <f t="shared" ref="R65:R72" si="79">IF(OR(N65="1",N65="I"),0,G65)</f>
        <v>0</v>
      </c>
    </row>
    <row r="66" spans="1:18" ht="20.399999999999999">
      <c r="A66" s="15">
        <v>8</v>
      </c>
      <c r="B66" s="47" t="s">
        <v>378</v>
      </c>
      <c r="C66" s="47" t="s">
        <v>111</v>
      </c>
      <c r="D66" s="45" t="s">
        <v>381</v>
      </c>
      <c r="E66" s="45" t="s">
        <v>382</v>
      </c>
      <c r="F66" s="45" t="s">
        <v>593</v>
      </c>
      <c r="G66" s="34">
        <f t="shared" si="70"/>
        <v>42</v>
      </c>
      <c r="H66" s="35">
        <f t="shared" si="71"/>
        <v>13</v>
      </c>
      <c r="I66" s="35">
        <f t="shared" si="72"/>
        <v>7</v>
      </c>
      <c r="J66" s="36" t="str">
        <f t="shared" si="73"/>
        <v>8Viana - MA13</v>
      </c>
      <c r="K66" s="36" t="str">
        <f t="shared" si="74"/>
        <v>8Viana - MA7</v>
      </c>
      <c r="L66" s="37">
        <f>VLOOKUP(A66,'JOGOS BASE'!A:E,4,0)</f>
        <v>50</v>
      </c>
      <c r="M66" s="37">
        <f>VLOOKUP(A66,'JOGOS BASE'!A:E,5,0)</f>
        <v>53</v>
      </c>
      <c r="N66" s="38" t="str">
        <f t="shared" si="75"/>
        <v>2</v>
      </c>
      <c r="O66" s="37">
        <f t="shared" si="76"/>
        <v>0</v>
      </c>
      <c r="P66" s="37">
        <f t="shared" si="77"/>
        <v>11</v>
      </c>
      <c r="Q66" s="37">
        <f t="shared" si="78"/>
        <v>50</v>
      </c>
      <c r="R66" s="37">
        <f t="shared" si="79"/>
        <v>42</v>
      </c>
    </row>
    <row r="67" spans="1:18" ht="20.399999999999999">
      <c r="A67" s="15">
        <v>8</v>
      </c>
      <c r="B67" s="47" t="s">
        <v>105</v>
      </c>
      <c r="C67" s="47" t="s">
        <v>106</v>
      </c>
      <c r="D67" s="45" t="s">
        <v>122</v>
      </c>
      <c r="E67" s="45" t="s">
        <v>594</v>
      </c>
      <c r="F67" s="45" t="s">
        <v>595</v>
      </c>
      <c r="G67" s="34">
        <f t="shared" si="70"/>
        <v>0</v>
      </c>
      <c r="H67" s="35">
        <f t="shared" si="71"/>
        <v>20</v>
      </c>
      <c r="I67" s="35">
        <f t="shared" si="72"/>
        <v>9</v>
      </c>
      <c r="J67" s="36" t="str">
        <f t="shared" si="73"/>
        <v>8Sampaio Corrêa - MA20</v>
      </c>
      <c r="K67" s="36" t="str">
        <f t="shared" si="74"/>
        <v>8Sampaio Corrêa - MA9</v>
      </c>
      <c r="L67" s="37">
        <f>VLOOKUP(A67,'JOGOS BASE'!A:E,4,0)</f>
        <v>50</v>
      </c>
      <c r="M67" s="37">
        <f>VLOOKUP(A67,'JOGOS BASE'!A:E,5,0)</f>
        <v>53</v>
      </c>
      <c r="N67" s="38" t="str">
        <f t="shared" si="75"/>
        <v>I</v>
      </c>
      <c r="O67" s="37">
        <f t="shared" si="76"/>
        <v>0</v>
      </c>
      <c r="P67" s="37">
        <f t="shared" si="77"/>
        <v>53</v>
      </c>
      <c r="Q67" s="37">
        <f t="shared" si="78"/>
        <v>50</v>
      </c>
      <c r="R67" s="37">
        <f t="shared" si="79"/>
        <v>0</v>
      </c>
    </row>
    <row r="68" spans="1:18" ht="20.399999999999999">
      <c r="A68" s="15">
        <v>8</v>
      </c>
      <c r="B68" s="47" t="s">
        <v>105</v>
      </c>
      <c r="C68" s="47" t="s">
        <v>106</v>
      </c>
      <c r="D68" s="45" t="s">
        <v>122</v>
      </c>
      <c r="E68" s="45" t="s">
        <v>596</v>
      </c>
      <c r="F68" s="45" t="s">
        <v>130</v>
      </c>
      <c r="G68" s="34">
        <f t="shared" si="70"/>
        <v>0</v>
      </c>
      <c r="H68" s="35">
        <f t="shared" si="71"/>
        <v>16</v>
      </c>
      <c r="I68" s="35">
        <f t="shared" si="72"/>
        <v>11</v>
      </c>
      <c r="J68" s="36" t="str">
        <f t="shared" si="73"/>
        <v>8Sampaio Corrêa - MA16</v>
      </c>
      <c r="K68" s="36" t="str">
        <f t="shared" si="74"/>
        <v>8Sampaio Corrêa - MA11</v>
      </c>
      <c r="L68" s="37">
        <f>VLOOKUP(A68,'JOGOS BASE'!A:E,4,0)</f>
        <v>50</v>
      </c>
      <c r="M68" s="37">
        <f>VLOOKUP(A68,'JOGOS BASE'!A:E,5,0)</f>
        <v>53</v>
      </c>
      <c r="N68" s="38" t="str">
        <f t="shared" si="75"/>
        <v>I</v>
      </c>
      <c r="O68" s="37">
        <f t="shared" si="76"/>
        <v>0</v>
      </c>
      <c r="P68" s="37">
        <f t="shared" si="77"/>
        <v>53</v>
      </c>
      <c r="Q68" s="37">
        <f t="shared" si="78"/>
        <v>50</v>
      </c>
      <c r="R68" s="37">
        <f t="shared" si="79"/>
        <v>0</v>
      </c>
    </row>
    <row r="69" spans="1:18" ht="20.399999999999999">
      <c r="A69" s="15">
        <v>8</v>
      </c>
      <c r="B69" s="47" t="s">
        <v>361</v>
      </c>
      <c r="C69" s="47" t="s">
        <v>111</v>
      </c>
      <c r="D69" s="45" t="s">
        <v>122</v>
      </c>
      <c r="E69" s="45" t="s">
        <v>126</v>
      </c>
      <c r="F69" s="45" t="s">
        <v>597</v>
      </c>
      <c r="G69" s="34">
        <f t="shared" si="70"/>
        <v>14</v>
      </c>
      <c r="H69" s="35">
        <f t="shared" si="71"/>
        <v>10</v>
      </c>
      <c r="I69" s="35">
        <f t="shared" si="72"/>
        <v>5</v>
      </c>
      <c r="J69" s="36" t="str">
        <f t="shared" si="73"/>
        <v>8Sampaio Corrêa - MA10</v>
      </c>
      <c r="K69" s="36" t="str">
        <f t="shared" si="74"/>
        <v>8Sampaio Corrêa - MA5</v>
      </c>
      <c r="L69" s="37">
        <f>VLOOKUP(A69,'JOGOS BASE'!A:E,4,0)</f>
        <v>50</v>
      </c>
      <c r="M69" s="37">
        <f>VLOOKUP(A69,'JOGOS BASE'!A:E,5,0)</f>
        <v>53</v>
      </c>
      <c r="N69" s="38" t="str">
        <f t="shared" si="75"/>
        <v>2</v>
      </c>
      <c r="O69" s="37">
        <f t="shared" si="76"/>
        <v>0</v>
      </c>
      <c r="P69" s="37">
        <f t="shared" si="77"/>
        <v>39</v>
      </c>
      <c r="Q69" s="37">
        <f t="shared" si="78"/>
        <v>50</v>
      </c>
      <c r="R69" s="37">
        <f t="shared" si="79"/>
        <v>14</v>
      </c>
    </row>
    <row r="70" spans="1:18" ht="20.399999999999999">
      <c r="A70" s="15">
        <v>8</v>
      </c>
      <c r="B70" s="47" t="s">
        <v>362</v>
      </c>
      <c r="C70" s="47" t="s">
        <v>111</v>
      </c>
      <c r="D70" s="45" t="s">
        <v>122</v>
      </c>
      <c r="E70" s="45" t="s">
        <v>598</v>
      </c>
      <c r="F70" s="45" t="s">
        <v>599</v>
      </c>
      <c r="G70" s="34">
        <f t="shared" si="70"/>
        <v>21</v>
      </c>
      <c r="H70" s="35">
        <f t="shared" si="71"/>
        <v>15</v>
      </c>
      <c r="I70" s="35">
        <f t="shared" si="72"/>
        <v>8</v>
      </c>
      <c r="J70" s="36" t="str">
        <f t="shared" si="73"/>
        <v>8Sampaio Corrêa - MA15</v>
      </c>
      <c r="K70" s="36" t="str">
        <f t="shared" si="74"/>
        <v>8Sampaio Corrêa - MA8</v>
      </c>
      <c r="L70" s="37">
        <f>VLOOKUP(A70,'JOGOS BASE'!A:E,4,0)</f>
        <v>50</v>
      </c>
      <c r="M70" s="37">
        <f>VLOOKUP(A70,'JOGOS BASE'!A:E,5,0)</f>
        <v>53</v>
      </c>
      <c r="N70" s="38" t="str">
        <f t="shared" si="75"/>
        <v>2</v>
      </c>
      <c r="O70" s="37">
        <f t="shared" si="76"/>
        <v>0</v>
      </c>
      <c r="P70" s="37">
        <f t="shared" si="77"/>
        <v>32</v>
      </c>
      <c r="Q70" s="37">
        <f t="shared" si="78"/>
        <v>50</v>
      </c>
      <c r="R70" s="37">
        <f t="shared" si="79"/>
        <v>21</v>
      </c>
    </row>
    <row r="71" spans="1:18" ht="20.399999999999999">
      <c r="A71" s="15">
        <v>8</v>
      </c>
      <c r="B71" s="47" t="s">
        <v>396</v>
      </c>
      <c r="C71" s="47" t="s">
        <v>111</v>
      </c>
      <c r="D71" s="45" t="s">
        <v>122</v>
      </c>
      <c r="E71" s="45" t="s">
        <v>600</v>
      </c>
      <c r="F71" s="45" t="s">
        <v>601</v>
      </c>
      <c r="G71" s="34">
        <f t="shared" si="70"/>
        <v>30</v>
      </c>
      <c r="H71" s="35">
        <f t="shared" si="71"/>
        <v>17</v>
      </c>
      <c r="I71" s="35">
        <f t="shared" si="72"/>
        <v>7</v>
      </c>
      <c r="J71" s="36" t="str">
        <f t="shared" si="73"/>
        <v>8Sampaio Corrêa - MA17</v>
      </c>
      <c r="K71" s="36" t="str">
        <f t="shared" si="74"/>
        <v>8Sampaio Corrêa - MA7</v>
      </c>
      <c r="L71" s="37">
        <f>VLOOKUP(A71,'JOGOS BASE'!A:E,4,0)</f>
        <v>50</v>
      </c>
      <c r="M71" s="37">
        <f>VLOOKUP(A71,'JOGOS BASE'!A:E,5,0)</f>
        <v>53</v>
      </c>
      <c r="N71" s="38" t="str">
        <f t="shared" si="75"/>
        <v>2</v>
      </c>
      <c r="O71" s="37">
        <f t="shared" si="76"/>
        <v>0</v>
      </c>
      <c r="P71" s="37">
        <f t="shared" si="77"/>
        <v>23</v>
      </c>
      <c r="Q71" s="37">
        <f t="shared" si="78"/>
        <v>50</v>
      </c>
      <c r="R71" s="37">
        <f t="shared" si="79"/>
        <v>30</v>
      </c>
    </row>
    <row r="72" spans="1:18" ht="20.399999999999999">
      <c r="A72" s="15">
        <v>8</v>
      </c>
      <c r="B72" s="47" t="s">
        <v>404</v>
      </c>
      <c r="C72" s="47" t="s">
        <v>111</v>
      </c>
      <c r="D72" s="45" t="s">
        <v>381</v>
      </c>
      <c r="E72" s="45" t="s">
        <v>602</v>
      </c>
      <c r="F72" s="45" t="s">
        <v>603</v>
      </c>
      <c r="G72" s="34">
        <f t="shared" si="70"/>
        <v>17</v>
      </c>
      <c r="H72" s="35">
        <f t="shared" si="71"/>
        <v>14</v>
      </c>
      <c r="I72" s="35">
        <f t="shared" si="72"/>
        <v>8</v>
      </c>
      <c r="J72" s="36" t="str">
        <f t="shared" si="73"/>
        <v>8Viana - MA14</v>
      </c>
      <c r="K72" s="36" t="str">
        <f t="shared" si="74"/>
        <v>8Viana - MA8</v>
      </c>
      <c r="L72" s="37">
        <f>VLOOKUP(A72,'JOGOS BASE'!A:E,4,0)</f>
        <v>50</v>
      </c>
      <c r="M72" s="37">
        <f>VLOOKUP(A72,'JOGOS BASE'!A:E,5,0)</f>
        <v>53</v>
      </c>
      <c r="N72" s="38" t="str">
        <f t="shared" si="75"/>
        <v>2</v>
      </c>
      <c r="O72" s="37">
        <f t="shared" si="76"/>
        <v>0</v>
      </c>
      <c r="P72" s="37">
        <f t="shared" si="77"/>
        <v>36</v>
      </c>
      <c r="Q72" s="37">
        <f t="shared" si="78"/>
        <v>50</v>
      </c>
      <c r="R72" s="37">
        <f t="shared" si="79"/>
        <v>17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3C967-6924-4AD5-9990-FE8F24AEC083}">
  <dimension ref="A1"/>
  <sheetViews>
    <sheetView workbookViewId="0">
      <selection activeCell="F26" sqref="F26"/>
    </sheetView>
  </sheetViews>
  <sheetFormatPr defaultRowHeight="14.4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Escalacao</vt:lpstr>
      <vt:lpstr>JOGOS BASE</vt:lpstr>
      <vt:lpstr>Cartoes</vt:lpstr>
      <vt:lpstr>Substituicoes</vt:lpstr>
      <vt:lpstr>Gols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Vilanova</dc:creator>
  <cp:lastModifiedBy>Andrew Vilanova</cp:lastModifiedBy>
  <dcterms:created xsi:type="dcterms:W3CDTF">2015-06-05T18:19:34Z</dcterms:created>
  <dcterms:modified xsi:type="dcterms:W3CDTF">2025-01-20T22:23:28Z</dcterms:modified>
</cp:coreProperties>
</file>