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J:\Projetos\streamlit_projectmulti\"/>
    </mc:Choice>
  </mc:AlternateContent>
  <xr:revisionPtr revIDLastSave="0" documentId="13_ncr:1_{173D2AC7-4550-4D3B-92DC-96666EC6A4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OGOS BASE" sheetId="5" r:id="rId1"/>
    <sheet name="Escalacao" sheetId="3" r:id="rId2"/>
    <sheet name="Cartoes" sheetId="6" r:id="rId3"/>
    <sheet name="Substituicoes" sheetId="4" r:id="rId4"/>
    <sheet name="Gols" sheetId="7" r:id="rId5"/>
  </sheets>
  <definedNames>
    <definedName name="_xlnm._FilterDatabase" localSheetId="1" hidden="1">Escalacao!$A$1:$M$117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8" i="4" l="1"/>
  <c r="R138" i="4" s="1"/>
  <c r="M138" i="4"/>
  <c r="L138" i="4"/>
  <c r="I138" i="4"/>
  <c r="K138" i="4" s="1"/>
  <c r="H138" i="4"/>
  <c r="J138" i="4" s="1"/>
  <c r="G138" i="4"/>
  <c r="R137" i="4"/>
  <c r="Q137" i="4"/>
  <c r="P137" i="4"/>
  <c r="O137" i="4"/>
  <c r="N137" i="4"/>
  <c r="M137" i="4"/>
  <c r="L137" i="4"/>
  <c r="I137" i="4"/>
  <c r="K137" i="4" s="1"/>
  <c r="H137" i="4"/>
  <c r="J137" i="4" s="1"/>
  <c r="G137" i="4"/>
  <c r="N136" i="4"/>
  <c r="P136" i="4" s="1"/>
  <c r="M136" i="4"/>
  <c r="L136" i="4"/>
  <c r="K136" i="4"/>
  <c r="I136" i="4"/>
  <c r="H136" i="4"/>
  <c r="J136" i="4" s="1"/>
  <c r="G136" i="4"/>
  <c r="N135" i="4"/>
  <c r="Q135" i="4" s="1"/>
  <c r="M135" i="4"/>
  <c r="L135" i="4"/>
  <c r="I135" i="4"/>
  <c r="K135" i="4" s="1"/>
  <c r="H135" i="4"/>
  <c r="J135" i="4" s="1"/>
  <c r="G135" i="4"/>
  <c r="N134" i="4"/>
  <c r="R134" i="4" s="1"/>
  <c r="M134" i="4"/>
  <c r="L134" i="4"/>
  <c r="I134" i="4"/>
  <c r="K134" i="4" s="1"/>
  <c r="H134" i="4"/>
  <c r="J134" i="4" s="1"/>
  <c r="G134" i="4"/>
  <c r="R133" i="4"/>
  <c r="Q133" i="4"/>
  <c r="P133" i="4"/>
  <c r="O133" i="4"/>
  <c r="N133" i="4"/>
  <c r="M133" i="4"/>
  <c r="L133" i="4"/>
  <c r="I133" i="4"/>
  <c r="K133" i="4" s="1"/>
  <c r="H133" i="4"/>
  <c r="J133" i="4" s="1"/>
  <c r="G133" i="4"/>
  <c r="N132" i="4"/>
  <c r="Q132" i="4" s="1"/>
  <c r="M132" i="4"/>
  <c r="L132" i="4"/>
  <c r="K132" i="4"/>
  <c r="I132" i="4"/>
  <c r="H132" i="4"/>
  <c r="J132" i="4" s="1"/>
  <c r="G132" i="4"/>
  <c r="N131" i="4"/>
  <c r="P131" i="4" s="1"/>
  <c r="M131" i="4"/>
  <c r="L131" i="4"/>
  <c r="I131" i="4"/>
  <c r="K131" i="4" s="1"/>
  <c r="H131" i="4"/>
  <c r="J131" i="4" s="1"/>
  <c r="G131" i="4"/>
  <c r="N130" i="4"/>
  <c r="R130" i="4" s="1"/>
  <c r="M130" i="4"/>
  <c r="L130" i="4"/>
  <c r="I130" i="4"/>
  <c r="K130" i="4" s="1"/>
  <c r="H130" i="4"/>
  <c r="J130" i="4" s="1"/>
  <c r="G130" i="4"/>
  <c r="R129" i="4"/>
  <c r="Q129" i="4"/>
  <c r="P129" i="4"/>
  <c r="O129" i="4"/>
  <c r="N129" i="4"/>
  <c r="M129" i="4"/>
  <c r="L129" i="4"/>
  <c r="I129" i="4"/>
  <c r="K129" i="4" s="1"/>
  <c r="H129" i="4"/>
  <c r="J129" i="4" s="1"/>
  <c r="G129" i="4"/>
  <c r="N98" i="6"/>
  <c r="J98" i="6"/>
  <c r="K98" i="6" s="1"/>
  <c r="N97" i="6"/>
  <c r="J97" i="6"/>
  <c r="K97" i="6" s="1"/>
  <c r="N96" i="6"/>
  <c r="J96" i="6"/>
  <c r="K96" i="6" s="1"/>
  <c r="N95" i="6"/>
  <c r="J95" i="6"/>
  <c r="K95" i="6" s="1"/>
  <c r="G95" i="6"/>
  <c r="G96" i="6"/>
  <c r="G97" i="6"/>
  <c r="G98" i="6"/>
  <c r="R621" i="3"/>
  <c r="Q621" i="3"/>
  <c r="J621" i="3"/>
  <c r="I621" i="3"/>
  <c r="R620" i="3"/>
  <c r="Q620" i="3"/>
  <c r="J620" i="3"/>
  <c r="I620" i="3"/>
  <c r="R619" i="3"/>
  <c r="Q619" i="3"/>
  <c r="J619" i="3"/>
  <c r="I619" i="3"/>
  <c r="R618" i="3"/>
  <c r="Q618" i="3"/>
  <c r="J618" i="3"/>
  <c r="I618" i="3"/>
  <c r="R617" i="3"/>
  <c r="Q617" i="3"/>
  <c r="J617" i="3"/>
  <c r="I617" i="3"/>
  <c r="R616" i="3"/>
  <c r="Q616" i="3"/>
  <c r="J616" i="3"/>
  <c r="I616" i="3"/>
  <c r="R615" i="3"/>
  <c r="Q615" i="3"/>
  <c r="J615" i="3"/>
  <c r="I615" i="3"/>
  <c r="R614" i="3"/>
  <c r="Q614" i="3"/>
  <c r="J614" i="3"/>
  <c r="I614" i="3"/>
  <c r="R613" i="3"/>
  <c r="Q613" i="3"/>
  <c r="J613" i="3"/>
  <c r="I613" i="3"/>
  <c r="R612" i="3"/>
  <c r="Q612" i="3"/>
  <c r="J612" i="3"/>
  <c r="I612" i="3"/>
  <c r="R611" i="3"/>
  <c r="Q611" i="3"/>
  <c r="J611" i="3"/>
  <c r="I611" i="3"/>
  <c r="R610" i="3"/>
  <c r="Q610" i="3"/>
  <c r="J610" i="3"/>
  <c r="I610" i="3"/>
  <c r="R609" i="3"/>
  <c r="Q609" i="3"/>
  <c r="J609" i="3"/>
  <c r="I609" i="3"/>
  <c r="R608" i="3"/>
  <c r="Q608" i="3"/>
  <c r="J608" i="3"/>
  <c r="I608" i="3"/>
  <c r="R607" i="3"/>
  <c r="Q607" i="3"/>
  <c r="J607" i="3"/>
  <c r="I607" i="3"/>
  <c r="R606" i="3"/>
  <c r="Q606" i="3"/>
  <c r="J606" i="3"/>
  <c r="I606" i="3"/>
  <c r="R605" i="3"/>
  <c r="Q605" i="3"/>
  <c r="J605" i="3"/>
  <c r="I605" i="3"/>
  <c r="R604" i="3"/>
  <c r="Q604" i="3"/>
  <c r="J604" i="3"/>
  <c r="I604" i="3"/>
  <c r="R603" i="3"/>
  <c r="Q603" i="3"/>
  <c r="J603" i="3"/>
  <c r="I603" i="3"/>
  <c r="R602" i="3"/>
  <c r="Q602" i="3"/>
  <c r="J602" i="3"/>
  <c r="I602" i="3"/>
  <c r="R601" i="3"/>
  <c r="Q601" i="3"/>
  <c r="J601" i="3"/>
  <c r="I601" i="3"/>
  <c r="R600" i="3"/>
  <c r="Q600" i="3"/>
  <c r="J600" i="3"/>
  <c r="I600" i="3"/>
  <c r="R599" i="3"/>
  <c r="Q599" i="3"/>
  <c r="J599" i="3"/>
  <c r="I599" i="3"/>
  <c r="R598" i="3"/>
  <c r="Q598" i="3"/>
  <c r="J598" i="3"/>
  <c r="I598" i="3"/>
  <c r="R597" i="3"/>
  <c r="Q597" i="3"/>
  <c r="J597" i="3"/>
  <c r="I597" i="3"/>
  <c r="R596" i="3"/>
  <c r="Q596" i="3"/>
  <c r="J596" i="3"/>
  <c r="I596" i="3"/>
  <c r="R595" i="3"/>
  <c r="Q595" i="3"/>
  <c r="J595" i="3"/>
  <c r="I595" i="3"/>
  <c r="R594" i="3"/>
  <c r="Q594" i="3"/>
  <c r="J594" i="3"/>
  <c r="I594" i="3"/>
  <c r="R593" i="3"/>
  <c r="Q593" i="3"/>
  <c r="J593" i="3"/>
  <c r="I593" i="3"/>
  <c r="R592" i="3"/>
  <c r="Q592" i="3"/>
  <c r="J592" i="3"/>
  <c r="I592" i="3"/>
  <c r="R591" i="3"/>
  <c r="Q591" i="3"/>
  <c r="J591" i="3"/>
  <c r="I591" i="3"/>
  <c r="R590" i="3"/>
  <c r="Q590" i="3"/>
  <c r="J590" i="3"/>
  <c r="I590" i="3"/>
  <c r="R589" i="3"/>
  <c r="Q589" i="3"/>
  <c r="J589" i="3"/>
  <c r="I589" i="3"/>
  <c r="R588" i="3"/>
  <c r="Q588" i="3"/>
  <c r="J588" i="3"/>
  <c r="I588" i="3"/>
  <c r="R587" i="3"/>
  <c r="Q587" i="3"/>
  <c r="J587" i="3"/>
  <c r="I587" i="3"/>
  <c r="R586" i="3"/>
  <c r="Q586" i="3"/>
  <c r="J586" i="3"/>
  <c r="I586" i="3"/>
  <c r="R585" i="3"/>
  <c r="Q585" i="3"/>
  <c r="J585" i="3"/>
  <c r="I585" i="3"/>
  <c r="R584" i="3"/>
  <c r="Q584" i="3"/>
  <c r="J584" i="3"/>
  <c r="I584" i="3"/>
  <c r="R583" i="3"/>
  <c r="Q583" i="3"/>
  <c r="J583" i="3"/>
  <c r="I583" i="3"/>
  <c r="R582" i="3"/>
  <c r="Q582" i="3"/>
  <c r="J582" i="3"/>
  <c r="I582" i="3"/>
  <c r="R581" i="3"/>
  <c r="Q581" i="3"/>
  <c r="J581" i="3"/>
  <c r="I581" i="3"/>
  <c r="R580" i="3"/>
  <c r="Q580" i="3"/>
  <c r="J580" i="3"/>
  <c r="I580" i="3"/>
  <c r="H14" i="5"/>
  <c r="H15" i="5"/>
  <c r="H16" i="5"/>
  <c r="D16" i="5"/>
  <c r="N128" i="4"/>
  <c r="R128" i="4" s="1"/>
  <c r="M128" i="4"/>
  <c r="L128" i="4"/>
  <c r="I128" i="4"/>
  <c r="K128" i="4" s="1"/>
  <c r="H128" i="4"/>
  <c r="J128" i="4" s="1"/>
  <c r="G128" i="4"/>
  <c r="R127" i="4"/>
  <c r="O127" i="4"/>
  <c r="N127" i="4"/>
  <c r="M127" i="4"/>
  <c r="P127" i="4" s="1"/>
  <c r="L127" i="4"/>
  <c r="Q127" i="4" s="1"/>
  <c r="I127" i="4"/>
  <c r="K127" i="4" s="1"/>
  <c r="H127" i="4"/>
  <c r="J127" i="4" s="1"/>
  <c r="G127" i="4"/>
  <c r="N126" i="4"/>
  <c r="R126" i="4" s="1"/>
  <c r="M126" i="4"/>
  <c r="L126" i="4"/>
  <c r="K126" i="4"/>
  <c r="I126" i="4"/>
  <c r="H126" i="4"/>
  <c r="J126" i="4" s="1"/>
  <c r="G126" i="4"/>
  <c r="N125" i="4"/>
  <c r="R125" i="4" s="1"/>
  <c r="M125" i="4"/>
  <c r="L125" i="4"/>
  <c r="I125" i="4"/>
  <c r="K125" i="4" s="1"/>
  <c r="H125" i="4"/>
  <c r="J125" i="4" s="1"/>
  <c r="G125" i="4"/>
  <c r="N124" i="4"/>
  <c r="R124" i="4" s="1"/>
  <c r="M124" i="4"/>
  <c r="L124" i="4"/>
  <c r="I124" i="4"/>
  <c r="K124" i="4" s="1"/>
  <c r="H124" i="4"/>
  <c r="J124" i="4" s="1"/>
  <c r="G124" i="4"/>
  <c r="R123" i="4"/>
  <c r="O123" i="4"/>
  <c r="N123" i="4"/>
  <c r="M123" i="4"/>
  <c r="P123" i="4" s="1"/>
  <c r="L123" i="4"/>
  <c r="Q123" i="4" s="1"/>
  <c r="I123" i="4"/>
  <c r="K123" i="4" s="1"/>
  <c r="H123" i="4"/>
  <c r="J123" i="4" s="1"/>
  <c r="G123" i="4"/>
  <c r="N122" i="4"/>
  <c r="R122" i="4" s="1"/>
  <c r="M122" i="4"/>
  <c r="L122" i="4"/>
  <c r="K122" i="4"/>
  <c r="I122" i="4"/>
  <c r="H122" i="4"/>
  <c r="J122" i="4" s="1"/>
  <c r="G122" i="4"/>
  <c r="N121" i="4"/>
  <c r="O121" i="4" s="1"/>
  <c r="M121" i="4"/>
  <c r="L121" i="4"/>
  <c r="I121" i="4"/>
  <c r="K121" i="4" s="1"/>
  <c r="H121" i="4"/>
  <c r="J121" i="4" s="1"/>
  <c r="G121" i="4"/>
  <c r="N120" i="4"/>
  <c r="R120" i="4" s="1"/>
  <c r="M120" i="4"/>
  <c r="L120" i="4"/>
  <c r="I120" i="4"/>
  <c r="K120" i="4" s="1"/>
  <c r="H120" i="4"/>
  <c r="J120" i="4" s="1"/>
  <c r="G120" i="4"/>
  <c r="R119" i="4"/>
  <c r="O119" i="4"/>
  <c r="N119" i="4"/>
  <c r="M119" i="4"/>
  <c r="P119" i="4" s="1"/>
  <c r="L119" i="4"/>
  <c r="Q119" i="4" s="1"/>
  <c r="I119" i="4"/>
  <c r="K119" i="4" s="1"/>
  <c r="H119" i="4"/>
  <c r="J119" i="4" s="1"/>
  <c r="G119" i="4"/>
  <c r="G94" i="6"/>
  <c r="G93" i="6"/>
  <c r="G92" i="6"/>
  <c r="G91" i="6"/>
  <c r="G90" i="6"/>
  <c r="G89" i="6"/>
  <c r="J94" i="6"/>
  <c r="K94" i="6" s="1"/>
  <c r="J93" i="6"/>
  <c r="K93" i="6" s="1"/>
  <c r="J92" i="6"/>
  <c r="K92" i="6" s="1"/>
  <c r="R579" i="3"/>
  <c r="Q579" i="3"/>
  <c r="J579" i="3"/>
  <c r="I579" i="3"/>
  <c r="R578" i="3"/>
  <c r="Q578" i="3"/>
  <c r="J578" i="3"/>
  <c r="I578" i="3"/>
  <c r="R577" i="3"/>
  <c r="Q577" i="3"/>
  <c r="J577" i="3"/>
  <c r="I577" i="3"/>
  <c r="R576" i="3"/>
  <c r="Q576" i="3"/>
  <c r="J576" i="3"/>
  <c r="I576" i="3"/>
  <c r="R575" i="3"/>
  <c r="Q575" i="3"/>
  <c r="J575" i="3"/>
  <c r="I575" i="3"/>
  <c r="R574" i="3"/>
  <c r="Q574" i="3"/>
  <c r="J574" i="3"/>
  <c r="I574" i="3"/>
  <c r="R573" i="3"/>
  <c r="Q573" i="3"/>
  <c r="J573" i="3"/>
  <c r="I573" i="3"/>
  <c r="R572" i="3"/>
  <c r="Q572" i="3"/>
  <c r="J572" i="3"/>
  <c r="I572" i="3"/>
  <c r="R571" i="3"/>
  <c r="Q571" i="3"/>
  <c r="J571" i="3"/>
  <c r="I571" i="3"/>
  <c r="R570" i="3"/>
  <c r="Q570" i="3"/>
  <c r="J570" i="3"/>
  <c r="I570" i="3"/>
  <c r="R569" i="3"/>
  <c r="Q569" i="3"/>
  <c r="J569" i="3"/>
  <c r="I569" i="3"/>
  <c r="R568" i="3"/>
  <c r="Q568" i="3"/>
  <c r="J568" i="3"/>
  <c r="I568" i="3"/>
  <c r="R567" i="3"/>
  <c r="Q567" i="3"/>
  <c r="J567" i="3"/>
  <c r="I567" i="3"/>
  <c r="R566" i="3"/>
  <c r="Q566" i="3"/>
  <c r="J566" i="3"/>
  <c r="I566" i="3"/>
  <c r="R565" i="3"/>
  <c r="Q565" i="3"/>
  <c r="J565" i="3"/>
  <c r="I565" i="3"/>
  <c r="R564" i="3"/>
  <c r="Q564" i="3"/>
  <c r="J564" i="3"/>
  <c r="I564" i="3"/>
  <c r="R563" i="3"/>
  <c r="Q563" i="3"/>
  <c r="J563" i="3"/>
  <c r="I563" i="3"/>
  <c r="R562" i="3"/>
  <c r="Q562" i="3"/>
  <c r="J562" i="3"/>
  <c r="I562" i="3"/>
  <c r="R561" i="3"/>
  <c r="Q561" i="3"/>
  <c r="J561" i="3"/>
  <c r="I561" i="3"/>
  <c r="R560" i="3"/>
  <c r="Q560" i="3"/>
  <c r="J560" i="3"/>
  <c r="I560" i="3"/>
  <c r="R559" i="3"/>
  <c r="Q559" i="3"/>
  <c r="J559" i="3"/>
  <c r="I559" i="3"/>
  <c r="R558" i="3"/>
  <c r="Q558" i="3"/>
  <c r="J558" i="3"/>
  <c r="I558" i="3"/>
  <c r="R557" i="3"/>
  <c r="Q557" i="3"/>
  <c r="J557" i="3"/>
  <c r="I557" i="3"/>
  <c r="R556" i="3"/>
  <c r="Q556" i="3"/>
  <c r="J556" i="3"/>
  <c r="I556" i="3"/>
  <c r="R555" i="3"/>
  <c r="Q555" i="3"/>
  <c r="J555" i="3"/>
  <c r="I555" i="3"/>
  <c r="R554" i="3"/>
  <c r="Q554" i="3"/>
  <c r="J554" i="3"/>
  <c r="I554" i="3"/>
  <c r="R553" i="3"/>
  <c r="Q553" i="3"/>
  <c r="J553" i="3"/>
  <c r="I553" i="3"/>
  <c r="R552" i="3"/>
  <c r="Q552" i="3"/>
  <c r="J552" i="3"/>
  <c r="I552" i="3"/>
  <c r="R551" i="3"/>
  <c r="Q551" i="3"/>
  <c r="J551" i="3"/>
  <c r="I551" i="3"/>
  <c r="R550" i="3"/>
  <c r="Q550" i="3"/>
  <c r="J550" i="3"/>
  <c r="I550" i="3"/>
  <c r="R549" i="3"/>
  <c r="Q549" i="3"/>
  <c r="J549" i="3"/>
  <c r="I549" i="3"/>
  <c r="R548" i="3"/>
  <c r="Q548" i="3"/>
  <c r="J548" i="3"/>
  <c r="I548" i="3"/>
  <c r="R547" i="3"/>
  <c r="Q547" i="3"/>
  <c r="J547" i="3"/>
  <c r="I547" i="3"/>
  <c r="R546" i="3"/>
  <c r="Q546" i="3"/>
  <c r="J546" i="3"/>
  <c r="I546" i="3"/>
  <c r="R545" i="3"/>
  <c r="Q545" i="3"/>
  <c r="J545" i="3"/>
  <c r="I545" i="3"/>
  <c r="R544" i="3"/>
  <c r="Q544" i="3"/>
  <c r="J544" i="3"/>
  <c r="I544" i="3"/>
  <c r="R543" i="3"/>
  <c r="Q543" i="3"/>
  <c r="J543" i="3"/>
  <c r="I543" i="3"/>
  <c r="R542" i="3"/>
  <c r="Q542" i="3"/>
  <c r="J542" i="3"/>
  <c r="I542" i="3"/>
  <c r="R541" i="3"/>
  <c r="Q541" i="3"/>
  <c r="J541" i="3"/>
  <c r="I541" i="3"/>
  <c r="R540" i="3"/>
  <c r="Q540" i="3"/>
  <c r="J540" i="3"/>
  <c r="I540" i="3"/>
  <c r="R539" i="3"/>
  <c r="Q539" i="3"/>
  <c r="J539" i="3"/>
  <c r="I539" i="3"/>
  <c r="R538" i="3"/>
  <c r="Q538" i="3"/>
  <c r="J538" i="3"/>
  <c r="I538" i="3"/>
  <c r="R537" i="3"/>
  <c r="N94" i="6" s="1"/>
  <c r="Q537" i="3"/>
  <c r="J537" i="3"/>
  <c r="I537" i="3"/>
  <c r="E15" i="5"/>
  <c r="D15" i="5"/>
  <c r="G109" i="4"/>
  <c r="H109" i="4"/>
  <c r="J109" i="4" s="1"/>
  <c r="I109" i="4"/>
  <c r="K109" i="4" s="1"/>
  <c r="L109" i="4"/>
  <c r="Q109" i="4" s="1"/>
  <c r="M109" i="4"/>
  <c r="N109" i="4"/>
  <c r="O109" i="4"/>
  <c r="P109" i="4"/>
  <c r="R109" i="4"/>
  <c r="G110" i="4"/>
  <c r="H110" i="4"/>
  <c r="I110" i="4"/>
  <c r="K110" i="4" s="1"/>
  <c r="J110" i="4"/>
  <c r="L110" i="4"/>
  <c r="Q110" i="4" s="1"/>
  <c r="M110" i="4"/>
  <c r="N110" i="4"/>
  <c r="O110" i="4"/>
  <c r="R110" i="4"/>
  <c r="G111" i="4"/>
  <c r="H111" i="4"/>
  <c r="I111" i="4"/>
  <c r="J111" i="4"/>
  <c r="K111" i="4"/>
  <c r="L111" i="4"/>
  <c r="M111" i="4"/>
  <c r="N111" i="4"/>
  <c r="O111" i="4" s="1"/>
  <c r="G112" i="4"/>
  <c r="H112" i="4"/>
  <c r="I112" i="4"/>
  <c r="J112" i="4"/>
  <c r="K112" i="4"/>
  <c r="L112" i="4"/>
  <c r="Q112" i="4" s="1"/>
  <c r="M112" i="4"/>
  <c r="P112" i="4" s="1"/>
  <c r="N112" i="4"/>
  <c r="O112" i="4"/>
  <c r="R112" i="4"/>
  <c r="G113" i="4"/>
  <c r="H113" i="4"/>
  <c r="J113" i="4" s="1"/>
  <c r="I113" i="4"/>
  <c r="K113" i="4" s="1"/>
  <c r="L113" i="4"/>
  <c r="Q113" i="4" s="1"/>
  <c r="M113" i="4"/>
  <c r="P113" i="4" s="1"/>
  <c r="N113" i="4"/>
  <c r="O113" i="4"/>
  <c r="R113" i="4"/>
  <c r="G114" i="4"/>
  <c r="H114" i="4"/>
  <c r="I114" i="4"/>
  <c r="K114" i="4" s="1"/>
  <c r="J114" i="4"/>
  <c r="L114" i="4"/>
  <c r="Q114" i="4" s="1"/>
  <c r="M114" i="4"/>
  <c r="N114" i="4"/>
  <c r="O114" i="4"/>
  <c r="R114" i="4"/>
  <c r="G115" i="4"/>
  <c r="H115" i="4"/>
  <c r="I115" i="4"/>
  <c r="J115" i="4"/>
  <c r="K115" i="4"/>
  <c r="L115" i="4"/>
  <c r="M115" i="4"/>
  <c r="N115" i="4"/>
  <c r="O115" i="4" s="1"/>
  <c r="G116" i="4"/>
  <c r="H116" i="4"/>
  <c r="I116" i="4"/>
  <c r="J116" i="4"/>
  <c r="K116" i="4"/>
  <c r="L116" i="4"/>
  <c r="M116" i="4"/>
  <c r="N116" i="4"/>
  <c r="O116" i="4"/>
  <c r="P116" i="4"/>
  <c r="Q116" i="4"/>
  <c r="R116" i="4"/>
  <c r="G117" i="4"/>
  <c r="H117" i="4"/>
  <c r="J117" i="4" s="1"/>
  <c r="I117" i="4"/>
  <c r="K117" i="4" s="1"/>
  <c r="L117" i="4"/>
  <c r="Q117" i="4" s="1"/>
  <c r="M117" i="4"/>
  <c r="P117" i="4" s="1"/>
  <c r="N117" i="4"/>
  <c r="O117" i="4"/>
  <c r="R117" i="4"/>
  <c r="G118" i="4"/>
  <c r="R118" i="4" s="1"/>
  <c r="H118" i="4"/>
  <c r="I118" i="4"/>
  <c r="K118" i="4" s="1"/>
  <c r="J118" i="4"/>
  <c r="L118" i="4"/>
  <c r="Q118" i="4" s="1"/>
  <c r="M118" i="4"/>
  <c r="N118" i="4"/>
  <c r="O118" i="4"/>
  <c r="R536" i="3"/>
  <c r="Q536" i="3"/>
  <c r="J536" i="3"/>
  <c r="I536" i="3"/>
  <c r="R535" i="3"/>
  <c r="Q535" i="3"/>
  <c r="J535" i="3"/>
  <c r="I535" i="3"/>
  <c r="R534" i="3"/>
  <c r="Q534" i="3"/>
  <c r="J534" i="3"/>
  <c r="I534" i="3"/>
  <c r="R533" i="3"/>
  <c r="Q533" i="3"/>
  <c r="J533" i="3"/>
  <c r="I533" i="3"/>
  <c r="R532" i="3"/>
  <c r="Q532" i="3"/>
  <c r="J532" i="3"/>
  <c r="I532" i="3"/>
  <c r="R531" i="3"/>
  <c r="Q531" i="3"/>
  <c r="J531" i="3"/>
  <c r="I531" i="3"/>
  <c r="R530" i="3"/>
  <c r="Q530" i="3"/>
  <c r="J530" i="3"/>
  <c r="I530" i="3"/>
  <c r="R529" i="3"/>
  <c r="Q529" i="3"/>
  <c r="J529" i="3"/>
  <c r="I529" i="3"/>
  <c r="R528" i="3"/>
  <c r="Q528" i="3"/>
  <c r="J528" i="3"/>
  <c r="I528" i="3"/>
  <c r="R527" i="3"/>
  <c r="Q527" i="3"/>
  <c r="J527" i="3"/>
  <c r="I527" i="3"/>
  <c r="R526" i="3"/>
  <c r="Q526" i="3"/>
  <c r="J526" i="3"/>
  <c r="I526" i="3"/>
  <c r="R525" i="3"/>
  <c r="Q525" i="3"/>
  <c r="J525" i="3"/>
  <c r="I525" i="3"/>
  <c r="R524" i="3"/>
  <c r="Q524" i="3"/>
  <c r="J524" i="3"/>
  <c r="I524" i="3"/>
  <c r="R523" i="3"/>
  <c r="Q523" i="3"/>
  <c r="J523" i="3"/>
  <c r="I523" i="3"/>
  <c r="R522" i="3"/>
  <c r="Q522" i="3"/>
  <c r="J522" i="3"/>
  <c r="I522" i="3"/>
  <c r="R521" i="3"/>
  <c r="Q521" i="3"/>
  <c r="J521" i="3"/>
  <c r="I521" i="3"/>
  <c r="R520" i="3"/>
  <c r="Q520" i="3"/>
  <c r="J520" i="3"/>
  <c r="I520" i="3"/>
  <c r="R519" i="3"/>
  <c r="Q519" i="3"/>
  <c r="J519" i="3"/>
  <c r="I519" i="3"/>
  <c r="R518" i="3"/>
  <c r="Q518" i="3"/>
  <c r="J518" i="3"/>
  <c r="I518" i="3"/>
  <c r="R517" i="3"/>
  <c r="Q517" i="3"/>
  <c r="J517" i="3"/>
  <c r="I517" i="3"/>
  <c r="R516" i="3"/>
  <c r="Q516" i="3"/>
  <c r="J516" i="3"/>
  <c r="I516" i="3"/>
  <c r="R515" i="3"/>
  <c r="Q515" i="3"/>
  <c r="J515" i="3"/>
  <c r="I515" i="3"/>
  <c r="R514" i="3"/>
  <c r="Q514" i="3"/>
  <c r="J514" i="3"/>
  <c r="I514" i="3"/>
  <c r="R513" i="3"/>
  <c r="Q513" i="3"/>
  <c r="J513" i="3"/>
  <c r="I513" i="3"/>
  <c r="R512" i="3"/>
  <c r="Q512" i="3"/>
  <c r="J512" i="3"/>
  <c r="I512" i="3"/>
  <c r="R511" i="3"/>
  <c r="Q511" i="3"/>
  <c r="J511" i="3"/>
  <c r="I511" i="3"/>
  <c r="R510" i="3"/>
  <c r="Q510" i="3"/>
  <c r="J510" i="3"/>
  <c r="I510" i="3"/>
  <c r="R509" i="3"/>
  <c r="Q509" i="3"/>
  <c r="J509" i="3"/>
  <c r="I509" i="3"/>
  <c r="R508" i="3"/>
  <c r="Q508" i="3"/>
  <c r="J508" i="3"/>
  <c r="I508" i="3"/>
  <c r="R507" i="3"/>
  <c r="Q507" i="3"/>
  <c r="J507" i="3"/>
  <c r="I507" i="3"/>
  <c r="R506" i="3"/>
  <c r="Q506" i="3"/>
  <c r="J506" i="3"/>
  <c r="I506" i="3"/>
  <c r="R505" i="3"/>
  <c r="Q505" i="3"/>
  <c r="J505" i="3"/>
  <c r="I505" i="3"/>
  <c r="R504" i="3"/>
  <c r="Q504" i="3"/>
  <c r="J504" i="3"/>
  <c r="I504" i="3"/>
  <c r="R503" i="3"/>
  <c r="Q503" i="3"/>
  <c r="J503" i="3"/>
  <c r="I503" i="3"/>
  <c r="R502" i="3"/>
  <c r="Q502" i="3"/>
  <c r="J502" i="3"/>
  <c r="I502" i="3"/>
  <c r="R501" i="3"/>
  <c r="Q501" i="3"/>
  <c r="J501" i="3"/>
  <c r="I501" i="3"/>
  <c r="R500" i="3"/>
  <c r="Q500" i="3"/>
  <c r="J500" i="3"/>
  <c r="I500" i="3"/>
  <c r="R499" i="3"/>
  <c r="Q499" i="3"/>
  <c r="J499" i="3"/>
  <c r="I499" i="3"/>
  <c r="R498" i="3"/>
  <c r="Q498" i="3"/>
  <c r="J498" i="3"/>
  <c r="I498" i="3"/>
  <c r="R497" i="3"/>
  <c r="Q497" i="3"/>
  <c r="J497" i="3"/>
  <c r="I497" i="3"/>
  <c r="R496" i="3"/>
  <c r="Q496" i="3"/>
  <c r="J496" i="3"/>
  <c r="I496" i="3"/>
  <c r="R495" i="3"/>
  <c r="Q495" i="3"/>
  <c r="J495" i="3"/>
  <c r="I495" i="3"/>
  <c r="R494" i="3"/>
  <c r="N89" i="6" s="1"/>
  <c r="Q494" i="3"/>
  <c r="J494" i="3"/>
  <c r="I494" i="3"/>
  <c r="J85" i="6"/>
  <c r="J86" i="6"/>
  <c r="J87" i="6"/>
  <c r="J88" i="6"/>
  <c r="J89" i="6"/>
  <c r="J90" i="6"/>
  <c r="J91" i="6"/>
  <c r="K91" i="6"/>
  <c r="L91" i="6" s="1"/>
  <c r="G85" i="6"/>
  <c r="G86" i="6"/>
  <c r="G87" i="6"/>
  <c r="G88" i="6"/>
  <c r="E14" i="5"/>
  <c r="D14" i="5"/>
  <c r="N108" i="4"/>
  <c r="R108" i="4" s="1"/>
  <c r="M108" i="4"/>
  <c r="L108" i="4"/>
  <c r="I108" i="4"/>
  <c r="K108" i="4" s="1"/>
  <c r="H108" i="4"/>
  <c r="J108" i="4" s="1"/>
  <c r="G108" i="4"/>
  <c r="R107" i="4"/>
  <c r="O107" i="4"/>
  <c r="N107" i="4"/>
  <c r="M107" i="4"/>
  <c r="P107" i="4" s="1"/>
  <c r="L107" i="4"/>
  <c r="Q107" i="4" s="1"/>
  <c r="I107" i="4"/>
  <c r="K107" i="4" s="1"/>
  <c r="H107" i="4"/>
  <c r="J107" i="4" s="1"/>
  <c r="G107" i="4"/>
  <c r="N106" i="4"/>
  <c r="O106" i="4" s="1"/>
  <c r="M106" i="4"/>
  <c r="L106" i="4"/>
  <c r="K106" i="4"/>
  <c r="I106" i="4"/>
  <c r="H106" i="4"/>
  <c r="J106" i="4" s="1"/>
  <c r="G106" i="4"/>
  <c r="N105" i="4"/>
  <c r="M105" i="4"/>
  <c r="L105" i="4"/>
  <c r="I105" i="4"/>
  <c r="K105" i="4" s="1"/>
  <c r="H105" i="4"/>
  <c r="J105" i="4" s="1"/>
  <c r="G105" i="4"/>
  <c r="N104" i="4"/>
  <c r="R104" i="4" s="1"/>
  <c r="M104" i="4"/>
  <c r="L104" i="4"/>
  <c r="I104" i="4"/>
  <c r="K104" i="4" s="1"/>
  <c r="H104" i="4"/>
  <c r="J104" i="4" s="1"/>
  <c r="G104" i="4"/>
  <c r="R103" i="4"/>
  <c r="O103" i="4"/>
  <c r="N103" i="4"/>
  <c r="M103" i="4"/>
  <c r="P103" i="4" s="1"/>
  <c r="L103" i="4"/>
  <c r="Q103" i="4" s="1"/>
  <c r="I103" i="4"/>
  <c r="K103" i="4" s="1"/>
  <c r="H103" i="4"/>
  <c r="J103" i="4" s="1"/>
  <c r="G103" i="4"/>
  <c r="N102" i="4"/>
  <c r="M102" i="4"/>
  <c r="L102" i="4"/>
  <c r="K102" i="4"/>
  <c r="I102" i="4"/>
  <c r="H102" i="4"/>
  <c r="J102" i="4" s="1"/>
  <c r="G102" i="4"/>
  <c r="N101" i="4"/>
  <c r="R101" i="4" s="1"/>
  <c r="M101" i="4"/>
  <c r="L101" i="4"/>
  <c r="I101" i="4"/>
  <c r="K101" i="4" s="1"/>
  <c r="H101" i="4"/>
  <c r="J101" i="4" s="1"/>
  <c r="G101" i="4"/>
  <c r="J84" i="6"/>
  <c r="K84" i="6" s="1"/>
  <c r="J83" i="6"/>
  <c r="K83" i="6" s="1"/>
  <c r="J82" i="6"/>
  <c r="K82" i="6" s="1"/>
  <c r="J81" i="6"/>
  <c r="K81" i="6" s="1"/>
  <c r="J80" i="6"/>
  <c r="K80" i="6" s="1"/>
  <c r="J79" i="6"/>
  <c r="K79" i="6" s="1"/>
  <c r="J78" i="6"/>
  <c r="K78" i="6" s="1"/>
  <c r="J77" i="6"/>
  <c r="K77" i="6" s="1"/>
  <c r="G84" i="6"/>
  <c r="G83" i="6"/>
  <c r="G82" i="6"/>
  <c r="G81" i="6"/>
  <c r="G80" i="6"/>
  <c r="G79" i="6"/>
  <c r="G78" i="6"/>
  <c r="G77" i="6"/>
  <c r="R493" i="3"/>
  <c r="Q493" i="3"/>
  <c r="J493" i="3"/>
  <c r="I493" i="3"/>
  <c r="R492" i="3"/>
  <c r="Q492" i="3"/>
  <c r="J492" i="3"/>
  <c r="I492" i="3"/>
  <c r="R491" i="3"/>
  <c r="Q491" i="3"/>
  <c r="J491" i="3"/>
  <c r="I491" i="3"/>
  <c r="R490" i="3"/>
  <c r="Q490" i="3"/>
  <c r="J490" i="3"/>
  <c r="I490" i="3"/>
  <c r="R489" i="3"/>
  <c r="Q489" i="3"/>
  <c r="J489" i="3"/>
  <c r="I489" i="3"/>
  <c r="R488" i="3"/>
  <c r="Q488" i="3"/>
  <c r="J488" i="3"/>
  <c r="I488" i="3"/>
  <c r="R487" i="3"/>
  <c r="Q487" i="3"/>
  <c r="J487" i="3"/>
  <c r="I487" i="3"/>
  <c r="R486" i="3"/>
  <c r="Q486" i="3"/>
  <c r="J486" i="3"/>
  <c r="I486" i="3"/>
  <c r="R485" i="3"/>
  <c r="Q485" i="3"/>
  <c r="J485" i="3"/>
  <c r="I485" i="3"/>
  <c r="R484" i="3"/>
  <c r="Q484" i="3"/>
  <c r="J484" i="3"/>
  <c r="I484" i="3"/>
  <c r="R483" i="3"/>
  <c r="Q483" i="3"/>
  <c r="J483" i="3"/>
  <c r="I483" i="3"/>
  <c r="R482" i="3"/>
  <c r="Q482" i="3"/>
  <c r="J482" i="3"/>
  <c r="I482" i="3"/>
  <c r="R481" i="3"/>
  <c r="Q481" i="3"/>
  <c r="J481" i="3"/>
  <c r="I481" i="3"/>
  <c r="R480" i="3"/>
  <c r="Q480" i="3"/>
  <c r="J480" i="3"/>
  <c r="I480" i="3"/>
  <c r="R479" i="3"/>
  <c r="Q479" i="3"/>
  <c r="J479" i="3"/>
  <c r="I479" i="3"/>
  <c r="R478" i="3"/>
  <c r="Q478" i="3"/>
  <c r="J478" i="3"/>
  <c r="I478" i="3"/>
  <c r="R477" i="3"/>
  <c r="Q477" i="3"/>
  <c r="J477" i="3"/>
  <c r="I477" i="3"/>
  <c r="R476" i="3"/>
  <c r="Q476" i="3"/>
  <c r="J476" i="3"/>
  <c r="I476" i="3"/>
  <c r="R475" i="3"/>
  <c r="Q475" i="3"/>
  <c r="J475" i="3"/>
  <c r="I475" i="3"/>
  <c r="R474" i="3"/>
  <c r="Q474" i="3"/>
  <c r="J474" i="3"/>
  <c r="I474" i="3"/>
  <c r="R473" i="3"/>
  <c r="Q473" i="3"/>
  <c r="J473" i="3"/>
  <c r="I473" i="3"/>
  <c r="R472" i="3"/>
  <c r="Q472" i="3"/>
  <c r="J472" i="3"/>
  <c r="I472" i="3"/>
  <c r="R471" i="3"/>
  <c r="Q471" i="3"/>
  <c r="J471" i="3"/>
  <c r="I471" i="3"/>
  <c r="R470" i="3"/>
  <c r="Q470" i="3"/>
  <c r="J470" i="3"/>
  <c r="I470" i="3"/>
  <c r="R469" i="3"/>
  <c r="Q469" i="3"/>
  <c r="J469" i="3"/>
  <c r="I469" i="3"/>
  <c r="R468" i="3"/>
  <c r="Q468" i="3"/>
  <c r="J468" i="3"/>
  <c r="I468" i="3"/>
  <c r="R467" i="3"/>
  <c r="Q467" i="3"/>
  <c r="J467" i="3"/>
  <c r="I467" i="3"/>
  <c r="R466" i="3"/>
  <c r="Q466" i="3"/>
  <c r="J466" i="3"/>
  <c r="I466" i="3"/>
  <c r="R465" i="3"/>
  <c r="Q465" i="3"/>
  <c r="J465" i="3"/>
  <c r="I465" i="3"/>
  <c r="R464" i="3"/>
  <c r="Q464" i="3"/>
  <c r="J464" i="3"/>
  <c r="I464" i="3"/>
  <c r="R463" i="3"/>
  <c r="Q463" i="3"/>
  <c r="J463" i="3"/>
  <c r="I463" i="3"/>
  <c r="R462" i="3"/>
  <c r="Q462" i="3"/>
  <c r="J462" i="3"/>
  <c r="I462" i="3"/>
  <c r="R461" i="3"/>
  <c r="Q461" i="3"/>
  <c r="J461" i="3"/>
  <c r="I461" i="3"/>
  <c r="R460" i="3"/>
  <c r="Q460" i="3"/>
  <c r="J460" i="3"/>
  <c r="I460" i="3"/>
  <c r="R459" i="3"/>
  <c r="Q459" i="3"/>
  <c r="J459" i="3"/>
  <c r="I459" i="3"/>
  <c r="R458" i="3"/>
  <c r="Q458" i="3"/>
  <c r="J458" i="3"/>
  <c r="I458" i="3"/>
  <c r="R457" i="3"/>
  <c r="Q457" i="3"/>
  <c r="J457" i="3"/>
  <c r="I457" i="3"/>
  <c r="R456" i="3"/>
  <c r="Q456" i="3"/>
  <c r="J456" i="3"/>
  <c r="I456" i="3"/>
  <c r="R455" i="3"/>
  <c r="Q455" i="3"/>
  <c r="J455" i="3"/>
  <c r="I455" i="3"/>
  <c r="R454" i="3"/>
  <c r="N79" i="6" s="1"/>
  <c r="Q454" i="3"/>
  <c r="J454" i="3"/>
  <c r="I454" i="3"/>
  <c r="E13" i="5"/>
  <c r="D13" i="5"/>
  <c r="J76" i="6"/>
  <c r="K76" i="6" s="1"/>
  <c r="J75" i="6"/>
  <c r="K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G76" i="6"/>
  <c r="G75" i="6"/>
  <c r="G74" i="6"/>
  <c r="G73" i="6"/>
  <c r="G72" i="6"/>
  <c r="G71" i="6"/>
  <c r="G70" i="6"/>
  <c r="G69" i="6"/>
  <c r="G68" i="6"/>
  <c r="N100" i="4"/>
  <c r="R100" i="4" s="1"/>
  <c r="M100" i="4"/>
  <c r="L100" i="4"/>
  <c r="I100" i="4"/>
  <c r="K100" i="4" s="1"/>
  <c r="H100" i="4"/>
  <c r="J100" i="4" s="1"/>
  <c r="G100" i="4"/>
  <c r="N99" i="4"/>
  <c r="R99" i="4" s="1"/>
  <c r="M99" i="4"/>
  <c r="L99" i="4"/>
  <c r="I99" i="4"/>
  <c r="K99" i="4" s="1"/>
  <c r="H99" i="4"/>
  <c r="J99" i="4" s="1"/>
  <c r="G99" i="4"/>
  <c r="N98" i="4"/>
  <c r="R98" i="4" s="1"/>
  <c r="M98" i="4"/>
  <c r="L98" i="4"/>
  <c r="I98" i="4"/>
  <c r="K98" i="4" s="1"/>
  <c r="H98" i="4"/>
  <c r="J98" i="4" s="1"/>
  <c r="G98" i="4"/>
  <c r="N97" i="4"/>
  <c r="R97" i="4" s="1"/>
  <c r="M97" i="4"/>
  <c r="L97" i="4"/>
  <c r="I97" i="4"/>
  <c r="K97" i="4" s="1"/>
  <c r="H97" i="4"/>
  <c r="J97" i="4" s="1"/>
  <c r="G97" i="4"/>
  <c r="N96" i="4"/>
  <c r="R96" i="4" s="1"/>
  <c r="M96" i="4"/>
  <c r="L96" i="4"/>
  <c r="I96" i="4"/>
  <c r="K96" i="4" s="1"/>
  <c r="H96" i="4"/>
  <c r="J96" i="4" s="1"/>
  <c r="G96" i="4"/>
  <c r="N95" i="4"/>
  <c r="R95" i="4" s="1"/>
  <c r="M95" i="4"/>
  <c r="L95" i="4"/>
  <c r="I95" i="4"/>
  <c r="K95" i="4" s="1"/>
  <c r="H95" i="4"/>
  <c r="J95" i="4" s="1"/>
  <c r="G95" i="4"/>
  <c r="N94" i="4"/>
  <c r="R94" i="4" s="1"/>
  <c r="M94" i="4"/>
  <c r="L94" i="4"/>
  <c r="I94" i="4"/>
  <c r="K94" i="4" s="1"/>
  <c r="H94" i="4"/>
  <c r="J94" i="4" s="1"/>
  <c r="G94" i="4"/>
  <c r="N93" i="4"/>
  <c r="R93" i="4" s="1"/>
  <c r="M93" i="4"/>
  <c r="L93" i="4"/>
  <c r="I93" i="4"/>
  <c r="K93" i="4" s="1"/>
  <c r="H93" i="4"/>
  <c r="J93" i="4" s="1"/>
  <c r="G93" i="4"/>
  <c r="R453" i="3"/>
  <c r="Q453" i="3"/>
  <c r="J453" i="3"/>
  <c r="I453" i="3"/>
  <c r="R452" i="3"/>
  <c r="Q452" i="3"/>
  <c r="J452" i="3"/>
  <c r="I452" i="3"/>
  <c r="R451" i="3"/>
  <c r="Q451" i="3"/>
  <c r="J451" i="3"/>
  <c r="I451" i="3"/>
  <c r="R450" i="3"/>
  <c r="Q450" i="3"/>
  <c r="J450" i="3"/>
  <c r="I450" i="3"/>
  <c r="R449" i="3"/>
  <c r="Q449" i="3"/>
  <c r="J449" i="3"/>
  <c r="I449" i="3"/>
  <c r="R448" i="3"/>
  <c r="Q448" i="3"/>
  <c r="J448" i="3"/>
  <c r="I448" i="3"/>
  <c r="R447" i="3"/>
  <c r="Q447" i="3"/>
  <c r="J447" i="3"/>
  <c r="I447" i="3"/>
  <c r="R446" i="3"/>
  <c r="Q446" i="3"/>
  <c r="J446" i="3"/>
  <c r="I446" i="3"/>
  <c r="R445" i="3"/>
  <c r="Q445" i="3"/>
  <c r="J445" i="3"/>
  <c r="I445" i="3"/>
  <c r="R444" i="3"/>
  <c r="Q444" i="3"/>
  <c r="J444" i="3"/>
  <c r="I444" i="3"/>
  <c r="R443" i="3"/>
  <c r="Q443" i="3"/>
  <c r="J443" i="3"/>
  <c r="I443" i="3"/>
  <c r="R442" i="3"/>
  <c r="Q442" i="3"/>
  <c r="J442" i="3"/>
  <c r="I442" i="3"/>
  <c r="R441" i="3"/>
  <c r="Q441" i="3"/>
  <c r="J441" i="3"/>
  <c r="I441" i="3"/>
  <c r="R440" i="3"/>
  <c r="Q440" i="3"/>
  <c r="J440" i="3"/>
  <c r="I440" i="3"/>
  <c r="R439" i="3"/>
  <c r="Q439" i="3"/>
  <c r="J439" i="3"/>
  <c r="I439" i="3"/>
  <c r="R438" i="3"/>
  <c r="Q438" i="3"/>
  <c r="J438" i="3"/>
  <c r="I438" i="3"/>
  <c r="R437" i="3"/>
  <c r="Q437" i="3"/>
  <c r="J437" i="3"/>
  <c r="I437" i="3"/>
  <c r="R436" i="3"/>
  <c r="Q436" i="3"/>
  <c r="J436" i="3"/>
  <c r="I436" i="3"/>
  <c r="R435" i="3"/>
  <c r="Q435" i="3"/>
  <c r="J435" i="3"/>
  <c r="I435" i="3"/>
  <c r="R434" i="3"/>
  <c r="Q434" i="3"/>
  <c r="J434" i="3"/>
  <c r="I434" i="3"/>
  <c r="R433" i="3"/>
  <c r="Q433" i="3"/>
  <c r="J433" i="3"/>
  <c r="I433" i="3"/>
  <c r="R432" i="3"/>
  <c r="Q432" i="3"/>
  <c r="J432" i="3"/>
  <c r="I432" i="3"/>
  <c r="R431" i="3"/>
  <c r="Q431" i="3"/>
  <c r="J431" i="3"/>
  <c r="I431" i="3"/>
  <c r="R430" i="3"/>
  <c r="Q430" i="3"/>
  <c r="J430" i="3"/>
  <c r="I430" i="3"/>
  <c r="R429" i="3"/>
  <c r="Q429" i="3"/>
  <c r="J429" i="3"/>
  <c r="I429" i="3"/>
  <c r="R428" i="3"/>
  <c r="Q428" i="3"/>
  <c r="J428" i="3"/>
  <c r="I428" i="3"/>
  <c r="R427" i="3"/>
  <c r="Q427" i="3"/>
  <c r="J427" i="3"/>
  <c r="I427" i="3"/>
  <c r="R426" i="3"/>
  <c r="Q426" i="3"/>
  <c r="J426" i="3"/>
  <c r="I426" i="3"/>
  <c r="R425" i="3"/>
  <c r="Q425" i="3"/>
  <c r="J425" i="3"/>
  <c r="I425" i="3"/>
  <c r="R424" i="3"/>
  <c r="Q424" i="3"/>
  <c r="J424" i="3"/>
  <c r="I424" i="3"/>
  <c r="R423" i="3"/>
  <c r="Q423" i="3"/>
  <c r="J423" i="3"/>
  <c r="I423" i="3"/>
  <c r="R422" i="3"/>
  <c r="Q422" i="3"/>
  <c r="J422" i="3"/>
  <c r="I422" i="3"/>
  <c r="R421" i="3"/>
  <c r="Q421" i="3"/>
  <c r="J421" i="3"/>
  <c r="I421" i="3"/>
  <c r="R420" i="3"/>
  <c r="Q420" i="3"/>
  <c r="J420" i="3"/>
  <c r="I420" i="3"/>
  <c r="R419" i="3"/>
  <c r="Q419" i="3"/>
  <c r="J419" i="3"/>
  <c r="I419" i="3"/>
  <c r="R418" i="3"/>
  <c r="Q418" i="3"/>
  <c r="J418" i="3"/>
  <c r="I418" i="3"/>
  <c r="R417" i="3"/>
  <c r="Q417" i="3"/>
  <c r="J417" i="3"/>
  <c r="I417" i="3"/>
  <c r="R416" i="3"/>
  <c r="Q416" i="3"/>
  <c r="J416" i="3"/>
  <c r="I416" i="3"/>
  <c r="R415" i="3"/>
  <c r="Q415" i="3"/>
  <c r="J415" i="3"/>
  <c r="I415" i="3"/>
  <c r="R414" i="3"/>
  <c r="N76" i="6" s="1"/>
  <c r="Q414" i="3"/>
  <c r="J414" i="3"/>
  <c r="I414" i="3"/>
  <c r="H13" i="5"/>
  <c r="H12" i="5"/>
  <c r="E12" i="5"/>
  <c r="D12" i="5"/>
  <c r="R413" i="3"/>
  <c r="Q413" i="3"/>
  <c r="J413" i="3"/>
  <c r="L413" i="3" s="1"/>
  <c r="I413" i="3"/>
  <c r="R412" i="3"/>
  <c r="Q412" i="3"/>
  <c r="J412" i="3"/>
  <c r="L412" i="3" s="1"/>
  <c r="I412" i="3"/>
  <c r="R411" i="3"/>
  <c r="Q411" i="3"/>
  <c r="J411" i="3"/>
  <c r="I411" i="3"/>
  <c r="R410" i="3"/>
  <c r="Q410" i="3"/>
  <c r="J410" i="3"/>
  <c r="I410" i="3"/>
  <c r="R409" i="3"/>
  <c r="Q409" i="3"/>
  <c r="K409" i="3"/>
  <c r="J409" i="3"/>
  <c r="I409" i="3"/>
  <c r="R408" i="3"/>
  <c r="Q408" i="3"/>
  <c r="J408" i="3"/>
  <c r="I408" i="3"/>
  <c r="R407" i="3"/>
  <c r="Q407" i="3"/>
  <c r="J407" i="3"/>
  <c r="I407" i="3"/>
  <c r="R406" i="3"/>
  <c r="Q406" i="3"/>
  <c r="J406" i="3"/>
  <c r="I406" i="3"/>
  <c r="R405" i="3"/>
  <c r="Q405" i="3"/>
  <c r="J405" i="3"/>
  <c r="I405" i="3"/>
  <c r="R404" i="3"/>
  <c r="Q404" i="3"/>
  <c r="J404" i="3"/>
  <c r="I404" i="3"/>
  <c r="R403" i="3"/>
  <c r="Q403" i="3"/>
  <c r="J403" i="3"/>
  <c r="L403" i="3" s="1"/>
  <c r="I403" i="3"/>
  <c r="R402" i="3"/>
  <c r="Q402" i="3"/>
  <c r="J402" i="3"/>
  <c r="L402" i="3" s="1"/>
  <c r="I402" i="3"/>
  <c r="R401" i="3"/>
  <c r="Q401" i="3"/>
  <c r="J401" i="3"/>
  <c r="I401" i="3"/>
  <c r="R400" i="3"/>
  <c r="Q400" i="3"/>
  <c r="J400" i="3"/>
  <c r="I400" i="3"/>
  <c r="R399" i="3"/>
  <c r="Q399" i="3"/>
  <c r="J399" i="3"/>
  <c r="I399" i="3"/>
  <c r="R398" i="3"/>
  <c r="Q398" i="3"/>
  <c r="J398" i="3"/>
  <c r="I398" i="3"/>
  <c r="R397" i="3"/>
  <c r="Q397" i="3"/>
  <c r="J397" i="3"/>
  <c r="I397" i="3"/>
  <c r="R396" i="3"/>
  <c r="Q396" i="3"/>
  <c r="J396" i="3"/>
  <c r="I396" i="3"/>
  <c r="R395" i="3"/>
  <c r="Q395" i="3"/>
  <c r="J395" i="3"/>
  <c r="I395" i="3"/>
  <c r="R394" i="3"/>
  <c r="Q394" i="3"/>
  <c r="J394" i="3"/>
  <c r="I394" i="3"/>
  <c r="R393" i="3"/>
  <c r="Q393" i="3"/>
  <c r="K393" i="3"/>
  <c r="J393" i="3"/>
  <c r="I393" i="3"/>
  <c r="R392" i="3"/>
  <c r="Q392" i="3"/>
  <c r="J392" i="3"/>
  <c r="I392" i="3"/>
  <c r="R391" i="3"/>
  <c r="Q391" i="3"/>
  <c r="J391" i="3"/>
  <c r="I391" i="3"/>
  <c r="R390" i="3"/>
  <c r="Q390" i="3"/>
  <c r="J390" i="3"/>
  <c r="K390" i="3" s="1"/>
  <c r="I390" i="3"/>
  <c r="R389" i="3"/>
  <c r="Q389" i="3"/>
  <c r="J389" i="3"/>
  <c r="I389" i="3"/>
  <c r="R388" i="3"/>
  <c r="Q388" i="3"/>
  <c r="J388" i="3"/>
  <c r="I388" i="3"/>
  <c r="R387" i="3"/>
  <c r="Q387" i="3"/>
  <c r="J387" i="3"/>
  <c r="I387" i="3"/>
  <c r="R386" i="3"/>
  <c r="Q386" i="3"/>
  <c r="J386" i="3"/>
  <c r="I386" i="3"/>
  <c r="R385" i="3"/>
  <c r="Q385" i="3"/>
  <c r="J385" i="3"/>
  <c r="I385" i="3"/>
  <c r="R384" i="3"/>
  <c r="Q384" i="3"/>
  <c r="J384" i="3"/>
  <c r="I384" i="3"/>
  <c r="R383" i="3"/>
  <c r="Q383" i="3"/>
  <c r="J383" i="3"/>
  <c r="I383" i="3"/>
  <c r="R382" i="3"/>
  <c r="Q382" i="3"/>
  <c r="J382" i="3"/>
  <c r="L382" i="3" s="1"/>
  <c r="I382" i="3"/>
  <c r="R381" i="3"/>
  <c r="Q381" i="3"/>
  <c r="J381" i="3"/>
  <c r="I381" i="3"/>
  <c r="R380" i="3"/>
  <c r="Q380" i="3"/>
  <c r="J380" i="3"/>
  <c r="L380" i="3" s="1"/>
  <c r="I380" i="3"/>
  <c r="R379" i="3"/>
  <c r="Q379" i="3"/>
  <c r="J379" i="3"/>
  <c r="L379" i="3" s="1"/>
  <c r="I379" i="3"/>
  <c r="R378" i="3"/>
  <c r="Q378" i="3"/>
  <c r="J378" i="3"/>
  <c r="I378" i="3"/>
  <c r="R377" i="3"/>
  <c r="Q377" i="3"/>
  <c r="J377" i="3"/>
  <c r="I377" i="3"/>
  <c r="R376" i="3"/>
  <c r="Q376" i="3"/>
  <c r="J376" i="3"/>
  <c r="I376" i="3"/>
  <c r="R375" i="3"/>
  <c r="Q375" i="3"/>
  <c r="J375" i="3"/>
  <c r="I375" i="3"/>
  <c r="R374" i="3"/>
  <c r="Q374" i="3"/>
  <c r="J374" i="3"/>
  <c r="I374" i="3"/>
  <c r="R373" i="3"/>
  <c r="Q373" i="3"/>
  <c r="J373" i="3"/>
  <c r="L373" i="3" s="1"/>
  <c r="I373" i="3"/>
  <c r="R372" i="3"/>
  <c r="N62" i="6" s="1"/>
  <c r="Q372" i="3"/>
  <c r="J372" i="3"/>
  <c r="I372" i="3"/>
  <c r="J67" i="6"/>
  <c r="J66" i="6"/>
  <c r="J65" i="6"/>
  <c r="J64" i="6"/>
  <c r="J63" i="6"/>
  <c r="J62" i="6"/>
  <c r="J61" i="6"/>
  <c r="G67" i="6"/>
  <c r="G66" i="6"/>
  <c r="G65" i="6"/>
  <c r="G64" i="6"/>
  <c r="G63" i="6"/>
  <c r="G62" i="6"/>
  <c r="G61" i="6"/>
  <c r="N92" i="4"/>
  <c r="R92" i="4" s="1"/>
  <c r="M92" i="4"/>
  <c r="L92" i="4"/>
  <c r="I92" i="4"/>
  <c r="K92" i="4" s="1"/>
  <c r="H92" i="4"/>
  <c r="J92" i="4" s="1"/>
  <c r="G92" i="4"/>
  <c r="R91" i="4"/>
  <c r="O91" i="4"/>
  <c r="N91" i="4"/>
  <c r="M91" i="4"/>
  <c r="P91" i="4" s="1"/>
  <c r="L91" i="4"/>
  <c r="Q91" i="4" s="1"/>
  <c r="I91" i="4"/>
  <c r="K91" i="4" s="1"/>
  <c r="H91" i="4"/>
  <c r="J91" i="4" s="1"/>
  <c r="G91" i="4"/>
  <c r="N90" i="4"/>
  <c r="R90" i="4" s="1"/>
  <c r="M90" i="4"/>
  <c r="L90" i="4"/>
  <c r="K90" i="4"/>
  <c r="I90" i="4"/>
  <c r="H90" i="4"/>
  <c r="J90" i="4" s="1"/>
  <c r="G90" i="4"/>
  <c r="N89" i="4"/>
  <c r="M89" i="4"/>
  <c r="L89" i="4"/>
  <c r="I89" i="4"/>
  <c r="K89" i="4" s="1"/>
  <c r="H89" i="4"/>
  <c r="J89" i="4" s="1"/>
  <c r="G89" i="4"/>
  <c r="N88" i="4"/>
  <c r="R88" i="4" s="1"/>
  <c r="M88" i="4"/>
  <c r="L88" i="4"/>
  <c r="I88" i="4"/>
  <c r="K88" i="4" s="1"/>
  <c r="H88" i="4"/>
  <c r="J88" i="4" s="1"/>
  <c r="G88" i="4"/>
  <c r="R87" i="4"/>
  <c r="O87" i="4"/>
  <c r="N87" i="4"/>
  <c r="M87" i="4"/>
  <c r="P87" i="4" s="1"/>
  <c r="L87" i="4"/>
  <c r="Q87" i="4" s="1"/>
  <c r="I87" i="4"/>
  <c r="K87" i="4" s="1"/>
  <c r="H87" i="4"/>
  <c r="J87" i="4" s="1"/>
  <c r="G87" i="4"/>
  <c r="N86" i="4"/>
  <c r="R86" i="4" s="1"/>
  <c r="M86" i="4"/>
  <c r="L86" i="4"/>
  <c r="K86" i="4"/>
  <c r="I86" i="4"/>
  <c r="H86" i="4"/>
  <c r="J86" i="4" s="1"/>
  <c r="G86" i="4"/>
  <c r="N85" i="4"/>
  <c r="R85" i="4" s="1"/>
  <c r="M85" i="4"/>
  <c r="L85" i="4"/>
  <c r="I85" i="4"/>
  <c r="K85" i="4" s="1"/>
  <c r="H85" i="4"/>
  <c r="J85" i="4" s="1"/>
  <c r="G85" i="4"/>
  <c r="N84" i="4"/>
  <c r="R84" i="4" s="1"/>
  <c r="M84" i="4"/>
  <c r="L84" i="4"/>
  <c r="I84" i="4"/>
  <c r="K84" i="4" s="1"/>
  <c r="H84" i="4"/>
  <c r="J84" i="4" s="1"/>
  <c r="G84" i="4"/>
  <c r="R83" i="4"/>
  <c r="O83" i="4"/>
  <c r="N83" i="4"/>
  <c r="M83" i="4"/>
  <c r="P83" i="4" s="1"/>
  <c r="L83" i="4"/>
  <c r="Q83" i="4" s="1"/>
  <c r="I83" i="4"/>
  <c r="K83" i="4" s="1"/>
  <c r="H83" i="4"/>
  <c r="J83" i="4" s="1"/>
  <c r="G83" i="4"/>
  <c r="E11" i="5"/>
  <c r="D11" i="5"/>
  <c r="H11" i="5"/>
  <c r="J60" i="6"/>
  <c r="K60" i="6" s="1"/>
  <c r="J59" i="6"/>
  <c r="K59" i="6" s="1"/>
  <c r="J58" i="6"/>
  <c r="K58" i="6" s="1"/>
  <c r="J57" i="6"/>
  <c r="K57" i="6" s="1"/>
  <c r="J56" i="6"/>
  <c r="K56" i="6" s="1"/>
  <c r="J55" i="6"/>
  <c r="K55" i="6"/>
  <c r="L55" i="6" s="1"/>
  <c r="G60" i="6"/>
  <c r="G59" i="6"/>
  <c r="G58" i="6"/>
  <c r="G57" i="6"/>
  <c r="G56" i="6"/>
  <c r="R371" i="3"/>
  <c r="Q371" i="3"/>
  <c r="J371" i="3"/>
  <c r="K371" i="3" s="1"/>
  <c r="I371" i="3"/>
  <c r="R370" i="3"/>
  <c r="Q370" i="3"/>
  <c r="J370" i="3"/>
  <c r="I370" i="3"/>
  <c r="R369" i="3"/>
  <c r="Q369" i="3"/>
  <c r="J369" i="3"/>
  <c r="I369" i="3"/>
  <c r="R368" i="3"/>
  <c r="Q368" i="3"/>
  <c r="J368" i="3"/>
  <c r="I368" i="3"/>
  <c r="R367" i="3"/>
  <c r="Q367" i="3"/>
  <c r="K367" i="3"/>
  <c r="J367" i="3"/>
  <c r="I367" i="3"/>
  <c r="R366" i="3"/>
  <c r="Q366" i="3"/>
  <c r="J366" i="3"/>
  <c r="I366" i="3"/>
  <c r="R365" i="3"/>
  <c r="Q365" i="3"/>
  <c r="J365" i="3"/>
  <c r="I365" i="3"/>
  <c r="R364" i="3"/>
  <c r="Q364" i="3"/>
  <c r="J364" i="3"/>
  <c r="I364" i="3"/>
  <c r="R363" i="3"/>
  <c r="Q363" i="3"/>
  <c r="J363" i="3"/>
  <c r="I363" i="3"/>
  <c r="R362" i="3"/>
  <c r="Q362" i="3"/>
  <c r="J362" i="3"/>
  <c r="I362" i="3"/>
  <c r="R361" i="3"/>
  <c r="Q361" i="3"/>
  <c r="J361" i="3"/>
  <c r="I361" i="3"/>
  <c r="R360" i="3"/>
  <c r="Q360" i="3"/>
  <c r="J360" i="3"/>
  <c r="L360" i="3" s="1"/>
  <c r="I360" i="3"/>
  <c r="R359" i="3"/>
  <c r="Q359" i="3"/>
  <c r="L359" i="3"/>
  <c r="J359" i="3"/>
  <c r="I359" i="3"/>
  <c r="R358" i="3"/>
  <c r="Q358" i="3"/>
  <c r="J358" i="3"/>
  <c r="L358" i="3" s="1"/>
  <c r="I358" i="3"/>
  <c r="R357" i="3"/>
  <c r="Q357" i="3"/>
  <c r="J357" i="3"/>
  <c r="L357" i="3" s="1"/>
  <c r="I357" i="3"/>
  <c r="R356" i="3"/>
  <c r="Q356" i="3"/>
  <c r="J356" i="3"/>
  <c r="I356" i="3"/>
  <c r="R355" i="3"/>
  <c r="Q355" i="3"/>
  <c r="J355" i="3"/>
  <c r="I355" i="3"/>
  <c r="R354" i="3"/>
  <c r="Q354" i="3"/>
  <c r="J354" i="3"/>
  <c r="I354" i="3"/>
  <c r="R353" i="3"/>
  <c r="Q353" i="3"/>
  <c r="J353" i="3"/>
  <c r="I353" i="3"/>
  <c r="R352" i="3"/>
  <c r="Q352" i="3"/>
  <c r="J352" i="3"/>
  <c r="I352" i="3"/>
  <c r="R351" i="3"/>
  <c r="Q351" i="3"/>
  <c r="J351" i="3"/>
  <c r="I351" i="3"/>
  <c r="R350" i="3"/>
  <c r="Q350" i="3"/>
  <c r="J350" i="3"/>
  <c r="I350" i="3"/>
  <c r="R349" i="3"/>
  <c r="Q349" i="3"/>
  <c r="J349" i="3"/>
  <c r="I349" i="3"/>
  <c r="R348" i="3"/>
  <c r="Q348" i="3"/>
  <c r="J348" i="3"/>
  <c r="I348" i="3"/>
  <c r="R347" i="3"/>
  <c r="Q347" i="3"/>
  <c r="J347" i="3"/>
  <c r="I347" i="3"/>
  <c r="R346" i="3"/>
  <c r="Q346" i="3"/>
  <c r="J346" i="3"/>
  <c r="I346" i="3"/>
  <c r="R345" i="3"/>
  <c r="Q345" i="3"/>
  <c r="J345" i="3"/>
  <c r="I345" i="3"/>
  <c r="R344" i="3"/>
  <c r="Q344" i="3"/>
  <c r="J344" i="3"/>
  <c r="I344" i="3"/>
  <c r="R343" i="3"/>
  <c r="Q343" i="3"/>
  <c r="J343" i="3"/>
  <c r="I343" i="3"/>
  <c r="R342" i="3"/>
  <c r="Q342" i="3"/>
  <c r="J342" i="3"/>
  <c r="I342" i="3"/>
  <c r="R341" i="3"/>
  <c r="Q341" i="3"/>
  <c r="J341" i="3"/>
  <c r="I341" i="3"/>
  <c r="R340" i="3"/>
  <c r="Q340" i="3"/>
  <c r="J340" i="3"/>
  <c r="I340" i="3"/>
  <c r="R339" i="3"/>
  <c r="Q339" i="3"/>
  <c r="J339" i="3"/>
  <c r="I339" i="3"/>
  <c r="R338" i="3"/>
  <c r="Q338" i="3"/>
  <c r="J338" i="3"/>
  <c r="I338" i="3"/>
  <c r="R337" i="3"/>
  <c r="Q337" i="3"/>
  <c r="J337" i="3"/>
  <c r="L337" i="3" s="1"/>
  <c r="I337" i="3"/>
  <c r="R336" i="3"/>
  <c r="Q336" i="3"/>
  <c r="J336" i="3"/>
  <c r="I336" i="3"/>
  <c r="R335" i="3"/>
  <c r="Q335" i="3"/>
  <c r="L335" i="3"/>
  <c r="J335" i="3"/>
  <c r="I335" i="3"/>
  <c r="R334" i="3"/>
  <c r="Q334" i="3"/>
  <c r="J334" i="3"/>
  <c r="I334" i="3"/>
  <c r="R333" i="3"/>
  <c r="Q333" i="3"/>
  <c r="J333" i="3"/>
  <c r="I333" i="3"/>
  <c r="R332" i="3"/>
  <c r="Q332" i="3"/>
  <c r="J332" i="3"/>
  <c r="I332" i="3"/>
  <c r="R331" i="3"/>
  <c r="Q331" i="3"/>
  <c r="J331" i="3"/>
  <c r="I331" i="3"/>
  <c r="R330" i="3"/>
  <c r="Q330" i="3"/>
  <c r="J330" i="3"/>
  <c r="L330" i="3" s="1"/>
  <c r="I330" i="3"/>
  <c r="R329" i="3"/>
  <c r="Q329" i="3"/>
  <c r="J329" i="3"/>
  <c r="I329" i="3"/>
  <c r="R328" i="3"/>
  <c r="Q328" i="3"/>
  <c r="J328" i="3"/>
  <c r="L328" i="3" s="1"/>
  <c r="I328" i="3"/>
  <c r="R327" i="3"/>
  <c r="N60" i="6" s="1"/>
  <c r="Q327" i="3"/>
  <c r="J327" i="3"/>
  <c r="I327" i="3"/>
  <c r="N82" i="4"/>
  <c r="R82" i="4" s="1"/>
  <c r="M82" i="4"/>
  <c r="L82" i="4"/>
  <c r="I82" i="4"/>
  <c r="K82" i="4" s="1"/>
  <c r="H82" i="4"/>
  <c r="J82" i="4" s="1"/>
  <c r="G82" i="4"/>
  <c r="R81" i="4"/>
  <c r="O81" i="4"/>
  <c r="N81" i="4"/>
  <c r="M81" i="4"/>
  <c r="P81" i="4" s="1"/>
  <c r="L81" i="4"/>
  <c r="Q81" i="4" s="1"/>
  <c r="I81" i="4"/>
  <c r="K81" i="4" s="1"/>
  <c r="H81" i="4"/>
  <c r="J81" i="4" s="1"/>
  <c r="G81" i="4"/>
  <c r="N80" i="4"/>
  <c r="M80" i="4"/>
  <c r="L80" i="4"/>
  <c r="K80" i="4"/>
  <c r="I80" i="4"/>
  <c r="H80" i="4"/>
  <c r="J80" i="4" s="1"/>
  <c r="G80" i="4"/>
  <c r="N79" i="4"/>
  <c r="M79" i="4"/>
  <c r="L79" i="4"/>
  <c r="I79" i="4"/>
  <c r="K79" i="4" s="1"/>
  <c r="H79" i="4"/>
  <c r="J79" i="4" s="1"/>
  <c r="G79" i="4"/>
  <c r="N78" i="4"/>
  <c r="R78" i="4" s="1"/>
  <c r="M78" i="4"/>
  <c r="L78" i="4"/>
  <c r="I78" i="4"/>
  <c r="K78" i="4" s="1"/>
  <c r="H78" i="4"/>
  <c r="J78" i="4" s="1"/>
  <c r="G78" i="4"/>
  <c r="R77" i="4"/>
  <c r="O77" i="4"/>
  <c r="N77" i="4"/>
  <c r="M77" i="4"/>
  <c r="P77" i="4" s="1"/>
  <c r="L77" i="4"/>
  <c r="Q77" i="4" s="1"/>
  <c r="I77" i="4"/>
  <c r="K77" i="4" s="1"/>
  <c r="H77" i="4"/>
  <c r="J77" i="4" s="1"/>
  <c r="G77" i="4"/>
  <c r="N76" i="4"/>
  <c r="M76" i="4"/>
  <c r="L76" i="4"/>
  <c r="K76" i="4"/>
  <c r="I76" i="4"/>
  <c r="H76" i="4"/>
  <c r="J76" i="4" s="1"/>
  <c r="G76" i="4"/>
  <c r="N75" i="4"/>
  <c r="R75" i="4" s="1"/>
  <c r="M75" i="4"/>
  <c r="L75" i="4"/>
  <c r="I75" i="4"/>
  <c r="K75" i="4" s="1"/>
  <c r="H75" i="4"/>
  <c r="J75" i="4" s="1"/>
  <c r="G75" i="4"/>
  <c r="N74" i="4"/>
  <c r="R74" i="4" s="1"/>
  <c r="M74" i="4"/>
  <c r="L74" i="4"/>
  <c r="I74" i="4"/>
  <c r="K74" i="4" s="1"/>
  <c r="H74" i="4"/>
  <c r="J74" i="4" s="1"/>
  <c r="G74" i="4"/>
  <c r="R73" i="4"/>
  <c r="O73" i="4"/>
  <c r="N73" i="4"/>
  <c r="M73" i="4"/>
  <c r="P73" i="4" s="1"/>
  <c r="L73" i="4"/>
  <c r="Q73" i="4" s="1"/>
  <c r="I73" i="4"/>
  <c r="K73" i="4" s="1"/>
  <c r="H73" i="4"/>
  <c r="J73" i="4" s="1"/>
  <c r="G73" i="4"/>
  <c r="E10" i="5"/>
  <c r="D10" i="5"/>
  <c r="H10" i="5"/>
  <c r="J54" i="6"/>
  <c r="K54" i="6" s="1"/>
  <c r="J53" i="6"/>
  <c r="K53" i="6" s="1"/>
  <c r="J52" i="6"/>
  <c r="K52" i="6" s="1"/>
  <c r="G55" i="6"/>
  <c r="G54" i="6"/>
  <c r="G53" i="6"/>
  <c r="G52" i="6"/>
  <c r="R326" i="3"/>
  <c r="Q326" i="3"/>
  <c r="J326" i="3"/>
  <c r="K326" i="3" s="1"/>
  <c r="I326" i="3"/>
  <c r="R325" i="3"/>
  <c r="Q325" i="3"/>
  <c r="J325" i="3"/>
  <c r="I325" i="3"/>
  <c r="R324" i="3"/>
  <c r="Q324" i="3"/>
  <c r="J324" i="3"/>
  <c r="I324" i="3"/>
  <c r="R323" i="3"/>
  <c r="Q323" i="3"/>
  <c r="J323" i="3"/>
  <c r="I323" i="3"/>
  <c r="R322" i="3"/>
  <c r="Q322" i="3"/>
  <c r="K322" i="3"/>
  <c r="J322" i="3"/>
  <c r="I322" i="3"/>
  <c r="R321" i="3"/>
  <c r="Q321" i="3"/>
  <c r="J321" i="3"/>
  <c r="I321" i="3"/>
  <c r="R320" i="3"/>
  <c r="Q320" i="3"/>
  <c r="J320" i="3"/>
  <c r="I320" i="3"/>
  <c r="R319" i="3"/>
  <c r="Q319" i="3"/>
  <c r="J319" i="3"/>
  <c r="I319" i="3"/>
  <c r="R318" i="3"/>
  <c r="Q318" i="3"/>
  <c r="J318" i="3"/>
  <c r="I318" i="3"/>
  <c r="R317" i="3"/>
  <c r="Q317" i="3"/>
  <c r="J317" i="3"/>
  <c r="I317" i="3"/>
  <c r="R316" i="3"/>
  <c r="Q316" i="3"/>
  <c r="J316" i="3"/>
  <c r="I316" i="3"/>
  <c r="R315" i="3"/>
  <c r="Q315" i="3"/>
  <c r="J315" i="3"/>
  <c r="L315" i="3" s="1"/>
  <c r="I315" i="3"/>
  <c r="R314" i="3"/>
  <c r="Q314" i="3"/>
  <c r="L314" i="3"/>
  <c r="J314" i="3"/>
  <c r="I314" i="3"/>
  <c r="R313" i="3"/>
  <c r="Q313" i="3"/>
  <c r="J313" i="3"/>
  <c r="L313" i="3" s="1"/>
  <c r="I313" i="3"/>
  <c r="R312" i="3"/>
  <c r="Q312" i="3"/>
  <c r="J312" i="3"/>
  <c r="I312" i="3"/>
  <c r="R311" i="3"/>
  <c r="Q311" i="3"/>
  <c r="J311" i="3"/>
  <c r="I311" i="3"/>
  <c r="R310" i="3"/>
  <c r="Q310" i="3"/>
  <c r="J310" i="3"/>
  <c r="I310" i="3"/>
  <c r="R309" i="3"/>
  <c r="Q309" i="3"/>
  <c r="J309" i="3"/>
  <c r="I309" i="3"/>
  <c r="R308" i="3"/>
  <c r="Q308" i="3"/>
  <c r="J308" i="3"/>
  <c r="I308" i="3"/>
  <c r="R307" i="3"/>
  <c r="Q307" i="3"/>
  <c r="J307" i="3"/>
  <c r="I307" i="3"/>
  <c r="R306" i="3"/>
  <c r="Q306" i="3"/>
  <c r="J306" i="3"/>
  <c r="I306" i="3"/>
  <c r="R305" i="3"/>
  <c r="Q305" i="3"/>
  <c r="J305" i="3"/>
  <c r="I305" i="3"/>
  <c r="R304" i="3"/>
  <c r="Q304" i="3"/>
  <c r="J304" i="3"/>
  <c r="I304" i="3"/>
  <c r="R303" i="3"/>
  <c r="Q303" i="3"/>
  <c r="J303" i="3"/>
  <c r="K303" i="3" s="1"/>
  <c r="I303" i="3"/>
  <c r="R302" i="3"/>
  <c r="Q302" i="3"/>
  <c r="J302" i="3"/>
  <c r="I302" i="3"/>
  <c r="R301" i="3"/>
  <c r="Q301" i="3"/>
  <c r="J301" i="3"/>
  <c r="I301" i="3"/>
  <c r="R300" i="3"/>
  <c r="Q300" i="3"/>
  <c r="J300" i="3"/>
  <c r="L300" i="3" s="1"/>
  <c r="I300" i="3"/>
  <c r="R299" i="3"/>
  <c r="Q299" i="3"/>
  <c r="J299" i="3"/>
  <c r="I299" i="3"/>
  <c r="R298" i="3"/>
  <c r="Q298" i="3"/>
  <c r="J298" i="3"/>
  <c r="I298" i="3"/>
  <c r="R297" i="3"/>
  <c r="Q297" i="3"/>
  <c r="J297" i="3"/>
  <c r="L297" i="3" s="1"/>
  <c r="I297" i="3"/>
  <c r="R296" i="3"/>
  <c r="Q296" i="3"/>
  <c r="J296" i="3"/>
  <c r="I296" i="3"/>
  <c r="R295" i="3"/>
  <c r="Q295" i="3"/>
  <c r="J295" i="3"/>
  <c r="I295" i="3"/>
  <c r="R294" i="3"/>
  <c r="Q294" i="3"/>
  <c r="J294" i="3"/>
  <c r="I294" i="3"/>
  <c r="R293" i="3"/>
  <c r="Q293" i="3"/>
  <c r="J293" i="3"/>
  <c r="I293" i="3"/>
  <c r="R292" i="3"/>
  <c r="Q292" i="3"/>
  <c r="J292" i="3"/>
  <c r="I292" i="3"/>
  <c r="R291" i="3"/>
  <c r="N55" i="6" s="1"/>
  <c r="Q291" i="3"/>
  <c r="J291" i="3"/>
  <c r="I291" i="3"/>
  <c r="N72" i="4"/>
  <c r="R72" i="4" s="1"/>
  <c r="M72" i="4"/>
  <c r="L72" i="4"/>
  <c r="I72" i="4"/>
  <c r="K72" i="4" s="1"/>
  <c r="H72" i="4"/>
  <c r="J72" i="4" s="1"/>
  <c r="G72" i="4"/>
  <c r="R71" i="4"/>
  <c r="O71" i="4"/>
  <c r="N71" i="4"/>
  <c r="M71" i="4"/>
  <c r="P71" i="4" s="1"/>
  <c r="L71" i="4"/>
  <c r="Q71" i="4" s="1"/>
  <c r="I71" i="4"/>
  <c r="K71" i="4" s="1"/>
  <c r="H71" i="4"/>
  <c r="J71" i="4" s="1"/>
  <c r="G71" i="4"/>
  <c r="N70" i="4"/>
  <c r="M70" i="4"/>
  <c r="L70" i="4"/>
  <c r="K70" i="4"/>
  <c r="I70" i="4"/>
  <c r="H70" i="4"/>
  <c r="J70" i="4" s="1"/>
  <c r="G70" i="4"/>
  <c r="N69" i="4"/>
  <c r="R69" i="4" s="1"/>
  <c r="M69" i="4"/>
  <c r="L69" i="4"/>
  <c r="I69" i="4"/>
  <c r="K69" i="4" s="1"/>
  <c r="H69" i="4"/>
  <c r="J69" i="4" s="1"/>
  <c r="G69" i="4"/>
  <c r="N68" i="4"/>
  <c r="R68" i="4" s="1"/>
  <c r="M68" i="4"/>
  <c r="L68" i="4"/>
  <c r="I68" i="4"/>
  <c r="K68" i="4" s="1"/>
  <c r="H68" i="4"/>
  <c r="J68" i="4" s="1"/>
  <c r="G68" i="4"/>
  <c r="R67" i="4"/>
  <c r="O67" i="4"/>
  <c r="N67" i="4"/>
  <c r="M67" i="4"/>
  <c r="P67" i="4" s="1"/>
  <c r="L67" i="4"/>
  <c r="Q67" i="4" s="1"/>
  <c r="I67" i="4"/>
  <c r="K67" i="4" s="1"/>
  <c r="H67" i="4"/>
  <c r="J67" i="4" s="1"/>
  <c r="G67" i="4"/>
  <c r="N66" i="4"/>
  <c r="O66" i="4" s="1"/>
  <c r="M66" i="4"/>
  <c r="L66" i="4"/>
  <c r="K66" i="4"/>
  <c r="I66" i="4"/>
  <c r="H66" i="4"/>
  <c r="J66" i="4" s="1"/>
  <c r="G66" i="4"/>
  <c r="N65" i="4"/>
  <c r="R65" i="4" s="1"/>
  <c r="M65" i="4"/>
  <c r="L65" i="4"/>
  <c r="I65" i="4"/>
  <c r="K65" i="4" s="1"/>
  <c r="H65" i="4"/>
  <c r="J65" i="4" s="1"/>
  <c r="G65" i="4"/>
  <c r="H9" i="5"/>
  <c r="E9" i="5"/>
  <c r="D9" i="5"/>
  <c r="J43" i="6"/>
  <c r="K43" i="6" s="1"/>
  <c r="J44" i="6"/>
  <c r="K44" i="6" s="1"/>
  <c r="J45" i="6"/>
  <c r="K45" i="6" s="1"/>
  <c r="L45" i="6" s="1"/>
  <c r="J46" i="6"/>
  <c r="K46" i="6" s="1"/>
  <c r="J47" i="6"/>
  <c r="K47" i="6"/>
  <c r="L47" i="6" s="1"/>
  <c r="J48" i="6"/>
  <c r="K48" i="6" s="1"/>
  <c r="L48" i="6" s="1"/>
  <c r="J49" i="6"/>
  <c r="K49" i="6"/>
  <c r="L49" i="6" s="1"/>
  <c r="J50" i="6"/>
  <c r="K50" i="6"/>
  <c r="J51" i="6"/>
  <c r="K51" i="6"/>
  <c r="L51" i="6" s="1"/>
  <c r="G43" i="6"/>
  <c r="G44" i="6"/>
  <c r="G45" i="6"/>
  <c r="G46" i="6"/>
  <c r="G47" i="6"/>
  <c r="G48" i="6"/>
  <c r="G49" i="6"/>
  <c r="G50" i="6"/>
  <c r="G51" i="6"/>
  <c r="G57" i="4"/>
  <c r="H57" i="4"/>
  <c r="I57" i="4"/>
  <c r="J57" i="4"/>
  <c r="K57" i="4"/>
  <c r="L57" i="4"/>
  <c r="Q57" i="4" s="1"/>
  <c r="M57" i="4"/>
  <c r="P57" i="4" s="1"/>
  <c r="N57" i="4"/>
  <c r="O57" i="4"/>
  <c r="R57" i="4"/>
  <c r="G58" i="4"/>
  <c r="H58" i="4"/>
  <c r="I58" i="4"/>
  <c r="K58" i="4" s="1"/>
  <c r="J58" i="4"/>
  <c r="L58" i="4"/>
  <c r="Q58" i="4" s="1"/>
  <c r="M58" i="4"/>
  <c r="N58" i="4"/>
  <c r="O58" i="4"/>
  <c r="G59" i="4"/>
  <c r="H59" i="4"/>
  <c r="I59" i="4"/>
  <c r="J59" i="4"/>
  <c r="K59" i="4"/>
  <c r="L59" i="4"/>
  <c r="M59" i="4"/>
  <c r="N59" i="4"/>
  <c r="G60" i="4"/>
  <c r="H60" i="4"/>
  <c r="I60" i="4"/>
  <c r="J60" i="4"/>
  <c r="K60" i="4"/>
  <c r="L60" i="4"/>
  <c r="Q60" i="4" s="1"/>
  <c r="M60" i="4"/>
  <c r="P60" i="4" s="1"/>
  <c r="N60" i="4"/>
  <c r="O60" i="4"/>
  <c r="R60" i="4"/>
  <c r="G61" i="4"/>
  <c r="H61" i="4"/>
  <c r="I61" i="4"/>
  <c r="J61" i="4"/>
  <c r="K61" i="4"/>
  <c r="L61" i="4"/>
  <c r="Q61" i="4" s="1"/>
  <c r="M61" i="4"/>
  <c r="P61" i="4" s="1"/>
  <c r="N61" i="4"/>
  <c r="O61" i="4"/>
  <c r="R61" i="4"/>
  <c r="G62" i="4"/>
  <c r="H62" i="4"/>
  <c r="I62" i="4"/>
  <c r="K62" i="4" s="1"/>
  <c r="J62" i="4"/>
  <c r="L62" i="4"/>
  <c r="Q62" i="4" s="1"/>
  <c r="M62" i="4"/>
  <c r="N62" i="4"/>
  <c r="O62" i="4"/>
  <c r="R62" i="4"/>
  <c r="G63" i="4"/>
  <c r="H63" i="4"/>
  <c r="I63" i="4"/>
  <c r="J63" i="4"/>
  <c r="K63" i="4"/>
  <c r="L63" i="4"/>
  <c r="M63" i="4"/>
  <c r="N63" i="4"/>
  <c r="G64" i="4"/>
  <c r="H64" i="4"/>
  <c r="I64" i="4"/>
  <c r="J64" i="4"/>
  <c r="K64" i="4"/>
  <c r="L64" i="4"/>
  <c r="Q64" i="4" s="1"/>
  <c r="M64" i="4"/>
  <c r="P64" i="4" s="1"/>
  <c r="N64" i="4"/>
  <c r="O64" i="4"/>
  <c r="R64" i="4"/>
  <c r="I249" i="3"/>
  <c r="J249" i="3"/>
  <c r="Q249" i="3"/>
  <c r="R249" i="3"/>
  <c r="N43" i="6" s="1"/>
  <c r="I250" i="3"/>
  <c r="J250" i="3"/>
  <c r="Q250" i="3"/>
  <c r="R250" i="3"/>
  <c r="I251" i="3"/>
  <c r="J251" i="3"/>
  <c r="Q251" i="3"/>
  <c r="R251" i="3"/>
  <c r="I252" i="3"/>
  <c r="J252" i="3"/>
  <c r="Q252" i="3"/>
  <c r="R252" i="3"/>
  <c r="I253" i="3"/>
  <c r="J253" i="3"/>
  <c r="Q253" i="3"/>
  <c r="R253" i="3"/>
  <c r="I254" i="3"/>
  <c r="J254" i="3"/>
  <c r="Q254" i="3"/>
  <c r="R254" i="3"/>
  <c r="I255" i="3"/>
  <c r="J255" i="3"/>
  <c r="Q255" i="3"/>
  <c r="R255" i="3"/>
  <c r="I256" i="3"/>
  <c r="J256" i="3"/>
  <c r="Q256" i="3"/>
  <c r="R256" i="3"/>
  <c r="I257" i="3"/>
  <c r="J257" i="3"/>
  <c r="L257" i="3"/>
  <c r="Q257" i="3"/>
  <c r="R257" i="3"/>
  <c r="I258" i="3"/>
  <c r="J258" i="3"/>
  <c r="Q258" i="3"/>
  <c r="R258" i="3"/>
  <c r="I259" i="3"/>
  <c r="J259" i="3"/>
  <c r="Q259" i="3"/>
  <c r="R259" i="3"/>
  <c r="I260" i="3"/>
  <c r="J260" i="3"/>
  <c r="Q260" i="3"/>
  <c r="R260" i="3"/>
  <c r="I261" i="3"/>
  <c r="J261" i="3"/>
  <c r="Q261" i="3"/>
  <c r="R261" i="3"/>
  <c r="I262" i="3"/>
  <c r="J262" i="3"/>
  <c r="Q262" i="3"/>
  <c r="R262" i="3"/>
  <c r="I263" i="3"/>
  <c r="J263" i="3"/>
  <c r="Q263" i="3"/>
  <c r="R263" i="3"/>
  <c r="I264" i="3"/>
  <c r="J264" i="3"/>
  <c r="Q264" i="3"/>
  <c r="R264" i="3"/>
  <c r="I265" i="3"/>
  <c r="J265" i="3"/>
  <c r="Q265" i="3"/>
  <c r="R265" i="3"/>
  <c r="I266" i="3"/>
  <c r="J266" i="3"/>
  <c r="Q266" i="3"/>
  <c r="R266" i="3"/>
  <c r="I267" i="3"/>
  <c r="J267" i="3"/>
  <c r="Q267" i="3"/>
  <c r="R267" i="3"/>
  <c r="I268" i="3"/>
  <c r="J268" i="3"/>
  <c r="Q268" i="3"/>
  <c r="R268" i="3"/>
  <c r="I269" i="3"/>
  <c r="J269" i="3"/>
  <c r="Q269" i="3"/>
  <c r="R269" i="3"/>
  <c r="I270" i="3"/>
  <c r="J270" i="3"/>
  <c r="K270" i="3" s="1"/>
  <c r="Q270" i="3"/>
  <c r="R270" i="3"/>
  <c r="I271" i="3"/>
  <c r="J271" i="3"/>
  <c r="Q271" i="3"/>
  <c r="R271" i="3"/>
  <c r="I272" i="3"/>
  <c r="J272" i="3"/>
  <c r="Q272" i="3"/>
  <c r="R272" i="3"/>
  <c r="I273" i="3"/>
  <c r="J273" i="3"/>
  <c r="Q273" i="3"/>
  <c r="R273" i="3"/>
  <c r="I274" i="3"/>
  <c r="J274" i="3"/>
  <c r="Q274" i="3"/>
  <c r="R274" i="3"/>
  <c r="I275" i="3"/>
  <c r="J275" i="3"/>
  <c r="Q275" i="3"/>
  <c r="R275" i="3"/>
  <c r="I276" i="3"/>
  <c r="J276" i="3"/>
  <c r="Q276" i="3"/>
  <c r="R276" i="3"/>
  <c r="I277" i="3"/>
  <c r="J277" i="3"/>
  <c r="Q277" i="3"/>
  <c r="R277" i="3"/>
  <c r="I278" i="3"/>
  <c r="J278" i="3"/>
  <c r="Q278" i="3"/>
  <c r="R278" i="3"/>
  <c r="I279" i="3"/>
  <c r="J279" i="3"/>
  <c r="Q279" i="3"/>
  <c r="R279" i="3"/>
  <c r="I280" i="3"/>
  <c r="J280" i="3"/>
  <c r="Q280" i="3"/>
  <c r="R280" i="3"/>
  <c r="I281" i="3"/>
  <c r="J281" i="3"/>
  <c r="Q281" i="3"/>
  <c r="R281" i="3"/>
  <c r="I282" i="3"/>
  <c r="J282" i="3"/>
  <c r="Q282" i="3"/>
  <c r="R282" i="3"/>
  <c r="I283" i="3"/>
  <c r="J283" i="3"/>
  <c r="Q283" i="3"/>
  <c r="R283" i="3"/>
  <c r="I284" i="3"/>
  <c r="J284" i="3"/>
  <c r="Q284" i="3"/>
  <c r="R284" i="3"/>
  <c r="I285" i="3"/>
  <c r="J285" i="3"/>
  <c r="Q285" i="3"/>
  <c r="R285" i="3"/>
  <c r="I286" i="3"/>
  <c r="J286" i="3"/>
  <c r="Q286" i="3"/>
  <c r="R286" i="3"/>
  <c r="I287" i="3"/>
  <c r="J287" i="3"/>
  <c r="Q287" i="3"/>
  <c r="R287" i="3"/>
  <c r="I288" i="3"/>
  <c r="J288" i="3"/>
  <c r="Q288" i="3"/>
  <c r="R288" i="3"/>
  <c r="I289" i="3"/>
  <c r="J289" i="3"/>
  <c r="Q289" i="3"/>
  <c r="R289" i="3"/>
  <c r="I290" i="3"/>
  <c r="J290" i="3"/>
  <c r="Q290" i="3"/>
  <c r="R290" i="3"/>
  <c r="E8" i="5"/>
  <c r="D8" i="5"/>
  <c r="H8" i="5"/>
  <c r="I205" i="3"/>
  <c r="J205" i="3"/>
  <c r="Q205" i="3"/>
  <c r="R205" i="3"/>
  <c r="N36" i="6" s="1"/>
  <c r="I206" i="3"/>
  <c r="J206" i="3"/>
  <c r="L206" i="3"/>
  <c r="Q206" i="3"/>
  <c r="R206" i="3"/>
  <c r="I207" i="3"/>
  <c r="J207" i="3"/>
  <c r="Q207" i="3"/>
  <c r="R207" i="3"/>
  <c r="I208" i="3"/>
  <c r="J208" i="3"/>
  <c r="Q208" i="3"/>
  <c r="R208" i="3"/>
  <c r="I209" i="3"/>
  <c r="J209" i="3"/>
  <c r="Q209" i="3"/>
  <c r="R209" i="3"/>
  <c r="I210" i="3"/>
  <c r="J210" i="3"/>
  <c r="Q210" i="3"/>
  <c r="R210" i="3"/>
  <c r="I211" i="3"/>
  <c r="J211" i="3"/>
  <c r="Q211" i="3"/>
  <c r="R211" i="3"/>
  <c r="I212" i="3"/>
  <c r="J212" i="3"/>
  <c r="L212" i="3"/>
  <c r="Q212" i="3"/>
  <c r="R212" i="3"/>
  <c r="I213" i="3"/>
  <c r="J213" i="3"/>
  <c r="Q213" i="3"/>
  <c r="R213" i="3"/>
  <c r="I214" i="3"/>
  <c r="J214" i="3"/>
  <c r="L214" i="3"/>
  <c r="Q214" i="3"/>
  <c r="R214" i="3"/>
  <c r="I215" i="3"/>
  <c r="J215" i="3"/>
  <c r="Q215" i="3"/>
  <c r="R215" i="3"/>
  <c r="I216" i="3"/>
  <c r="J216" i="3"/>
  <c r="K216" i="3" s="1"/>
  <c r="Q216" i="3"/>
  <c r="R216" i="3"/>
  <c r="I217" i="3"/>
  <c r="J217" i="3"/>
  <c r="K217" i="3"/>
  <c r="Q217" i="3"/>
  <c r="R217" i="3"/>
  <c r="I218" i="3"/>
  <c r="J218" i="3"/>
  <c r="Q218" i="3"/>
  <c r="R218" i="3"/>
  <c r="I219" i="3"/>
  <c r="J219" i="3"/>
  <c r="Q219" i="3"/>
  <c r="R219" i="3"/>
  <c r="I220" i="3"/>
  <c r="J220" i="3"/>
  <c r="Q220" i="3"/>
  <c r="R220" i="3"/>
  <c r="I221" i="3"/>
  <c r="J221" i="3"/>
  <c r="Q221" i="3"/>
  <c r="R221" i="3"/>
  <c r="I222" i="3"/>
  <c r="J222" i="3"/>
  <c r="Q222" i="3"/>
  <c r="R222" i="3"/>
  <c r="I223" i="3"/>
  <c r="J223" i="3"/>
  <c r="K223" i="3"/>
  <c r="Q223" i="3"/>
  <c r="R223" i="3"/>
  <c r="I224" i="3"/>
  <c r="J224" i="3"/>
  <c r="K224" i="3" s="1"/>
  <c r="Q224" i="3"/>
  <c r="R224" i="3"/>
  <c r="I225" i="3"/>
  <c r="J225" i="3"/>
  <c r="K225" i="3"/>
  <c r="Q225" i="3"/>
  <c r="R225" i="3"/>
  <c r="I226" i="3"/>
  <c r="J226" i="3"/>
  <c r="Q226" i="3"/>
  <c r="R226" i="3"/>
  <c r="I227" i="3"/>
  <c r="J227" i="3"/>
  <c r="Q227" i="3"/>
  <c r="R227" i="3"/>
  <c r="I228" i="3"/>
  <c r="J228" i="3"/>
  <c r="Q228" i="3"/>
  <c r="R228" i="3"/>
  <c r="I229" i="3"/>
  <c r="J229" i="3"/>
  <c r="Q229" i="3"/>
  <c r="R229" i="3"/>
  <c r="I230" i="3"/>
  <c r="J230" i="3"/>
  <c r="Q230" i="3"/>
  <c r="R230" i="3"/>
  <c r="I231" i="3"/>
  <c r="J231" i="3"/>
  <c r="Q231" i="3"/>
  <c r="R231" i="3"/>
  <c r="I232" i="3"/>
  <c r="J232" i="3"/>
  <c r="Q232" i="3"/>
  <c r="R232" i="3"/>
  <c r="I233" i="3"/>
  <c r="J233" i="3"/>
  <c r="L233" i="3"/>
  <c r="Q233" i="3"/>
  <c r="R233" i="3"/>
  <c r="I234" i="3"/>
  <c r="J234" i="3"/>
  <c r="L234" i="3" s="1"/>
  <c r="Q234" i="3"/>
  <c r="R234" i="3"/>
  <c r="I235" i="3"/>
  <c r="J235" i="3"/>
  <c r="L235" i="3"/>
  <c r="Q235" i="3"/>
  <c r="R235" i="3"/>
  <c r="I236" i="3"/>
  <c r="J236" i="3"/>
  <c r="L236" i="3"/>
  <c r="Q236" i="3"/>
  <c r="R236" i="3"/>
  <c r="I237" i="3"/>
  <c r="J237" i="3"/>
  <c r="Q237" i="3"/>
  <c r="R237" i="3"/>
  <c r="I238" i="3"/>
  <c r="J238" i="3"/>
  <c r="Q238" i="3"/>
  <c r="R238" i="3"/>
  <c r="I239" i="3"/>
  <c r="J239" i="3"/>
  <c r="K239" i="3"/>
  <c r="Q239" i="3"/>
  <c r="R239" i="3"/>
  <c r="I240" i="3"/>
  <c r="J240" i="3"/>
  <c r="Q240" i="3"/>
  <c r="R240" i="3"/>
  <c r="I241" i="3"/>
  <c r="J241" i="3"/>
  <c r="Q241" i="3"/>
  <c r="R241" i="3"/>
  <c r="I242" i="3"/>
  <c r="J242" i="3"/>
  <c r="K242" i="3"/>
  <c r="Q242" i="3"/>
  <c r="R242" i="3"/>
  <c r="I243" i="3"/>
  <c r="J243" i="3"/>
  <c r="K243" i="3"/>
  <c r="Q243" i="3"/>
  <c r="R243" i="3"/>
  <c r="I244" i="3"/>
  <c r="J244" i="3"/>
  <c r="Q244" i="3"/>
  <c r="R244" i="3"/>
  <c r="I245" i="3"/>
  <c r="J245" i="3"/>
  <c r="K245" i="3" s="1"/>
  <c r="Q245" i="3"/>
  <c r="R245" i="3"/>
  <c r="I246" i="3"/>
  <c r="J246" i="3"/>
  <c r="Q246" i="3"/>
  <c r="R246" i="3"/>
  <c r="I247" i="3"/>
  <c r="J247" i="3"/>
  <c r="K247" i="3"/>
  <c r="Q247" i="3"/>
  <c r="R247" i="3"/>
  <c r="I248" i="3"/>
  <c r="J248" i="3"/>
  <c r="Q248" i="3"/>
  <c r="R248" i="3"/>
  <c r="J32" i="6"/>
  <c r="J33" i="6"/>
  <c r="J34" i="6"/>
  <c r="K34" i="6" s="1"/>
  <c r="J35" i="6"/>
  <c r="K35" i="6" s="1"/>
  <c r="J36" i="6"/>
  <c r="J37" i="6"/>
  <c r="J38" i="6"/>
  <c r="J39" i="6"/>
  <c r="J40" i="6"/>
  <c r="K40" i="6" s="1"/>
  <c r="M40" i="6" s="1"/>
  <c r="J41" i="6"/>
  <c r="J42" i="6"/>
  <c r="G32" i="6"/>
  <c r="G33" i="6"/>
  <c r="G34" i="6"/>
  <c r="G35" i="6"/>
  <c r="G36" i="6"/>
  <c r="G37" i="6"/>
  <c r="G38" i="6"/>
  <c r="G39" i="6"/>
  <c r="G40" i="6"/>
  <c r="G41" i="6"/>
  <c r="G42" i="6"/>
  <c r="N56" i="4"/>
  <c r="R56" i="4" s="1"/>
  <c r="M56" i="4"/>
  <c r="L56" i="4"/>
  <c r="I56" i="4"/>
  <c r="K56" i="4" s="1"/>
  <c r="H56" i="4"/>
  <c r="J56" i="4" s="1"/>
  <c r="G56" i="4"/>
  <c r="R55" i="4"/>
  <c r="O55" i="4"/>
  <c r="N55" i="4"/>
  <c r="M55" i="4"/>
  <c r="P55" i="4" s="1"/>
  <c r="L55" i="4"/>
  <c r="Q55" i="4" s="1"/>
  <c r="I55" i="4"/>
  <c r="K55" i="4" s="1"/>
  <c r="H55" i="4"/>
  <c r="J55" i="4" s="1"/>
  <c r="G55" i="4"/>
  <c r="N54" i="4"/>
  <c r="M54" i="4"/>
  <c r="L54" i="4"/>
  <c r="K54" i="4"/>
  <c r="I54" i="4"/>
  <c r="H54" i="4"/>
  <c r="J54" i="4" s="1"/>
  <c r="G54" i="4"/>
  <c r="N53" i="4"/>
  <c r="M53" i="4"/>
  <c r="L53" i="4"/>
  <c r="I53" i="4"/>
  <c r="K53" i="4" s="1"/>
  <c r="H53" i="4"/>
  <c r="J53" i="4" s="1"/>
  <c r="G53" i="4"/>
  <c r="N52" i="4"/>
  <c r="R52" i="4" s="1"/>
  <c r="M52" i="4"/>
  <c r="L52" i="4"/>
  <c r="I52" i="4"/>
  <c r="K52" i="4" s="1"/>
  <c r="H52" i="4"/>
  <c r="J52" i="4" s="1"/>
  <c r="G52" i="4"/>
  <c r="R51" i="4"/>
  <c r="O51" i="4"/>
  <c r="N51" i="4"/>
  <c r="M51" i="4"/>
  <c r="P51" i="4" s="1"/>
  <c r="L51" i="4"/>
  <c r="Q51" i="4" s="1"/>
  <c r="I51" i="4"/>
  <c r="K51" i="4" s="1"/>
  <c r="H51" i="4"/>
  <c r="J51" i="4" s="1"/>
  <c r="G51" i="4"/>
  <c r="N50" i="4"/>
  <c r="M50" i="4"/>
  <c r="L50" i="4"/>
  <c r="K50" i="4"/>
  <c r="I50" i="4"/>
  <c r="H50" i="4"/>
  <c r="J50" i="4" s="1"/>
  <c r="G50" i="4"/>
  <c r="N49" i="4"/>
  <c r="M49" i="4"/>
  <c r="L49" i="4"/>
  <c r="I49" i="4"/>
  <c r="K49" i="4" s="1"/>
  <c r="H49" i="4"/>
  <c r="J49" i="4" s="1"/>
  <c r="G49" i="4"/>
  <c r="N48" i="4"/>
  <c r="R48" i="4" s="1"/>
  <c r="M48" i="4"/>
  <c r="L48" i="4"/>
  <c r="I48" i="4"/>
  <c r="K48" i="4" s="1"/>
  <c r="H48" i="4"/>
  <c r="J48" i="4" s="1"/>
  <c r="G48" i="4"/>
  <c r="R47" i="4"/>
  <c r="Q47" i="4"/>
  <c r="N47" i="4"/>
  <c r="M47" i="4"/>
  <c r="P47" i="4" s="1"/>
  <c r="L47" i="4"/>
  <c r="O47" i="4" s="1"/>
  <c r="I47" i="4"/>
  <c r="K47" i="4" s="1"/>
  <c r="H47" i="4"/>
  <c r="J47" i="4" s="1"/>
  <c r="G47" i="4"/>
  <c r="J28" i="6"/>
  <c r="K28" i="6" s="1"/>
  <c r="J29" i="6"/>
  <c r="K29" i="6" s="1"/>
  <c r="L29" i="6" s="1"/>
  <c r="J30" i="6"/>
  <c r="K30" i="6" s="1"/>
  <c r="J31" i="6"/>
  <c r="K31" i="6" s="1"/>
  <c r="G28" i="6"/>
  <c r="G29" i="6"/>
  <c r="G30" i="6"/>
  <c r="G31" i="6"/>
  <c r="I159" i="3"/>
  <c r="J159" i="3"/>
  <c r="Q159" i="3"/>
  <c r="I160" i="3"/>
  <c r="J160" i="3"/>
  <c r="Q160" i="3"/>
  <c r="I161" i="3"/>
  <c r="J161" i="3"/>
  <c r="Q161" i="3"/>
  <c r="I162" i="3"/>
  <c r="J162" i="3"/>
  <c r="Q162" i="3"/>
  <c r="I163" i="3"/>
  <c r="J163" i="3"/>
  <c r="Q163" i="3"/>
  <c r="I164" i="3"/>
  <c r="J164" i="3"/>
  <c r="L164" i="3"/>
  <c r="Q164" i="3"/>
  <c r="I165" i="3"/>
  <c r="J165" i="3"/>
  <c r="L165" i="3"/>
  <c r="Q165" i="3"/>
  <c r="I166" i="3"/>
  <c r="J166" i="3"/>
  <c r="L166" i="3"/>
  <c r="Q166" i="3"/>
  <c r="I167" i="3"/>
  <c r="J167" i="3"/>
  <c r="L167" i="3"/>
  <c r="Q167" i="3"/>
  <c r="I168" i="3"/>
  <c r="J168" i="3"/>
  <c r="Q168" i="3"/>
  <c r="I169" i="3"/>
  <c r="J169" i="3"/>
  <c r="L169" i="3"/>
  <c r="Q169" i="3"/>
  <c r="R169" i="3"/>
  <c r="I170" i="3"/>
  <c r="J170" i="3"/>
  <c r="Q170" i="3"/>
  <c r="R170" i="3"/>
  <c r="I171" i="3"/>
  <c r="J171" i="3"/>
  <c r="Q171" i="3"/>
  <c r="I172" i="3"/>
  <c r="J172" i="3"/>
  <c r="K172" i="3"/>
  <c r="Q172" i="3"/>
  <c r="I173" i="3"/>
  <c r="J173" i="3"/>
  <c r="Q173" i="3"/>
  <c r="I174" i="3"/>
  <c r="J174" i="3"/>
  <c r="K174" i="3"/>
  <c r="Q174" i="3"/>
  <c r="R174" i="3"/>
  <c r="I175" i="3"/>
  <c r="J175" i="3"/>
  <c r="Q175" i="3"/>
  <c r="I176" i="3"/>
  <c r="J176" i="3"/>
  <c r="K176" i="3"/>
  <c r="Q176" i="3"/>
  <c r="I177" i="3"/>
  <c r="J177" i="3"/>
  <c r="Q177" i="3"/>
  <c r="I178" i="3"/>
  <c r="J178" i="3"/>
  <c r="Q178" i="3"/>
  <c r="I179" i="3"/>
  <c r="J179" i="3"/>
  <c r="K179" i="3"/>
  <c r="Q179" i="3"/>
  <c r="I180" i="3"/>
  <c r="J180" i="3"/>
  <c r="Q180" i="3"/>
  <c r="R180" i="3"/>
  <c r="I181" i="3"/>
  <c r="J181" i="3"/>
  <c r="K181" i="3"/>
  <c r="Q181" i="3"/>
  <c r="R181" i="3"/>
  <c r="I182" i="3"/>
  <c r="J182" i="3"/>
  <c r="Q182" i="3"/>
  <c r="I183" i="3"/>
  <c r="J183" i="3"/>
  <c r="Q183" i="3"/>
  <c r="I184" i="3"/>
  <c r="J184" i="3"/>
  <c r="Q184" i="3"/>
  <c r="I185" i="3"/>
  <c r="J185" i="3"/>
  <c r="Q185" i="3"/>
  <c r="R185" i="3"/>
  <c r="I186" i="3"/>
  <c r="J186" i="3"/>
  <c r="Q186" i="3"/>
  <c r="I187" i="3"/>
  <c r="J187" i="3"/>
  <c r="Q187" i="3"/>
  <c r="I188" i="3"/>
  <c r="J188" i="3"/>
  <c r="L188" i="3"/>
  <c r="Q188" i="3"/>
  <c r="I189" i="3"/>
  <c r="J189" i="3"/>
  <c r="L189" i="3"/>
  <c r="Q189" i="3"/>
  <c r="I190" i="3"/>
  <c r="J190" i="3"/>
  <c r="L190" i="3"/>
  <c r="Q190" i="3"/>
  <c r="I191" i="3"/>
  <c r="J191" i="3"/>
  <c r="L191" i="3"/>
  <c r="Q191" i="3"/>
  <c r="I192" i="3"/>
  <c r="J192" i="3"/>
  <c r="L192" i="3"/>
  <c r="Q192" i="3"/>
  <c r="R192" i="3"/>
  <c r="I193" i="3"/>
  <c r="J193" i="3"/>
  <c r="Q193" i="3"/>
  <c r="I194" i="3"/>
  <c r="J194" i="3"/>
  <c r="K194" i="3" s="1"/>
  <c r="Q194" i="3"/>
  <c r="I195" i="3"/>
  <c r="J195" i="3"/>
  <c r="Q195" i="3"/>
  <c r="I196" i="3"/>
  <c r="J196" i="3"/>
  <c r="Q196" i="3"/>
  <c r="R196" i="3"/>
  <c r="I197" i="3"/>
  <c r="J197" i="3"/>
  <c r="K197" i="3"/>
  <c r="Q197" i="3"/>
  <c r="I198" i="3"/>
  <c r="J198" i="3"/>
  <c r="Q198" i="3"/>
  <c r="I199" i="3"/>
  <c r="J199" i="3"/>
  <c r="K199" i="3" s="1"/>
  <c r="Q199" i="3"/>
  <c r="I200" i="3"/>
  <c r="J200" i="3"/>
  <c r="K200" i="3"/>
  <c r="Q200" i="3"/>
  <c r="I201" i="3"/>
  <c r="J201" i="3"/>
  <c r="Q201" i="3"/>
  <c r="I202" i="3"/>
  <c r="J202" i="3"/>
  <c r="Q202" i="3"/>
  <c r="R202" i="3"/>
  <c r="I203" i="3"/>
  <c r="J203" i="3"/>
  <c r="Q203" i="3"/>
  <c r="R203" i="3"/>
  <c r="I204" i="3"/>
  <c r="J204" i="3"/>
  <c r="K204" i="3"/>
  <c r="Q204" i="3"/>
  <c r="G37" i="4"/>
  <c r="H37" i="4"/>
  <c r="J37" i="4" s="1"/>
  <c r="I37" i="4"/>
  <c r="K37" i="4" s="1"/>
  <c r="L37" i="4"/>
  <c r="Q37" i="4" s="1"/>
  <c r="M37" i="4"/>
  <c r="P37" i="4" s="1"/>
  <c r="N37" i="4"/>
  <c r="O37" i="4"/>
  <c r="R37" i="4"/>
  <c r="G38" i="4"/>
  <c r="H38" i="4"/>
  <c r="I38" i="4"/>
  <c r="K38" i="4" s="1"/>
  <c r="J38" i="4"/>
  <c r="L38" i="4"/>
  <c r="Q38" i="4" s="1"/>
  <c r="M38" i="4"/>
  <c r="N38" i="4"/>
  <c r="O38" i="4" s="1"/>
  <c r="R38" i="4"/>
  <c r="G39" i="4"/>
  <c r="H39" i="4"/>
  <c r="I39" i="4"/>
  <c r="J39" i="4"/>
  <c r="K39" i="4"/>
  <c r="L39" i="4"/>
  <c r="M39" i="4"/>
  <c r="N39" i="4"/>
  <c r="O39" i="4" s="1"/>
  <c r="G40" i="4"/>
  <c r="H40" i="4"/>
  <c r="I40" i="4"/>
  <c r="J40" i="4"/>
  <c r="K40" i="4"/>
  <c r="L40" i="4"/>
  <c r="Q40" i="4" s="1"/>
  <c r="M40" i="4"/>
  <c r="P40" i="4" s="1"/>
  <c r="N40" i="4"/>
  <c r="O40" i="4"/>
  <c r="R40" i="4"/>
  <c r="G41" i="4"/>
  <c r="H41" i="4"/>
  <c r="J41" i="4" s="1"/>
  <c r="I41" i="4"/>
  <c r="K41" i="4" s="1"/>
  <c r="L41" i="4"/>
  <c r="Q41" i="4" s="1"/>
  <c r="M41" i="4"/>
  <c r="P41" i="4" s="1"/>
  <c r="N41" i="4"/>
  <c r="O41" i="4"/>
  <c r="R41" i="4"/>
  <c r="G42" i="4"/>
  <c r="H42" i="4"/>
  <c r="I42" i="4"/>
  <c r="K42" i="4" s="1"/>
  <c r="J42" i="4"/>
  <c r="L42" i="4"/>
  <c r="Q42" i="4" s="1"/>
  <c r="M42" i="4"/>
  <c r="N42" i="4"/>
  <c r="O42" i="4"/>
  <c r="R42" i="4"/>
  <c r="G43" i="4"/>
  <c r="H43" i="4"/>
  <c r="I43" i="4"/>
  <c r="J43" i="4"/>
  <c r="K43" i="4"/>
  <c r="L43" i="4"/>
  <c r="M43" i="4"/>
  <c r="N43" i="4"/>
  <c r="O43" i="4" s="1"/>
  <c r="G44" i="4"/>
  <c r="H44" i="4"/>
  <c r="I44" i="4"/>
  <c r="J44" i="4"/>
  <c r="K44" i="4"/>
  <c r="L44" i="4"/>
  <c r="Q44" i="4" s="1"/>
  <c r="M44" i="4"/>
  <c r="P44" i="4" s="1"/>
  <c r="N44" i="4"/>
  <c r="O44" i="4"/>
  <c r="R44" i="4"/>
  <c r="G45" i="4"/>
  <c r="H45" i="4"/>
  <c r="J45" i="4" s="1"/>
  <c r="I45" i="4"/>
  <c r="K45" i="4" s="1"/>
  <c r="L45" i="4"/>
  <c r="Q45" i="4" s="1"/>
  <c r="M45" i="4"/>
  <c r="P45" i="4" s="1"/>
  <c r="N45" i="4"/>
  <c r="O45" i="4"/>
  <c r="R45" i="4"/>
  <c r="G46" i="4"/>
  <c r="H46" i="4"/>
  <c r="I46" i="4"/>
  <c r="K46" i="4" s="1"/>
  <c r="J46" i="4"/>
  <c r="L46" i="4"/>
  <c r="Q46" i="4" s="1"/>
  <c r="M46" i="4"/>
  <c r="N46" i="4"/>
  <c r="O46" i="4"/>
  <c r="J21" i="6"/>
  <c r="K21" i="6" s="1"/>
  <c r="J22" i="6"/>
  <c r="K22" i="6" s="1"/>
  <c r="J23" i="6"/>
  <c r="K23" i="6" s="1"/>
  <c r="J24" i="6"/>
  <c r="K24" i="6" s="1"/>
  <c r="L24" i="6" s="1"/>
  <c r="J25" i="6"/>
  <c r="K25" i="6" s="1"/>
  <c r="L25" i="6" s="1"/>
  <c r="J26" i="6"/>
  <c r="K26" i="6" s="1"/>
  <c r="L26" i="6" s="1"/>
  <c r="J27" i="6"/>
  <c r="K27" i="6" s="1"/>
  <c r="L27" i="6" s="1"/>
  <c r="G20" i="6"/>
  <c r="G21" i="6"/>
  <c r="G22" i="6"/>
  <c r="G23" i="6"/>
  <c r="G24" i="6"/>
  <c r="G25" i="6"/>
  <c r="G26" i="6"/>
  <c r="G27" i="6"/>
  <c r="I118" i="3"/>
  <c r="J118" i="3"/>
  <c r="Q118" i="3"/>
  <c r="R118" i="3"/>
  <c r="N20" i="6" s="1"/>
  <c r="I119" i="3"/>
  <c r="J119" i="3"/>
  <c r="Q119" i="3"/>
  <c r="R119" i="3"/>
  <c r="I120" i="3"/>
  <c r="J120" i="3"/>
  <c r="Q120" i="3"/>
  <c r="R120" i="3"/>
  <c r="I121" i="3"/>
  <c r="J121" i="3"/>
  <c r="Q121" i="3"/>
  <c r="R121" i="3"/>
  <c r="I122" i="3"/>
  <c r="J122" i="3"/>
  <c r="Q122" i="3"/>
  <c r="R122" i="3"/>
  <c r="I123" i="3"/>
  <c r="J123" i="3"/>
  <c r="Q123" i="3"/>
  <c r="R123" i="3"/>
  <c r="I124" i="3"/>
  <c r="J124" i="3"/>
  <c r="L124" i="3"/>
  <c r="Q124" i="3"/>
  <c r="R124" i="3"/>
  <c r="I125" i="3"/>
  <c r="J125" i="3"/>
  <c r="Q125" i="3"/>
  <c r="R125" i="3"/>
  <c r="I126" i="3"/>
  <c r="J126" i="3"/>
  <c r="L126" i="3"/>
  <c r="Q126" i="3"/>
  <c r="R126" i="3"/>
  <c r="I127" i="3"/>
  <c r="J127" i="3"/>
  <c r="L127" i="3"/>
  <c r="Q127" i="3"/>
  <c r="R127" i="3"/>
  <c r="I128" i="3"/>
  <c r="J128" i="3"/>
  <c r="L128" i="3"/>
  <c r="Q128" i="3"/>
  <c r="R128" i="3"/>
  <c r="I129" i="3"/>
  <c r="J129" i="3"/>
  <c r="Q129" i="3"/>
  <c r="R129" i="3"/>
  <c r="I130" i="3"/>
  <c r="J130" i="3"/>
  <c r="K130" i="3"/>
  <c r="Q130" i="3"/>
  <c r="R130" i="3"/>
  <c r="I131" i="3"/>
  <c r="J131" i="3"/>
  <c r="K131" i="3" s="1"/>
  <c r="Q131" i="3"/>
  <c r="R131" i="3"/>
  <c r="I132" i="3"/>
  <c r="J132" i="3"/>
  <c r="Q132" i="3"/>
  <c r="R132" i="3"/>
  <c r="I133" i="3"/>
  <c r="J133" i="3"/>
  <c r="Q133" i="3"/>
  <c r="R133" i="3"/>
  <c r="I134" i="3"/>
  <c r="J134" i="3"/>
  <c r="K134" i="3" s="1"/>
  <c r="Q134" i="3"/>
  <c r="R134" i="3"/>
  <c r="I135" i="3"/>
  <c r="J135" i="3"/>
  <c r="K135" i="3"/>
  <c r="Q135" i="3"/>
  <c r="R135" i="3"/>
  <c r="I136" i="3"/>
  <c r="J136" i="3"/>
  <c r="Q136" i="3"/>
  <c r="R136" i="3"/>
  <c r="I137" i="3"/>
  <c r="J137" i="3"/>
  <c r="Q137" i="3"/>
  <c r="R137" i="3"/>
  <c r="I138" i="3"/>
  <c r="J138" i="3"/>
  <c r="Q138" i="3"/>
  <c r="R138" i="3"/>
  <c r="I139" i="3"/>
  <c r="J139" i="3"/>
  <c r="Q139" i="3"/>
  <c r="R139" i="3"/>
  <c r="I140" i="3"/>
  <c r="J140" i="3"/>
  <c r="Q140" i="3"/>
  <c r="R140" i="3"/>
  <c r="I141" i="3"/>
  <c r="J141" i="3"/>
  <c r="L141" i="3"/>
  <c r="Q141" i="3"/>
  <c r="R141" i="3"/>
  <c r="I142" i="3"/>
  <c r="J142" i="3"/>
  <c r="Q142" i="3"/>
  <c r="R142" i="3"/>
  <c r="I143" i="3"/>
  <c r="J143" i="3"/>
  <c r="Q143" i="3"/>
  <c r="R143" i="3"/>
  <c r="I144" i="3"/>
  <c r="J144" i="3"/>
  <c r="L144" i="3"/>
  <c r="Q144" i="3"/>
  <c r="R144" i="3"/>
  <c r="I145" i="3"/>
  <c r="J145" i="3"/>
  <c r="Q145" i="3"/>
  <c r="R145" i="3"/>
  <c r="I146" i="3"/>
  <c r="J146" i="3"/>
  <c r="L146" i="3"/>
  <c r="Q146" i="3"/>
  <c r="R146" i="3"/>
  <c r="I147" i="3"/>
  <c r="J147" i="3"/>
  <c r="Q147" i="3"/>
  <c r="R147" i="3"/>
  <c r="I148" i="3"/>
  <c r="J148" i="3"/>
  <c r="L148" i="3"/>
  <c r="Q148" i="3"/>
  <c r="R148" i="3"/>
  <c r="I149" i="3"/>
  <c r="J149" i="3"/>
  <c r="Q149" i="3"/>
  <c r="R149" i="3"/>
  <c r="I150" i="3"/>
  <c r="J150" i="3"/>
  <c r="K150" i="3" s="1"/>
  <c r="Q150" i="3"/>
  <c r="R150" i="3"/>
  <c r="I151" i="3"/>
  <c r="J151" i="3"/>
  <c r="Q151" i="3"/>
  <c r="R151" i="3"/>
  <c r="I152" i="3"/>
  <c r="J152" i="3"/>
  <c r="K152" i="3"/>
  <c r="Q152" i="3"/>
  <c r="R152" i="3"/>
  <c r="I153" i="3"/>
  <c r="J153" i="3"/>
  <c r="Q153" i="3"/>
  <c r="R153" i="3"/>
  <c r="I154" i="3"/>
  <c r="J154" i="3"/>
  <c r="Q154" i="3"/>
  <c r="R154" i="3"/>
  <c r="I155" i="3"/>
  <c r="J155" i="3"/>
  <c r="Q155" i="3"/>
  <c r="R155" i="3"/>
  <c r="I156" i="3"/>
  <c r="J156" i="3"/>
  <c r="K156" i="3"/>
  <c r="Q156" i="3"/>
  <c r="R156" i="3"/>
  <c r="I157" i="3"/>
  <c r="J157" i="3"/>
  <c r="K157" i="3"/>
  <c r="Q157" i="3"/>
  <c r="R157" i="3"/>
  <c r="I158" i="3"/>
  <c r="J158" i="3"/>
  <c r="K158" i="3" s="1"/>
  <c r="Q158" i="3"/>
  <c r="R158" i="3"/>
  <c r="G28" i="4"/>
  <c r="H28" i="4"/>
  <c r="J28" i="4" s="1"/>
  <c r="I28" i="4"/>
  <c r="K28" i="4" s="1"/>
  <c r="L28" i="4"/>
  <c r="Q28" i="4" s="1"/>
  <c r="M28" i="4"/>
  <c r="P28" i="4" s="1"/>
  <c r="N28" i="4"/>
  <c r="R28" i="4" s="1"/>
  <c r="O28" i="4"/>
  <c r="G29" i="4"/>
  <c r="H29" i="4"/>
  <c r="I29" i="4"/>
  <c r="K29" i="4" s="1"/>
  <c r="J29" i="4"/>
  <c r="L29" i="4"/>
  <c r="Q29" i="4" s="1"/>
  <c r="M29" i="4"/>
  <c r="P29" i="4" s="1"/>
  <c r="N29" i="4"/>
  <c r="O29" i="4" s="1"/>
  <c r="R29" i="4"/>
  <c r="G30" i="4"/>
  <c r="H30" i="4"/>
  <c r="J30" i="4" s="1"/>
  <c r="I30" i="4"/>
  <c r="K30" i="4" s="1"/>
  <c r="L30" i="4"/>
  <c r="M30" i="4"/>
  <c r="N30" i="4"/>
  <c r="O30" i="4" s="1"/>
  <c r="G31" i="4"/>
  <c r="H31" i="4"/>
  <c r="I31" i="4"/>
  <c r="J31" i="4"/>
  <c r="K31" i="4"/>
  <c r="L31" i="4"/>
  <c r="Q31" i="4" s="1"/>
  <c r="M31" i="4"/>
  <c r="P31" i="4" s="1"/>
  <c r="N31" i="4"/>
  <c r="O31" i="4"/>
  <c r="R31" i="4"/>
  <c r="G32" i="4"/>
  <c r="H32" i="4"/>
  <c r="J32" i="4" s="1"/>
  <c r="I32" i="4"/>
  <c r="K32" i="4" s="1"/>
  <c r="L32" i="4"/>
  <c r="Q32" i="4" s="1"/>
  <c r="M32" i="4"/>
  <c r="P32" i="4" s="1"/>
  <c r="N32" i="4"/>
  <c r="R32" i="4" s="1"/>
  <c r="O32" i="4"/>
  <c r="G33" i="4"/>
  <c r="H33" i="4"/>
  <c r="I33" i="4"/>
  <c r="K33" i="4" s="1"/>
  <c r="J33" i="4"/>
  <c r="L33" i="4"/>
  <c r="Q33" i="4" s="1"/>
  <c r="M33" i="4"/>
  <c r="P33" i="4" s="1"/>
  <c r="N33" i="4"/>
  <c r="O33" i="4"/>
  <c r="R33" i="4"/>
  <c r="G34" i="4"/>
  <c r="H34" i="4"/>
  <c r="J34" i="4" s="1"/>
  <c r="I34" i="4"/>
  <c r="K34" i="4" s="1"/>
  <c r="L34" i="4"/>
  <c r="M34" i="4"/>
  <c r="N34" i="4"/>
  <c r="O34" i="4" s="1"/>
  <c r="G35" i="4"/>
  <c r="H35" i="4"/>
  <c r="I35" i="4"/>
  <c r="J35" i="4"/>
  <c r="K35" i="4"/>
  <c r="L35" i="4"/>
  <c r="Q35" i="4" s="1"/>
  <c r="M35" i="4"/>
  <c r="P35" i="4" s="1"/>
  <c r="N35" i="4"/>
  <c r="O35" i="4"/>
  <c r="R35" i="4"/>
  <c r="G36" i="4"/>
  <c r="H36" i="4"/>
  <c r="J36" i="4" s="1"/>
  <c r="I36" i="4"/>
  <c r="K36" i="4" s="1"/>
  <c r="L36" i="4"/>
  <c r="Q36" i="4" s="1"/>
  <c r="M36" i="4"/>
  <c r="P36" i="4" s="1"/>
  <c r="N36" i="4"/>
  <c r="R36" i="4" s="1"/>
  <c r="O36" i="4"/>
  <c r="J20" i="6"/>
  <c r="K20" i="6" s="1"/>
  <c r="L20" i="6" s="1"/>
  <c r="H7" i="5"/>
  <c r="H6" i="5"/>
  <c r="R160" i="3" s="1"/>
  <c r="E7" i="5"/>
  <c r="D7" i="5"/>
  <c r="E6" i="5"/>
  <c r="H5" i="5"/>
  <c r="E5" i="5"/>
  <c r="D5" i="5"/>
  <c r="J62" i="3"/>
  <c r="N27" i="4"/>
  <c r="M27" i="4"/>
  <c r="L27" i="4"/>
  <c r="I27" i="4"/>
  <c r="K27" i="4" s="1"/>
  <c r="H27" i="4"/>
  <c r="J27" i="4" s="1"/>
  <c r="G27" i="4"/>
  <c r="R27" i="4" s="1"/>
  <c r="R26" i="4"/>
  <c r="N26" i="4"/>
  <c r="Q26" i="4" s="1"/>
  <c r="M26" i="4"/>
  <c r="L26" i="4"/>
  <c r="K26" i="4"/>
  <c r="I26" i="4"/>
  <c r="H26" i="4"/>
  <c r="J26" i="4" s="1"/>
  <c r="G26" i="4"/>
  <c r="O25" i="4"/>
  <c r="N25" i="4"/>
  <c r="R25" i="4" s="1"/>
  <c r="M25" i="4"/>
  <c r="L25" i="4"/>
  <c r="I25" i="4"/>
  <c r="K25" i="4" s="1"/>
  <c r="H25" i="4"/>
  <c r="J25" i="4" s="1"/>
  <c r="G25" i="4"/>
  <c r="N24" i="4"/>
  <c r="R24" i="4" s="1"/>
  <c r="M24" i="4"/>
  <c r="L24" i="4"/>
  <c r="I24" i="4"/>
  <c r="K24" i="4" s="1"/>
  <c r="H24" i="4"/>
  <c r="J24" i="4" s="1"/>
  <c r="G24" i="4"/>
  <c r="N23" i="4"/>
  <c r="M23" i="4"/>
  <c r="L23" i="4"/>
  <c r="I23" i="4"/>
  <c r="K23" i="4" s="1"/>
  <c r="H23" i="4"/>
  <c r="J23" i="4" s="1"/>
  <c r="G23" i="4"/>
  <c r="R23" i="4" s="1"/>
  <c r="N22" i="4"/>
  <c r="R22" i="4" s="1"/>
  <c r="M22" i="4"/>
  <c r="L22" i="4"/>
  <c r="I22" i="4"/>
  <c r="K22" i="4" s="1"/>
  <c r="H22" i="4"/>
  <c r="J22" i="4" s="1"/>
  <c r="G22" i="4"/>
  <c r="J19" i="6"/>
  <c r="J18" i="6"/>
  <c r="J17" i="6"/>
  <c r="J16" i="6"/>
  <c r="J15" i="6"/>
  <c r="J14" i="6"/>
  <c r="G19" i="6"/>
  <c r="G18" i="6"/>
  <c r="G17" i="6"/>
  <c r="G16" i="6"/>
  <c r="G15" i="6"/>
  <c r="G14" i="6"/>
  <c r="Q117" i="3"/>
  <c r="J117" i="3"/>
  <c r="I117" i="3"/>
  <c r="Q116" i="3"/>
  <c r="J116" i="3"/>
  <c r="I116" i="3"/>
  <c r="Q115" i="3"/>
  <c r="J115" i="3"/>
  <c r="I115" i="3"/>
  <c r="Q114" i="3"/>
  <c r="J114" i="3"/>
  <c r="I114" i="3"/>
  <c r="Q113" i="3"/>
  <c r="J113" i="3"/>
  <c r="I113" i="3"/>
  <c r="Q112" i="3"/>
  <c r="J112" i="3"/>
  <c r="I112" i="3"/>
  <c r="Q111" i="3"/>
  <c r="J111" i="3"/>
  <c r="I111" i="3"/>
  <c r="Q110" i="3"/>
  <c r="J110" i="3"/>
  <c r="I110" i="3"/>
  <c r="Q109" i="3"/>
  <c r="J109" i="3"/>
  <c r="I109" i="3"/>
  <c r="Q108" i="3"/>
  <c r="J108" i="3"/>
  <c r="I108" i="3"/>
  <c r="Q107" i="3"/>
  <c r="J107" i="3"/>
  <c r="I107" i="3"/>
  <c r="Q106" i="3"/>
  <c r="J106" i="3"/>
  <c r="I106" i="3"/>
  <c r="Q105" i="3"/>
  <c r="J105" i="3"/>
  <c r="I105" i="3"/>
  <c r="Q104" i="3"/>
  <c r="J104" i="3"/>
  <c r="I104" i="3"/>
  <c r="Q103" i="3"/>
  <c r="J103" i="3"/>
  <c r="I103" i="3"/>
  <c r="Q102" i="3"/>
  <c r="J102" i="3"/>
  <c r="I102" i="3"/>
  <c r="Q101" i="3"/>
  <c r="J101" i="3"/>
  <c r="I101" i="3"/>
  <c r="Q100" i="3"/>
  <c r="J100" i="3"/>
  <c r="I100" i="3"/>
  <c r="Q99" i="3"/>
  <c r="J99" i="3"/>
  <c r="I99" i="3"/>
  <c r="Q98" i="3"/>
  <c r="J98" i="3"/>
  <c r="I98" i="3"/>
  <c r="Q97" i="3"/>
  <c r="J97" i="3"/>
  <c r="I97" i="3"/>
  <c r="Q96" i="3"/>
  <c r="J96" i="3"/>
  <c r="I96" i="3"/>
  <c r="Q95" i="3"/>
  <c r="J95" i="3"/>
  <c r="I95" i="3"/>
  <c r="Q94" i="3"/>
  <c r="J94" i="3"/>
  <c r="I94" i="3"/>
  <c r="Q93" i="3"/>
  <c r="J93" i="3"/>
  <c r="I93" i="3"/>
  <c r="Q92" i="3"/>
  <c r="J92" i="3"/>
  <c r="I92" i="3"/>
  <c r="Q91" i="3"/>
  <c r="J91" i="3"/>
  <c r="I91" i="3"/>
  <c r="Q90" i="3"/>
  <c r="J90" i="3"/>
  <c r="I90" i="3"/>
  <c r="Q89" i="3"/>
  <c r="J89" i="3"/>
  <c r="I89" i="3"/>
  <c r="Q88" i="3"/>
  <c r="J88" i="3"/>
  <c r="I88" i="3"/>
  <c r="H4" i="5"/>
  <c r="R115" i="3" s="1"/>
  <c r="J13" i="6"/>
  <c r="J12" i="6"/>
  <c r="J11" i="6"/>
  <c r="J10" i="6"/>
  <c r="J9" i="6"/>
  <c r="J8" i="6"/>
  <c r="J7" i="6"/>
  <c r="J6" i="6"/>
  <c r="J5" i="6"/>
  <c r="K5" i="6" s="1"/>
  <c r="G13" i="6"/>
  <c r="G12" i="6"/>
  <c r="G11" i="6"/>
  <c r="G10" i="6"/>
  <c r="G9" i="6"/>
  <c r="G8" i="6"/>
  <c r="G7" i="6"/>
  <c r="G6" i="6"/>
  <c r="G5" i="6"/>
  <c r="H3" i="5"/>
  <c r="R60" i="3" s="1"/>
  <c r="R87" i="3"/>
  <c r="Q87" i="3"/>
  <c r="J87" i="3"/>
  <c r="I87" i="3"/>
  <c r="R86" i="3"/>
  <c r="Q86" i="3"/>
  <c r="J86" i="3"/>
  <c r="I86" i="3"/>
  <c r="R85" i="3"/>
  <c r="Q85" i="3"/>
  <c r="J85" i="3"/>
  <c r="I85" i="3"/>
  <c r="R84" i="3"/>
  <c r="Q84" i="3"/>
  <c r="J84" i="3"/>
  <c r="I84" i="3"/>
  <c r="R83" i="3"/>
  <c r="Q83" i="3"/>
  <c r="J83" i="3"/>
  <c r="I83" i="3"/>
  <c r="R82" i="3"/>
  <c r="Q82" i="3"/>
  <c r="J82" i="3"/>
  <c r="I82" i="3"/>
  <c r="R81" i="3"/>
  <c r="Q81" i="3"/>
  <c r="J81" i="3"/>
  <c r="I81" i="3"/>
  <c r="R80" i="3"/>
  <c r="Q80" i="3"/>
  <c r="J80" i="3"/>
  <c r="I80" i="3"/>
  <c r="R79" i="3"/>
  <c r="Q79" i="3"/>
  <c r="J79" i="3"/>
  <c r="I79" i="3"/>
  <c r="R78" i="3"/>
  <c r="Q78" i="3"/>
  <c r="J78" i="3"/>
  <c r="I78" i="3"/>
  <c r="R77" i="3"/>
  <c r="Q77" i="3"/>
  <c r="J77" i="3"/>
  <c r="I77" i="3"/>
  <c r="R76" i="3"/>
  <c r="Q76" i="3"/>
  <c r="J76" i="3"/>
  <c r="I76" i="3"/>
  <c r="R75" i="3"/>
  <c r="Q75" i="3"/>
  <c r="J75" i="3"/>
  <c r="I75" i="3"/>
  <c r="R74" i="3"/>
  <c r="Q74" i="3"/>
  <c r="J74" i="3"/>
  <c r="I74" i="3"/>
  <c r="R73" i="3"/>
  <c r="Q73" i="3"/>
  <c r="J73" i="3"/>
  <c r="I73" i="3"/>
  <c r="R72" i="3"/>
  <c r="Q72" i="3"/>
  <c r="J72" i="3"/>
  <c r="I72" i="3"/>
  <c r="R71" i="3"/>
  <c r="Q71" i="3"/>
  <c r="J71" i="3"/>
  <c r="I71" i="3"/>
  <c r="R70" i="3"/>
  <c r="Q70" i="3"/>
  <c r="J70" i="3"/>
  <c r="I70" i="3"/>
  <c r="R69" i="3"/>
  <c r="Q69" i="3"/>
  <c r="J69" i="3"/>
  <c r="I69" i="3"/>
  <c r="R68" i="3"/>
  <c r="Q68" i="3"/>
  <c r="J68" i="3"/>
  <c r="I68" i="3"/>
  <c r="R67" i="3"/>
  <c r="Q67" i="3"/>
  <c r="J67" i="3"/>
  <c r="I67" i="3"/>
  <c r="R66" i="3"/>
  <c r="Q66" i="3"/>
  <c r="J66" i="3"/>
  <c r="I66" i="3"/>
  <c r="R65" i="3"/>
  <c r="Q65" i="3"/>
  <c r="J65" i="3"/>
  <c r="I65" i="3"/>
  <c r="R64" i="3"/>
  <c r="Q64" i="3"/>
  <c r="J64" i="3"/>
  <c r="I64" i="3"/>
  <c r="R63" i="3"/>
  <c r="Q63" i="3"/>
  <c r="J63" i="3"/>
  <c r="I63" i="3"/>
  <c r="R62" i="3"/>
  <c r="Q62" i="3"/>
  <c r="I62" i="3"/>
  <c r="R61" i="3"/>
  <c r="Q61" i="3"/>
  <c r="J61" i="3"/>
  <c r="I61" i="3"/>
  <c r="Q60" i="3"/>
  <c r="J60" i="3"/>
  <c r="I60" i="3"/>
  <c r="Q59" i="3"/>
  <c r="J59" i="3"/>
  <c r="I59" i="3"/>
  <c r="Q58" i="3"/>
  <c r="J58" i="3"/>
  <c r="I58" i="3"/>
  <c r="R57" i="3"/>
  <c r="Q57" i="3"/>
  <c r="J57" i="3"/>
  <c r="I57" i="3"/>
  <c r="R56" i="3"/>
  <c r="Q56" i="3"/>
  <c r="J56" i="3"/>
  <c r="I56" i="3"/>
  <c r="Q55" i="3"/>
  <c r="J55" i="3"/>
  <c r="I55" i="3"/>
  <c r="Q54" i="3"/>
  <c r="J54" i="3"/>
  <c r="I54" i="3"/>
  <c r="R53" i="3"/>
  <c r="Q53" i="3"/>
  <c r="J53" i="3"/>
  <c r="I53" i="3"/>
  <c r="R52" i="3"/>
  <c r="Q52" i="3"/>
  <c r="J52" i="3"/>
  <c r="I52" i="3"/>
  <c r="Q51" i="3"/>
  <c r="J51" i="3"/>
  <c r="I51" i="3"/>
  <c r="Q50" i="3"/>
  <c r="J50" i="3"/>
  <c r="I50" i="3"/>
  <c r="R49" i="3"/>
  <c r="Q49" i="3"/>
  <c r="J49" i="3"/>
  <c r="I49" i="3"/>
  <c r="R48" i="3"/>
  <c r="Q48" i="3"/>
  <c r="J48" i="3"/>
  <c r="I48" i="3"/>
  <c r="R47" i="3"/>
  <c r="Q47" i="3"/>
  <c r="J47" i="3"/>
  <c r="I47" i="3"/>
  <c r="Q46" i="3"/>
  <c r="J46" i="3"/>
  <c r="I46" i="3"/>
  <c r="R45" i="3"/>
  <c r="N13" i="6" s="1"/>
  <c r="Q45" i="3"/>
  <c r="J45" i="3"/>
  <c r="I45" i="3"/>
  <c r="N21" i="4"/>
  <c r="R21" i="4" s="1"/>
  <c r="M21" i="4"/>
  <c r="L21" i="4"/>
  <c r="I21" i="4"/>
  <c r="K21" i="4" s="1"/>
  <c r="H21" i="4"/>
  <c r="J21" i="4" s="1"/>
  <c r="G21" i="4"/>
  <c r="N20" i="4"/>
  <c r="R20" i="4" s="1"/>
  <c r="M20" i="4"/>
  <c r="L20" i="4"/>
  <c r="I20" i="4"/>
  <c r="K20" i="4" s="1"/>
  <c r="H20" i="4"/>
  <c r="J20" i="4" s="1"/>
  <c r="G20" i="4"/>
  <c r="N19" i="4"/>
  <c r="R19" i="4" s="1"/>
  <c r="M19" i="4"/>
  <c r="L19" i="4"/>
  <c r="I19" i="4"/>
  <c r="K19" i="4" s="1"/>
  <c r="H19" i="4"/>
  <c r="J19" i="4" s="1"/>
  <c r="G19" i="4"/>
  <c r="N18" i="4"/>
  <c r="R18" i="4" s="1"/>
  <c r="M18" i="4"/>
  <c r="L18" i="4"/>
  <c r="I18" i="4"/>
  <c r="K18" i="4" s="1"/>
  <c r="H18" i="4"/>
  <c r="J18" i="4" s="1"/>
  <c r="G18" i="4"/>
  <c r="N17" i="4"/>
  <c r="R17" i="4" s="1"/>
  <c r="M17" i="4"/>
  <c r="L17" i="4"/>
  <c r="I17" i="4"/>
  <c r="K17" i="4" s="1"/>
  <c r="H17" i="4"/>
  <c r="J17" i="4" s="1"/>
  <c r="G17" i="4"/>
  <c r="N16" i="4"/>
  <c r="R16" i="4" s="1"/>
  <c r="M16" i="4"/>
  <c r="L16" i="4"/>
  <c r="I16" i="4"/>
  <c r="K16" i="4" s="1"/>
  <c r="H16" i="4"/>
  <c r="J16" i="4" s="1"/>
  <c r="G16" i="4"/>
  <c r="N15" i="4"/>
  <c r="R15" i="4" s="1"/>
  <c r="M15" i="4"/>
  <c r="L15" i="4"/>
  <c r="I15" i="4"/>
  <c r="K15" i="4" s="1"/>
  <c r="H15" i="4"/>
  <c r="J15" i="4" s="1"/>
  <c r="G15" i="4"/>
  <c r="N14" i="4"/>
  <c r="R14" i="4" s="1"/>
  <c r="M14" i="4"/>
  <c r="L14" i="4"/>
  <c r="I14" i="4"/>
  <c r="K14" i="4" s="1"/>
  <c r="H14" i="4"/>
  <c r="J14" i="4" s="1"/>
  <c r="G14" i="4"/>
  <c r="N13" i="4"/>
  <c r="R13" i="4" s="1"/>
  <c r="M13" i="4"/>
  <c r="L13" i="4"/>
  <c r="I13" i="4"/>
  <c r="K13" i="4" s="1"/>
  <c r="H13" i="4"/>
  <c r="J13" i="4" s="1"/>
  <c r="G13" i="4"/>
  <c r="N12" i="4"/>
  <c r="R12" i="4" s="1"/>
  <c r="M12" i="4"/>
  <c r="L12" i="4"/>
  <c r="I12" i="4"/>
  <c r="K12" i="4" s="1"/>
  <c r="H12" i="4"/>
  <c r="J12" i="4" s="1"/>
  <c r="G1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2" i="3"/>
  <c r="N4" i="6" s="1"/>
  <c r="H2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2" i="3"/>
  <c r="J3" i="6"/>
  <c r="J4" i="6"/>
  <c r="J2" i="6"/>
  <c r="G4" i="6"/>
  <c r="G3" i="6"/>
  <c r="G2" i="6"/>
  <c r="G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G3" i="4"/>
  <c r="G4" i="4"/>
  <c r="G5" i="4"/>
  <c r="G6" i="4"/>
  <c r="G7" i="4"/>
  <c r="G8" i="4"/>
  <c r="G9" i="4"/>
  <c r="G10" i="4"/>
  <c r="G11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2" i="4"/>
  <c r="K2" i="4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2" i="4"/>
  <c r="J2" i="4" s="1"/>
  <c r="N3" i="4"/>
  <c r="O3" i="4" s="1"/>
  <c r="N4" i="4"/>
  <c r="N5" i="4"/>
  <c r="O5" i="4" s="1"/>
  <c r="N6" i="4"/>
  <c r="N7" i="4"/>
  <c r="O7" i="4" s="1"/>
  <c r="N8" i="4"/>
  <c r="N9" i="4"/>
  <c r="N10" i="4"/>
  <c r="N11" i="4"/>
  <c r="O11" i="4" s="1"/>
  <c r="N2" i="4"/>
  <c r="R2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K585" i="3" l="1"/>
  <c r="K617" i="3"/>
  <c r="K609" i="3"/>
  <c r="K590" i="3"/>
  <c r="K595" i="3"/>
  <c r="K601" i="3"/>
  <c r="K619" i="3"/>
  <c r="L619" i="3"/>
  <c r="L590" i="3"/>
  <c r="M590" i="3" s="1"/>
  <c r="L601" i="3"/>
  <c r="M601" i="3" s="1"/>
  <c r="L585" i="3"/>
  <c r="L595" i="3"/>
  <c r="L617" i="3"/>
  <c r="M617" i="3" s="1"/>
  <c r="L609" i="3"/>
  <c r="O609" i="3" s="1"/>
  <c r="L593" i="3"/>
  <c r="K593" i="3"/>
  <c r="O593" i="3" s="1"/>
  <c r="L597" i="3"/>
  <c r="O132" i="4"/>
  <c r="L591" i="3"/>
  <c r="L620" i="3"/>
  <c r="P132" i="4"/>
  <c r="Q136" i="4"/>
  <c r="L602" i="3"/>
  <c r="R132" i="4"/>
  <c r="R136" i="4"/>
  <c r="L621" i="3"/>
  <c r="Q131" i="4"/>
  <c r="K607" i="3"/>
  <c r="R131" i="4"/>
  <c r="L583" i="3"/>
  <c r="L616" i="3"/>
  <c r="L587" i="3"/>
  <c r="L580" i="3"/>
  <c r="L613" i="3"/>
  <c r="L588" i="3"/>
  <c r="K606" i="3"/>
  <c r="L581" i="3"/>
  <c r="L610" i="3"/>
  <c r="P135" i="4"/>
  <c r="L603" i="3"/>
  <c r="R135" i="4"/>
  <c r="O130" i="4"/>
  <c r="L596" i="3"/>
  <c r="L615" i="3"/>
  <c r="P130" i="4"/>
  <c r="Q130" i="4"/>
  <c r="Q134" i="4"/>
  <c r="Q138" i="4"/>
  <c r="L612" i="3"/>
  <c r="L594" i="3"/>
  <c r="K605" i="3"/>
  <c r="O136" i="4"/>
  <c r="L598" i="3"/>
  <c r="O131" i="4"/>
  <c r="O135" i="4"/>
  <c r="K599" i="3"/>
  <c r="L614" i="3"/>
  <c r="L589" i="3"/>
  <c r="L618" i="3"/>
  <c r="O134" i="4"/>
  <c r="O138" i="4"/>
  <c r="L582" i="3"/>
  <c r="L611" i="3"/>
  <c r="P134" i="4"/>
  <c r="P138" i="4"/>
  <c r="O619" i="3" s="1"/>
  <c r="L586" i="3"/>
  <c r="L604" i="3"/>
  <c r="K608" i="3"/>
  <c r="M97" i="6"/>
  <c r="L97" i="6"/>
  <c r="M95" i="6"/>
  <c r="L95" i="6"/>
  <c r="M98" i="6"/>
  <c r="L98" i="6"/>
  <c r="L96" i="6"/>
  <c r="M96" i="6"/>
  <c r="N619" i="3"/>
  <c r="M619" i="3"/>
  <c r="K611" i="3"/>
  <c r="O585" i="3"/>
  <c r="L606" i="3"/>
  <c r="O606" i="3" s="1"/>
  <c r="L592" i="3"/>
  <c r="K592" i="3"/>
  <c r="K582" i="3"/>
  <c r="K587" i="3"/>
  <c r="M605" i="3"/>
  <c r="O595" i="3"/>
  <c r="M595" i="3"/>
  <c r="N595" i="3"/>
  <c r="P595" i="3" s="1"/>
  <c r="M585" i="3"/>
  <c r="K598" i="3"/>
  <c r="K603" i="3"/>
  <c r="K614" i="3"/>
  <c r="K584" i="3"/>
  <c r="L584" i="3"/>
  <c r="K600" i="3"/>
  <c r="L600" i="3"/>
  <c r="L608" i="3"/>
  <c r="M608" i="3" s="1"/>
  <c r="K581" i="3"/>
  <c r="K589" i="3"/>
  <c r="K597" i="3"/>
  <c r="K613" i="3"/>
  <c r="K621" i="3"/>
  <c r="K618" i="3"/>
  <c r="L599" i="3"/>
  <c r="L607" i="3"/>
  <c r="L605" i="3"/>
  <c r="O605" i="3" s="1"/>
  <c r="K586" i="3"/>
  <c r="K594" i="3"/>
  <c r="K610" i="3"/>
  <c r="K583" i="3"/>
  <c r="K591" i="3"/>
  <c r="K615" i="3"/>
  <c r="K580" i="3"/>
  <c r="K588" i="3"/>
  <c r="K596" i="3"/>
  <c r="K604" i="3"/>
  <c r="K612" i="3"/>
  <c r="K620" i="3"/>
  <c r="K616" i="3"/>
  <c r="K602" i="3"/>
  <c r="P110" i="4"/>
  <c r="N92" i="6"/>
  <c r="N93" i="6"/>
  <c r="K575" i="3"/>
  <c r="K559" i="3"/>
  <c r="K567" i="3"/>
  <c r="K551" i="3"/>
  <c r="K543" i="3"/>
  <c r="L575" i="3"/>
  <c r="M575" i="3" s="1"/>
  <c r="L559" i="3"/>
  <c r="M559" i="3" s="1"/>
  <c r="L543" i="3"/>
  <c r="M543" i="3" s="1"/>
  <c r="L567" i="3"/>
  <c r="M567" i="3" s="1"/>
  <c r="L551" i="3"/>
  <c r="K547" i="3"/>
  <c r="L540" i="3"/>
  <c r="K574" i="3"/>
  <c r="O122" i="4"/>
  <c r="L548" i="3"/>
  <c r="L563" i="3"/>
  <c r="P122" i="4"/>
  <c r="P126" i="4"/>
  <c r="Q126" i="4"/>
  <c r="L541" i="3"/>
  <c r="L556" i="3"/>
  <c r="K549" i="3"/>
  <c r="L564" i="3"/>
  <c r="Q121" i="4"/>
  <c r="K557" i="3"/>
  <c r="N557" i="3" s="1"/>
  <c r="L568" i="3"/>
  <c r="O124" i="4"/>
  <c r="O128" i="4"/>
  <c r="L546" i="3"/>
  <c r="L550" i="3"/>
  <c r="L561" i="3"/>
  <c r="K565" i="3"/>
  <c r="N565" i="3" s="1"/>
  <c r="K576" i="3"/>
  <c r="P120" i="4"/>
  <c r="P124" i="4"/>
  <c r="P128" i="4"/>
  <c r="L562" i="3"/>
  <c r="L577" i="3"/>
  <c r="L570" i="3"/>
  <c r="O126" i="4"/>
  <c r="K544" i="3"/>
  <c r="L578" i="3"/>
  <c r="Q122" i="4"/>
  <c r="K552" i="3"/>
  <c r="L560" i="3"/>
  <c r="L579" i="3"/>
  <c r="P121" i="4"/>
  <c r="L538" i="3"/>
  <c r="L553" i="3"/>
  <c r="L572" i="3"/>
  <c r="R121" i="4"/>
  <c r="O120" i="4"/>
  <c r="Q120" i="4"/>
  <c r="Q124" i="4"/>
  <c r="Q128" i="4"/>
  <c r="K566" i="3"/>
  <c r="L555" i="3"/>
  <c r="L537" i="3"/>
  <c r="L571" i="3"/>
  <c r="O125" i="4"/>
  <c r="L545" i="3"/>
  <c r="P125" i="4"/>
  <c r="Q125" i="4"/>
  <c r="L542" i="3"/>
  <c r="L539" i="3"/>
  <c r="L554" i="3"/>
  <c r="K558" i="3"/>
  <c r="L569" i="3"/>
  <c r="K573" i="3"/>
  <c r="N573" i="3" s="1"/>
  <c r="M92" i="6"/>
  <c r="L92" i="6"/>
  <c r="M93" i="6"/>
  <c r="L93" i="6"/>
  <c r="L94" i="6"/>
  <c r="M94" i="6"/>
  <c r="K39" i="6"/>
  <c r="L39" i="6" s="1"/>
  <c r="K577" i="3"/>
  <c r="K569" i="3"/>
  <c r="K572" i="3"/>
  <c r="K553" i="3"/>
  <c r="K564" i="3"/>
  <c r="K537" i="3"/>
  <c r="K540" i="3"/>
  <c r="O575" i="3"/>
  <c r="O559" i="3"/>
  <c r="K561" i="3"/>
  <c r="K545" i="3"/>
  <c r="K556" i="3"/>
  <c r="K548" i="3"/>
  <c r="K542" i="3"/>
  <c r="L574" i="3"/>
  <c r="K539" i="3"/>
  <c r="K563" i="3"/>
  <c r="K571" i="3"/>
  <c r="K579" i="3"/>
  <c r="L547" i="3"/>
  <c r="K560" i="3"/>
  <c r="K568" i="3"/>
  <c r="L552" i="3"/>
  <c r="M552" i="3" s="1"/>
  <c r="K541" i="3"/>
  <c r="L549" i="3"/>
  <c r="L557" i="3"/>
  <c r="L565" i="3"/>
  <c r="L573" i="3"/>
  <c r="L558" i="3"/>
  <c r="L566" i="3"/>
  <c r="L544" i="3"/>
  <c r="L576" i="3"/>
  <c r="M576" i="3" s="1"/>
  <c r="K538" i="3"/>
  <c r="K546" i="3"/>
  <c r="K554" i="3"/>
  <c r="K562" i="3"/>
  <c r="K570" i="3"/>
  <c r="K578" i="3"/>
  <c r="K550" i="3"/>
  <c r="K555" i="3"/>
  <c r="N91" i="6"/>
  <c r="P114" i="4"/>
  <c r="N90" i="6"/>
  <c r="N88" i="6"/>
  <c r="N87" i="6"/>
  <c r="N80" i="6"/>
  <c r="N86" i="6"/>
  <c r="N85" i="6"/>
  <c r="L508" i="3"/>
  <c r="L532" i="3"/>
  <c r="L516" i="3"/>
  <c r="M516" i="3" s="1"/>
  <c r="L500" i="3"/>
  <c r="L505" i="3"/>
  <c r="L494" i="3"/>
  <c r="L507" i="3"/>
  <c r="N507" i="3" s="1"/>
  <c r="L524" i="3"/>
  <c r="K516" i="3"/>
  <c r="K508" i="3"/>
  <c r="K532" i="3"/>
  <c r="K524" i="3"/>
  <c r="K507" i="3"/>
  <c r="K500" i="3"/>
  <c r="K496" i="3"/>
  <c r="K505" i="3"/>
  <c r="L521" i="3"/>
  <c r="K514" i="3"/>
  <c r="N514" i="3" s="1"/>
  <c r="L518" i="3"/>
  <c r="P118" i="4"/>
  <c r="L503" i="3"/>
  <c r="L513" i="3"/>
  <c r="K498" i="3"/>
  <c r="L511" i="3"/>
  <c r="K515" i="3"/>
  <c r="K526" i="3"/>
  <c r="L530" i="3"/>
  <c r="L533" i="3"/>
  <c r="R115" i="4"/>
  <c r="R111" i="4"/>
  <c r="L517" i="3"/>
  <c r="L497" i="3"/>
  <c r="L525" i="3"/>
  <c r="L522" i="3"/>
  <c r="L502" i="3"/>
  <c r="L519" i="3"/>
  <c r="L523" i="3"/>
  <c r="L534" i="3"/>
  <c r="Q115" i="4"/>
  <c r="Q111" i="4"/>
  <c r="L506" i="3"/>
  <c r="L509" i="3"/>
  <c r="L504" i="3"/>
  <c r="L510" i="3"/>
  <c r="K494" i="3"/>
  <c r="K473" i="3"/>
  <c r="L495" i="3"/>
  <c r="P115" i="4"/>
  <c r="P111" i="4"/>
  <c r="L535" i="3"/>
  <c r="L496" i="3"/>
  <c r="L529" i="3"/>
  <c r="L501" i="3"/>
  <c r="L483" i="3"/>
  <c r="N483" i="3" s="1"/>
  <c r="L499" i="3"/>
  <c r="L512" i="3"/>
  <c r="L527" i="3"/>
  <c r="L531" i="3"/>
  <c r="K521" i="3"/>
  <c r="K523" i="3"/>
  <c r="K88" i="6"/>
  <c r="L88" i="6" s="1"/>
  <c r="K497" i="3"/>
  <c r="K499" i="3"/>
  <c r="L528" i="3"/>
  <c r="K528" i="3"/>
  <c r="L526" i="3"/>
  <c r="K502" i="3"/>
  <c r="K85" i="6"/>
  <c r="M85" i="6" s="1"/>
  <c r="L515" i="3"/>
  <c r="O515" i="3" s="1"/>
  <c r="L520" i="3"/>
  <c r="K520" i="3"/>
  <c r="K518" i="3"/>
  <c r="K534" i="3"/>
  <c r="L536" i="3"/>
  <c r="K536" i="3"/>
  <c r="K86" i="6"/>
  <c r="K510" i="3"/>
  <c r="K512" i="3"/>
  <c r="K504" i="3"/>
  <c r="K513" i="3"/>
  <c r="K529" i="3"/>
  <c r="K531" i="3"/>
  <c r="K87" i="6"/>
  <c r="K89" i="6"/>
  <c r="K501" i="3"/>
  <c r="K509" i="3"/>
  <c r="K517" i="3"/>
  <c r="K525" i="3"/>
  <c r="K533" i="3"/>
  <c r="K506" i="3"/>
  <c r="K530" i="3"/>
  <c r="K90" i="6"/>
  <c r="L498" i="3"/>
  <c r="L514" i="3"/>
  <c r="K495" i="3"/>
  <c r="K503" i="3"/>
  <c r="K511" i="3"/>
  <c r="K519" i="3"/>
  <c r="K527" i="3"/>
  <c r="K535" i="3"/>
  <c r="K522" i="3"/>
  <c r="M91" i="6"/>
  <c r="N81" i="6"/>
  <c r="R100" i="3"/>
  <c r="N84" i="6"/>
  <c r="N71" i="6"/>
  <c r="N72" i="6"/>
  <c r="N77" i="6"/>
  <c r="N69" i="6"/>
  <c r="N82" i="6"/>
  <c r="P102" i="4"/>
  <c r="N70" i="6"/>
  <c r="N83" i="6"/>
  <c r="Q105" i="4"/>
  <c r="N78" i="6"/>
  <c r="L489" i="3"/>
  <c r="M489" i="3" s="1"/>
  <c r="L481" i="3"/>
  <c r="L465" i="3"/>
  <c r="L457" i="3"/>
  <c r="L478" i="3"/>
  <c r="K489" i="3"/>
  <c r="K457" i="3"/>
  <c r="K481" i="3"/>
  <c r="K465" i="3"/>
  <c r="K478" i="3"/>
  <c r="L474" i="3"/>
  <c r="L492" i="3"/>
  <c r="L471" i="3"/>
  <c r="L482" i="3"/>
  <c r="K493" i="3"/>
  <c r="P106" i="4"/>
  <c r="Q102" i="4"/>
  <c r="R102" i="4"/>
  <c r="R106" i="4"/>
  <c r="L490" i="3"/>
  <c r="L462" i="3"/>
  <c r="O104" i="4"/>
  <c r="O108" i="4"/>
  <c r="L473" i="3"/>
  <c r="L477" i="3"/>
  <c r="L491" i="3"/>
  <c r="P104" i="4"/>
  <c r="P108" i="4"/>
  <c r="L460" i="3"/>
  <c r="L467" i="3"/>
  <c r="L485" i="3"/>
  <c r="O102" i="4"/>
  <c r="L475" i="3"/>
  <c r="K461" i="3"/>
  <c r="Q106" i="4"/>
  <c r="L468" i="3"/>
  <c r="L486" i="3"/>
  <c r="O101" i="4"/>
  <c r="P101" i="4"/>
  <c r="K483" i="3"/>
  <c r="Q101" i="4"/>
  <c r="L469" i="3"/>
  <c r="L487" i="3"/>
  <c r="R105" i="4"/>
  <c r="L459" i="3"/>
  <c r="K463" i="3"/>
  <c r="Q104" i="4"/>
  <c r="Q108" i="4"/>
  <c r="K454" i="3"/>
  <c r="L479" i="3"/>
  <c r="O105" i="4"/>
  <c r="L476" i="3"/>
  <c r="P105" i="4"/>
  <c r="L458" i="3"/>
  <c r="L455" i="3"/>
  <c r="L466" i="3"/>
  <c r="L470" i="3"/>
  <c r="L484" i="3"/>
  <c r="L488" i="3"/>
  <c r="K33" i="6"/>
  <c r="L33" i="6" s="1"/>
  <c r="M78" i="6"/>
  <c r="L78" i="6"/>
  <c r="M80" i="6"/>
  <c r="L80" i="6"/>
  <c r="M83" i="6"/>
  <c r="L83" i="6"/>
  <c r="L79" i="6"/>
  <c r="M79" i="6"/>
  <c r="M81" i="6"/>
  <c r="L81" i="6"/>
  <c r="M82" i="6"/>
  <c r="L82" i="6"/>
  <c r="M84" i="6"/>
  <c r="L84" i="6"/>
  <c r="M77" i="6"/>
  <c r="L77" i="6"/>
  <c r="K491" i="3"/>
  <c r="K486" i="3"/>
  <c r="L454" i="3"/>
  <c r="K472" i="3"/>
  <c r="L472" i="3"/>
  <c r="K462" i="3"/>
  <c r="K467" i="3"/>
  <c r="K470" i="3"/>
  <c r="K475" i="3"/>
  <c r="L456" i="3"/>
  <c r="K456" i="3"/>
  <c r="L464" i="3"/>
  <c r="K464" i="3"/>
  <c r="K459" i="3"/>
  <c r="L480" i="3"/>
  <c r="K480" i="3"/>
  <c r="K477" i="3"/>
  <c r="K485" i="3"/>
  <c r="L461" i="3"/>
  <c r="L493" i="3"/>
  <c r="K458" i="3"/>
  <c r="K474" i="3"/>
  <c r="K482" i="3"/>
  <c r="K490" i="3"/>
  <c r="K471" i="3"/>
  <c r="K479" i="3"/>
  <c r="K487" i="3"/>
  <c r="L463" i="3"/>
  <c r="K460" i="3"/>
  <c r="K468" i="3"/>
  <c r="K476" i="3"/>
  <c r="K484" i="3"/>
  <c r="K492" i="3"/>
  <c r="K488" i="3"/>
  <c r="K469" i="3"/>
  <c r="K466" i="3"/>
  <c r="K455" i="3"/>
  <c r="N73" i="6"/>
  <c r="N74" i="6"/>
  <c r="N75" i="6"/>
  <c r="N68" i="6"/>
  <c r="M75" i="6"/>
  <c r="L75" i="6"/>
  <c r="L70" i="6"/>
  <c r="M70" i="6"/>
  <c r="L72" i="6"/>
  <c r="M72" i="6"/>
  <c r="M76" i="6"/>
  <c r="L76" i="6"/>
  <c r="L69" i="6"/>
  <c r="M69" i="6"/>
  <c r="M71" i="6"/>
  <c r="L71" i="6"/>
  <c r="M73" i="6"/>
  <c r="L73" i="6"/>
  <c r="M74" i="6"/>
  <c r="L74" i="6"/>
  <c r="M68" i="6"/>
  <c r="L68" i="6"/>
  <c r="O100" i="4"/>
  <c r="P100" i="4"/>
  <c r="Q100" i="4"/>
  <c r="O99" i="4"/>
  <c r="P99" i="4"/>
  <c r="Q99" i="4"/>
  <c r="O98" i="4"/>
  <c r="P98" i="4"/>
  <c r="Q98" i="4"/>
  <c r="O97" i="4"/>
  <c r="P97" i="4"/>
  <c r="Q97" i="4"/>
  <c r="O96" i="4"/>
  <c r="P96" i="4"/>
  <c r="Q96" i="4"/>
  <c r="P95" i="4"/>
  <c r="O95" i="4"/>
  <c r="Q95" i="4"/>
  <c r="O94" i="4"/>
  <c r="P94" i="4"/>
  <c r="Q94" i="4"/>
  <c r="K401" i="3"/>
  <c r="K441" i="3"/>
  <c r="K377" i="3"/>
  <c r="K449" i="3"/>
  <c r="K433" i="3"/>
  <c r="K385" i="3"/>
  <c r="K425" i="3"/>
  <c r="K417" i="3"/>
  <c r="L441" i="3"/>
  <c r="L385" i="3"/>
  <c r="L425" i="3"/>
  <c r="L377" i="3"/>
  <c r="L449" i="3"/>
  <c r="L393" i="3"/>
  <c r="M393" i="3" s="1"/>
  <c r="L409" i="3"/>
  <c r="L433" i="3"/>
  <c r="L417" i="3"/>
  <c r="L401" i="3"/>
  <c r="K386" i="3"/>
  <c r="L423" i="3"/>
  <c r="L438" i="3"/>
  <c r="L398" i="3"/>
  <c r="L416" i="3"/>
  <c r="L446" i="3"/>
  <c r="L372" i="3"/>
  <c r="L424" i="3"/>
  <c r="L450" i="3"/>
  <c r="L384" i="3"/>
  <c r="K399" i="3"/>
  <c r="L447" i="3"/>
  <c r="L392" i="3"/>
  <c r="L440" i="3"/>
  <c r="L381" i="3"/>
  <c r="L411" i="3"/>
  <c r="L444" i="3"/>
  <c r="L374" i="3"/>
  <c r="L389" i="3"/>
  <c r="L408" i="3"/>
  <c r="K422" i="3"/>
  <c r="O93" i="4"/>
  <c r="L452" i="3"/>
  <c r="P93" i="4"/>
  <c r="K375" i="3"/>
  <c r="L405" i="3"/>
  <c r="L434" i="3"/>
  <c r="L453" i="3"/>
  <c r="L383" i="3"/>
  <c r="L431" i="3"/>
  <c r="L387" i="3"/>
  <c r="L420" i="3"/>
  <c r="L435" i="3"/>
  <c r="L432" i="3"/>
  <c r="K407" i="3"/>
  <c r="L451" i="3"/>
  <c r="L396" i="3"/>
  <c r="L414" i="3"/>
  <c r="L448" i="3"/>
  <c r="L418" i="3"/>
  <c r="K378" i="3"/>
  <c r="L397" i="3"/>
  <c r="L415" i="3"/>
  <c r="Q93" i="4"/>
  <c r="L419" i="3"/>
  <c r="K394" i="3"/>
  <c r="L427" i="3"/>
  <c r="L442" i="3"/>
  <c r="L391" i="3"/>
  <c r="L406" i="3"/>
  <c r="K439" i="3"/>
  <c r="L395" i="3"/>
  <c r="L410" i="3"/>
  <c r="L428" i="3"/>
  <c r="L443" i="3"/>
  <c r="L388" i="3"/>
  <c r="L436" i="3"/>
  <c r="K400" i="3"/>
  <c r="L404" i="3"/>
  <c r="L426" i="3"/>
  <c r="L430" i="3"/>
  <c r="L445" i="3"/>
  <c r="L421" i="3"/>
  <c r="K421" i="3"/>
  <c r="L437" i="3"/>
  <c r="K437" i="3"/>
  <c r="K424" i="3"/>
  <c r="K438" i="3"/>
  <c r="K440" i="3"/>
  <c r="L422" i="3"/>
  <c r="L429" i="3"/>
  <c r="K429" i="3"/>
  <c r="K427" i="3"/>
  <c r="K448" i="3"/>
  <c r="K446" i="3"/>
  <c r="K419" i="3"/>
  <c r="K435" i="3"/>
  <c r="K443" i="3"/>
  <c r="K414" i="3"/>
  <c r="K416" i="3"/>
  <c r="K430" i="3"/>
  <c r="K432" i="3"/>
  <c r="K451" i="3"/>
  <c r="K445" i="3"/>
  <c r="K453" i="3"/>
  <c r="K426" i="3"/>
  <c r="K434" i="3"/>
  <c r="K442" i="3"/>
  <c r="K450" i="3"/>
  <c r="K415" i="3"/>
  <c r="K447" i="3"/>
  <c r="L439" i="3"/>
  <c r="K420" i="3"/>
  <c r="K428" i="3"/>
  <c r="K436" i="3"/>
  <c r="K444" i="3"/>
  <c r="K452" i="3"/>
  <c r="K418" i="3"/>
  <c r="K423" i="3"/>
  <c r="K431" i="3"/>
  <c r="N63" i="6"/>
  <c r="N64" i="6"/>
  <c r="Q89" i="4"/>
  <c r="K63" i="6"/>
  <c r="L63" i="6" s="1"/>
  <c r="K403" i="3"/>
  <c r="K395" i="3"/>
  <c r="K374" i="3"/>
  <c r="K382" i="3"/>
  <c r="L390" i="3"/>
  <c r="N390" i="3" s="1"/>
  <c r="K411" i="3"/>
  <c r="K64" i="6"/>
  <c r="M64" i="6" s="1"/>
  <c r="L376" i="3"/>
  <c r="K376" i="3"/>
  <c r="K387" i="3"/>
  <c r="K398" i="3"/>
  <c r="K61" i="6"/>
  <c r="L61" i="6" s="1"/>
  <c r="L50" i="6"/>
  <c r="M50" i="6"/>
  <c r="K406" i="3"/>
  <c r="K65" i="6"/>
  <c r="M65" i="6" s="1"/>
  <c r="K379" i="3"/>
  <c r="N61" i="6"/>
  <c r="N66" i="6"/>
  <c r="N65" i="6"/>
  <c r="N67" i="6"/>
  <c r="K392" i="3"/>
  <c r="K408" i="3"/>
  <c r="L400" i="3"/>
  <c r="K373" i="3"/>
  <c r="K381" i="3"/>
  <c r="K397" i="3"/>
  <c r="K402" i="3"/>
  <c r="L386" i="3"/>
  <c r="K383" i="3"/>
  <c r="K391" i="3"/>
  <c r="L375" i="3"/>
  <c r="L399" i="3"/>
  <c r="L407" i="3"/>
  <c r="K384" i="3"/>
  <c r="K66" i="6"/>
  <c r="M66" i="6" s="1"/>
  <c r="K389" i="3"/>
  <c r="K405" i="3"/>
  <c r="K413" i="3"/>
  <c r="K67" i="6"/>
  <c r="M67" i="6" s="1"/>
  <c r="K410" i="3"/>
  <c r="L378" i="3"/>
  <c r="L394" i="3"/>
  <c r="K372" i="3"/>
  <c r="K380" i="3"/>
  <c r="K388" i="3"/>
  <c r="K396" i="3"/>
  <c r="K404" i="3"/>
  <c r="K412" i="3"/>
  <c r="K62" i="6"/>
  <c r="L62" i="6" s="1"/>
  <c r="K343" i="3"/>
  <c r="K351" i="3"/>
  <c r="L351" i="3"/>
  <c r="L343" i="3"/>
  <c r="L327" i="3"/>
  <c r="L332" i="3"/>
  <c r="L362" i="3"/>
  <c r="L340" i="3"/>
  <c r="K355" i="3"/>
  <c r="K329" i="3"/>
  <c r="L329" i="3"/>
  <c r="L344" i="3"/>
  <c r="L363" i="3"/>
  <c r="O90" i="4"/>
  <c r="P86" i="4"/>
  <c r="L356" i="3"/>
  <c r="L367" i="3"/>
  <c r="M367" i="3" s="1"/>
  <c r="Q86" i="4"/>
  <c r="L345" i="3"/>
  <c r="K364" i="3"/>
  <c r="P85" i="4"/>
  <c r="L338" i="3"/>
  <c r="Q85" i="4"/>
  <c r="R89" i="4"/>
  <c r="K350" i="3"/>
  <c r="K365" i="3"/>
  <c r="O84" i="4"/>
  <c r="O88" i="4"/>
  <c r="O92" i="4"/>
  <c r="K335" i="3"/>
  <c r="O335" i="3" s="1"/>
  <c r="P84" i="4"/>
  <c r="P88" i="4"/>
  <c r="P92" i="4"/>
  <c r="L366" i="3"/>
  <c r="L336" i="3"/>
  <c r="L370" i="3"/>
  <c r="K359" i="3"/>
  <c r="O359" i="3" s="1"/>
  <c r="K333" i="3"/>
  <c r="O86" i="4"/>
  <c r="P90" i="4"/>
  <c r="L341" i="3"/>
  <c r="Q90" i="4"/>
  <c r="L349" i="3"/>
  <c r="O85" i="4"/>
  <c r="K327" i="3"/>
  <c r="L342" i="3"/>
  <c r="L368" i="3"/>
  <c r="L346" i="3"/>
  <c r="L361" i="3"/>
  <c r="L339" i="3"/>
  <c r="L354" i="3"/>
  <c r="L369" i="3"/>
  <c r="Q84" i="4"/>
  <c r="Q88" i="4"/>
  <c r="Q92" i="4"/>
  <c r="K347" i="3"/>
  <c r="L348" i="3"/>
  <c r="K352" i="3"/>
  <c r="O89" i="4"/>
  <c r="P89" i="4"/>
  <c r="L353" i="3"/>
  <c r="K331" i="3"/>
  <c r="N57" i="6"/>
  <c r="N59" i="6"/>
  <c r="N56" i="6"/>
  <c r="P79" i="4"/>
  <c r="P80" i="4"/>
  <c r="N58" i="6"/>
  <c r="Q76" i="4"/>
  <c r="M57" i="6"/>
  <c r="L57" i="6"/>
  <c r="M60" i="6"/>
  <c r="L60" i="6"/>
  <c r="L56" i="6"/>
  <c r="M56" i="6"/>
  <c r="M58" i="6"/>
  <c r="L58" i="6"/>
  <c r="M59" i="6"/>
  <c r="L59" i="6"/>
  <c r="M55" i="6"/>
  <c r="K340" i="3"/>
  <c r="K356" i="3"/>
  <c r="L364" i="3"/>
  <c r="K348" i="3"/>
  <c r="K369" i="3"/>
  <c r="K332" i="3"/>
  <c r="K337" i="3"/>
  <c r="K361" i="3"/>
  <c r="K353" i="3"/>
  <c r="K345" i="3"/>
  <c r="L334" i="3"/>
  <c r="K334" i="3"/>
  <c r="K342" i="3"/>
  <c r="K358" i="3"/>
  <c r="K366" i="3"/>
  <c r="L350" i="3"/>
  <c r="L331" i="3"/>
  <c r="L347" i="3"/>
  <c r="L355" i="3"/>
  <c r="L371" i="3"/>
  <c r="M371" i="3" s="1"/>
  <c r="K328" i="3"/>
  <c r="K336" i="3"/>
  <c r="K344" i="3"/>
  <c r="K360" i="3"/>
  <c r="L352" i="3"/>
  <c r="K341" i="3"/>
  <c r="K349" i="3"/>
  <c r="K357" i="3"/>
  <c r="L333" i="3"/>
  <c r="L365" i="3"/>
  <c r="K339" i="3"/>
  <c r="K363" i="3"/>
  <c r="K368" i="3"/>
  <c r="K330" i="3"/>
  <c r="K338" i="3"/>
  <c r="K346" i="3"/>
  <c r="K354" i="3"/>
  <c r="K362" i="3"/>
  <c r="K370" i="3"/>
  <c r="K314" i="3"/>
  <c r="M314" i="3" s="1"/>
  <c r="L306" i="3"/>
  <c r="L305" i="3"/>
  <c r="K320" i="3"/>
  <c r="L309" i="3"/>
  <c r="L324" i="3"/>
  <c r="K298" i="3"/>
  <c r="L298" i="3"/>
  <c r="K321" i="3"/>
  <c r="O76" i="4"/>
  <c r="K306" i="3"/>
  <c r="P76" i="4"/>
  <c r="L291" i="3"/>
  <c r="K310" i="3"/>
  <c r="Q80" i="4"/>
  <c r="R76" i="4"/>
  <c r="R80" i="4"/>
  <c r="K299" i="3"/>
  <c r="K318" i="3"/>
  <c r="O79" i="4"/>
  <c r="P75" i="4"/>
  <c r="K296" i="3"/>
  <c r="L322" i="3"/>
  <c r="M322" i="3" s="1"/>
  <c r="Q75" i="4"/>
  <c r="Q79" i="4"/>
  <c r="R79" i="4"/>
  <c r="L304" i="3"/>
  <c r="L319" i="3"/>
  <c r="O74" i="4"/>
  <c r="O78" i="4"/>
  <c r="O82" i="4"/>
  <c r="P74" i="4"/>
  <c r="P78" i="4"/>
  <c r="P82" i="4"/>
  <c r="L302" i="3"/>
  <c r="K311" i="3"/>
  <c r="L308" i="3"/>
  <c r="K312" i="3"/>
  <c r="L323" i="3"/>
  <c r="Q74" i="4"/>
  <c r="Q78" i="4"/>
  <c r="Q82" i="4"/>
  <c r="L301" i="3"/>
  <c r="K316" i="3"/>
  <c r="L294" i="3"/>
  <c r="L317" i="3"/>
  <c r="O80" i="4"/>
  <c r="L295" i="3"/>
  <c r="L325" i="3"/>
  <c r="O75" i="4"/>
  <c r="L292" i="3"/>
  <c r="K307" i="3"/>
  <c r="L293" i="3"/>
  <c r="N54" i="6"/>
  <c r="N52" i="6"/>
  <c r="N53" i="6"/>
  <c r="N51" i="6"/>
  <c r="N47" i="6"/>
  <c r="Q70" i="4"/>
  <c r="K41" i="6"/>
  <c r="M41" i="6" s="1"/>
  <c r="M52" i="6"/>
  <c r="L52" i="6"/>
  <c r="M54" i="6"/>
  <c r="L54" i="6"/>
  <c r="M53" i="6"/>
  <c r="L53" i="6"/>
  <c r="K295" i="3"/>
  <c r="K319" i="3"/>
  <c r="L303" i="3"/>
  <c r="M303" i="3" s="1"/>
  <c r="L311" i="3"/>
  <c r="K292" i="3"/>
  <c r="K324" i="3"/>
  <c r="K297" i="3"/>
  <c r="K305" i="3"/>
  <c r="K313" i="3"/>
  <c r="L321" i="3"/>
  <c r="K302" i="3"/>
  <c r="L310" i="3"/>
  <c r="L318" i="3"/>
  <c r="L326" i="3"/>
  <c r="N326" i="3" s="1"/>
  <c r="L299" i="3"/>
  <c r="L307" i="3"/>
  <c r="K304" i="3"/>
  <c r="L296" i="3"/>
  <c r="L312" i="3"/>
  <c r="L320" i="3"/>
  <c r="K300" i="3"/>
  <c r="K308" i="3"/>
  <c r="L316" i="3"/>
  <c r="K294" i="3"/>
  <c r="K291" i="3"/>
  <c r="K315" i="3"/>
  <c r="K323" i="3"/>
  <c r="K293" i="3"/>
  <c r="K301" i="3"/>
  <c r="K309" i="3"/>
  <c r="K317" i="3"/>
  <c r="K325" i="3"/>
  <c r="M48" i="6"/>
  <c r="M45" i="6"/>
  <c r="L231" i="3"/>
  <c r="L246" i="3"/>
  <c r="K211" i="3"/>
  <c r="K275" i="3"/>
  <c r="O70" i="4"/>
  <c r="P66" i="4"/>
  <c r="P70" i="4"/>
  <c r="Q66" i="4"/>
  <c r="R66" i="4"/>
  <c r="R70" i="4"/>
  <c r="O65" i="4"/>
  <c r="O69" i="4"/>
  <c r="P65" i="4"/>
  <c r="P69" i="4"/>
  <c r="Q65" i="4"/>
  <c r="O68" i="4"/>
  <c r="O72" i="4"/>
  <c r="P68" i="4"/>
  <c r="P72" i="4"/>
  <c r="Q68" i="4"/>
  <c r="Q72" i="4"/>
  <c r="Q69" i="4"/>
  <c r="K221" i="3"/>
  <c r="P62" i="4"/>
  <c r="N49" i="6"/>
  <c r="N45" i="6"/>
  <c r="N44" i="6"/>
  <c r="N46" i="6"/>
  <c r="N50" i="6"/>
  <c r="N48" i="6"/>
  <c r="M44" i="6"/>
  <c r="L44" i="6"/>
  <c r="M47" i="6"/>
  <c r="M51" i="6"/>
  <c r="L46" i="6"/>
  <c r="M46" i="6"/>
  <c r="M43" i="6"/>
  <c r="L43" i="6"/>
  <c r="M49" i="6"/>
  <c r="K267" i="3"/>
  <c r="K230" i="3"/>
  <c r="K274" i="3"/>
  <c r="K285" i="3"/>
  <c r="K210" i="3"/>
  <c r="K250" i="3"/>
  <c r="K228" i="3"/>
  <c r="K206" i="3"/>
  <c r="K290" i="3"/>
  <c r="K218" i="3"/>
  <c r="K279" i="3"/>
  <c r="K220" i="3"/>
  <c r="K263" i="3"/>
  <c r="K272" i="3"/>
  <c r="K261" i="3"/>
  <c r="K283" i="3"/>
  <c r="K235" i="3"/>
  <c r="M235" i="3" s="1"/>
  <c r="K259" i="3"/>
  <c r="K238" i="3"/>
  <c r="K288" i="3"/>
  <c r="K233" i="3"/>
  <c r="K266" i="3"/>
  <c r="K277" i="3"/>
  <c r="K287" i="3"/>
  <c r="K215" i="3"/>
  <c r="K246" i="3"/>
  <c r="K231" i="3"/>
  <c r="K214" i="3"/>
  <c r="N214" i="3" s="1"/>
  <c r="L267" i="3"/>
  <c r="L289" i="3"/>
  <c r="L230" i="3"/>
  <c r="L265" i="3"/>
  <c r="L274" i="3"/>
  <c r="L225" i="3"/>
  <c r="M225" i="3" s="1"/>
  <c r="L263" i="3"/>
  <c r="L272" i="3"/>
  <c r="L250" i="3"/>
  <c r="L261" i="3"/>
  <c r="L259" i="3"/>
  <c r="L290" i="3"/>
  <c r="L238" i="3"/>
  <c r="L270" i="3"/>
  <c r="O270" i="3" s="1"/>
  <c r="L288" i="3"/>
  <c r="L278" i="3"/>
  <c r="L287" i="3"/>
  <c r="L220" i="3"/>
  <c r="L285" i="3"/>
  <c r="L254" i="3"/>
  <c r="L283" i="3"/>
  <c r="L247" i="3"/>
  <c r="M247" i="3" s="1"/>
  <c r="L215" i="3"/>
  <c r="L228" i="3"/>
  <c r="L281" i="3"/>
  <c r="L279" i="3"/>
  <c r="L264" i="3"/>
  <c r="K251" i="3"/>
  <c r="K264" i="3"/>
  <c r="O59" i="4"/>
  <c r="P59" i="4"/>
  <c r="Q59" i="4"/>
  <c r="R59" i="4"/>
  <c r="P58" i="4"/>
  <c r="R58" i="4"/>
  <c r="L277" i="3"/>
  <c r="K236" i="3"/>
  <c r="L223" i="3"/>
  <c r="M223" i="3" s="1"/>
  <c r="K248" i="3"/>
  <c r="K226" i="3"/>
  <c r="L266" i="3"/>
  <c r="L226" i="3"/>
  <c r="L219" i="3"/>
  <c r="L253" i="3"/>
  <c r="K219" i="3"/>
  <c r="K273" i="3"/>
  <c r="K253" i="3"/>
  <c r="O63" i="4"/>
  <c r="P63" i="4"/>
  <c r="R63" i="4"/>
  <c r="Q63" i="4"/>
  <c r="L241" i="3"/>
  <c r="K229" i="3"/>
  <c r="L209" i="3"/>
  <c r="K241" i="3"/>
  <c r="K209" i="3"/>
  <c r="L286" i="3"/>
  <c r="L251" i="3"/>
  <c r="K286" i="3"/>
  <c r="K271" i="3"/>
  <c r="K282" i="3"/>
  <c r="K268" i="3"/>
  <c r="L255" i="3"/>
  <c r="L243" i="3"/>
  <c r="M243" i="3" s="1"/>
  <c r="K255" i="3"/>
  <c r="L211" i="3"/>
  <c r="L275" i="3"/>
  <c r="K281" i="3"/>
  <c r="K208" i="3"/>
  <c r="K276" i="3"/>
  <c r="K232" i="3"/>
  <c r="L244" i="3"/>
  <c r="K234" i="3"/>
  <c r="M234" i="3" s="1"/>
  <c r="L227" i="3"/>
  <c r="L222" i="3"/>
  <c r="L269" i="3"/>
  <c r="K260" i="3"/>
  <c r="L258" i="3"/>
  <c r="K256" i="3"/>
  <c r="L249" i="3"/>
  <c r="K213" i="3"/>
  <c r="K252" i="3"/>
  <c r="L210" i="3"/>
  <c r="K265" i="3"/>
  <c r="M265" i="3" s="1"/>
  <c r="K237" i="3"/>
  <c r="K278" i="3"/>
  <c r="L239" i="3"/>
  <c r="M239" i="3" s="1"/>
  <c r="K289" i="3"/>
  <c r="L256" i="3"/>
  <c r="K244" i="3"/>
  <c r="K227" i="3"/>
  <c r="K222" i="3"/>
  <c r="K212" i="3"/>
  <c r="L207" i="3"/>
  <c r="L280" i="3"/>
  <c r="L271" i="3"/>
  <c r="K269" i="3"/>
  <c r="L262" i="3"/>
  <c r="K258" i="3"/>
  <c r="K249" i="3"/>
  <c r="K257" i="3"/>
  <c r="O257" i="3" s="1"/>
  <c r="K240" i="3"/>
  <c r="L218" i="3"/>
  <c r="K254" i="3"/>
  <c r="L242" i="3"/>
  <c r="M242" i="3" s="1"/>
  <c r="L217" i="3"/>
  <c r="M217" i="3" s="1"/>
  <c r="K205" i="3"/>
  <c r="K207" i="3"/>
  <c r="K284" i="3"/>
  <c r="L282" i="3"/>
  <c r="K280" i="3"/>
  <c r="L273" i="3"/>
  <c r="K262" i="3"/>
  <c r="L284" i="3"/>
  <c r="L276" i="3"/>
  <c r="L268" i="3"/>
  <c r="L260" i="3"/>
  <c r="L252" i="3"/>
  <c r="L40" i="6"/>
  <c r="R199" i="3"/>
  <c r="R177" i="3"/>
  <c r="R163" i="3"/>
  <c r="R159" i="3"/>
  <c r="N40" i="6"/>
  <c r="N32" i="6"/>
  <c r="R195" i="3"/>
  <c r="R188" i="3"/>
  <c r="R166" i="3"/>
  <c r="R191" i="3"/>
  <c r="R184" i="3"/>
  <c r="R173" i="3"/>
  <c r="R194" i="3"/>
  <c r="R183" i="3"/>
  <c r="R165" i="3"/>
  <c r="N38" i="6"/>
  <c r="R197" i="3"/>
  <c r="R168" i="3"/>
  <c r="R161" i="3"/>
  <c r="N33" i="6"/>
  <c r="R198" i="3"/>
  <c r="R162" i="3"/>
  <c r="N39" i="6"/>
  <c r="R187" i="3"/>
  <c r="R172" i="3"/>
  <c r="R201" i="3"/>
  <c r="R190" i="3"/>
  <c r="R179" i="3"/>
  <c r="R193" i="3"/>
  <c r="R175" i="3"/>
  <c r="R176" i="3"/>
  <c r="R204" i="3"/>
  <c r="R186" i="3"/>
  <c r="R182" i="3"/>
  <c r="N35" i="6"/>
  <c r="R200" i="3"/>
  <c r="R171" i="3"/>
  <c r="R164" i="3"/>
  <c r="R189" i="3"/>
  <c r="R178" i="3"/>
  <c r="R167" i="3"/>
  <c r="N34" i="6"/>
  <c r="K38" i="6"/>
  <c r="L38" i="6" s="1"/>
  <c r="N42" i="6"/>
  <c r="K42" i="6"/>
  <c r="L42" i="6" s="1"/>
  <c r="N37" i="6"/>
  <c r="K32" i="6"/>
  <c r="L32" i="6" s="1"/>
  <c r="K37" i="6"/>
  <c r="L37" i="6" s="1"/>
  <c r="N41" i="6"/>
  <c r="K36" i="6"/>
  <c r="L36" i="6" s="1"/>
  <c r="L245" i="3"/>
  <c r="M245" i="3" s="1"/>
  <c r="L237" i="3"/>
  <c r="L229" i="3"/>
  <c r="L221" i="3"/>
  <c r="L213" i="3"/>
  <c r="L205" i="3"/>
  <c r="L248" i="3"/>
  <c r="L240" i="3"/>
  <c r="L232" i="3"/>
  <c r="L224" i="3"/>
  <c r="M224" i="3" s="1"/>
  <c r="L216" i="3"/>
  <c r="N216" i="3" s="1"/>
  <c r="L208" i="3"/>
  <c r="P42" i="4"/>
  <c r="P46" i="4"/>
  <c r="N23" i="6"/>
  <c r="P53" i="4"/>
  <c r="N22" i="6"/>
  <c r="Q49" i="4"/>
  <c r="P54" i="4"/>
  <c r="Q50" i="4"/>
  <c r="P38" i="4"/>
  <c r="N25" i="6"/>
  <c r="N21" i="6"/>
  <c r="N27" i="6"/>
  <c r="N26" i="6"/>
  <c r="N24" i="6"/>
  <c r="L34" i="6"/>
  <c r="M34" i="6"/>
  <c r="L35" i="6"/>
  <c r="M35" i="6"/>
  <c r="K168" i="3"/>
  <c r="L168" i="3"/>
  <c r="K177" i="3"/>
  <c r="K195" i="3"/>
  <c r="K160" i="3"/>
  <c r="K193" i="3"/>
  <c r="K184" i="3"/>
  <c r="K196" i="3"/>
  <c r="K203" i="3"/>
  <c r="K165" i="3"/>
  <c r="M165" i="3" s="1"/>
  <c r="K163" i="3"/>
  <c r="K169" i="3"/>
  <c r="K198" i="3"/>
  <c r="L172" i="3"/>
  <c r="L198" i="3"/>
  <c r="L176" i="3"/>
  <c r="O176" i="3" s="1"/>
  <c r="L174" i="3"/>
  <c r="M174" i="3" s="1"/>
  <c r="L181" i="3"/>
  <c r="N181" i="3" s="1"/>
  <c r="L184" i="3"/>
  <c r="L183" i="3"/>
  <c r="L197" i="3"/>
  <c r="N197" i="3" s="1"/>
  <c r="L200" i="3"/>
  <c r="L160" i="3"/>
  <c r="L193" i="3"/>
  <c r="L196" i="3"/>
  <c r="L177" i="3"/>
  <c r="L163" i="3"/>
  <c r="K186" i="3"/>
  <c r="O50" i="4"/>
  <c r="O54" i="4"/>
  <c r="K162" i="3"/>
  <c r="P50" i="4"/>
  <c r="Q54" i="4"/>
  <c r="R50" i="4"/>
  <c r="O49" i="4"/>
  <c r="K190" i="3"/>
  <c r="L173" i="3"/>
  <c r="K159" i="3"/>
  <c r="K185" i="3"/>
  <c r="L171" i="3"/>
  <c r="K164" i="3"/>
  <c r="R49" i="4"/>
  <c r="L204" i="3"/>
  <c r="O56" i="4"/>
  <c r="K192" i="3"/>
  <c r="K161" i="3"/>
  <c r="P48" i="4"/>
  <c r="P52" i="4"/>
  <c r="P56" i="4"/>
  <c r="L203" i="3"/>
  <c r="L179" i="3"/>
  <c r="N179" i="3" s="1"/>
  <c r="R54" i="4"/>
  <c r="L195" i="3"/>
  <c r="K188" i="3"/>
  <c r="K178" i="3"/>
  <c r="P49" i="4"/>
  <c r="L185" i="3"/>
  <c r="K171" i="3"/>
  <c r="Q53" i="4"/>
  <c r="K173" i="3"/>
  <c r="K166" i="3"/>
  <c r="O166" i="3" s="1"/>
  <c r="R53" i="4"/>
  <c r="L199" i="3"/>
  <c r="M199" i="3" s="1"/>
  <c r="L161" i="3"/>
  <c r="O48" i="4"/>
  <c r="O52" i="4"/>
  <c r="L201" i="3"/>
  <c r="K187" i="3"/>
  <c r="L182" i="3"/>
  <c r="L180" i="3"/>
  <c r="L175" i="3"/>
  <c r="Q48" i="4"/>
  <c r="Q52" i="4"/>
  <c r="Q56" i="4"/>
  <c r="K191" i="3"/>
  <c r="M191" i="3" s="1"/>
  <c r="K167" i="3"/>
  <c r="M167" i="3" s="1"/>
  <c r="K202" i="3"/>
  <c r="O53" i="4"/>
  <c r="K183" i="3"/>
  <c r="K201" i="3"/>
  <c r="K189" i="3"/>
  <c r="M189" i="3" s="1"/>
  <c r="L187" i="3"/>
  <c r="K182" i="3"/>
  <c r="K180" i="3"/>
  <c r="K175" i="3"/>
  <c r="K170" i="3"/>
  <c r="L30" i="6"/>
  <c r="M30" i="6"/>
  <c r="L31" i="6"/>
  <c r="M31" i="6"/>
  <c r="L28" i="6"/>
  <c r="M28" i="6"/>
  <c r="M29" i="6"/>
  <c r="L159" i="3"/>
  <c r="L202" i="3"/>
  <c r="L194" i="3"/>
  <c r="M194" i="3" s="1"/>
  <c r="L186" i="3"/>
  <c r="L178" i="3"/>
  <c r="L170" i="3"/>
  <c r="L162" i="3"/>
  <c r="L142" i="3"/>
  <c r="L149" i="3"/>
  <c r="L135" i="3"/>
  <c r="O135" i="3" s="1"/>
  <c r="L122" i="3"/>
  <c r="L140" i="3"/>
  <c r="L130" i="3"/>
  <c r="L158" i="3"/>
  <c r="M158" i="3" s="1"/>
  <c r="L152" i="3"/>
  <c r="L119" i="3"/>
  <c r="L120" i="3"/>
  <c r="L138" i="3"/>
  <c r="L156" i="3"/>
  <c r="L133" i="3"/>
  <c r="L151" i="3"/>
  <c r="L118" i="3"/>
  <c r="L125" i="3"/>
  <c r="L136" i="3"/>
  <c r="L154" i="3"/>
  <c r="L157" i="3"/>
  <c r="L143" i="3"/>
  <c r="L134" i="3"/>
  <c r="L132" i="3"/>
  <c r="L150" i="3"/>
  <c r="O150" i="3" s="1"/>
  <c r="K122" i="3"/>
  <c r="K140" i="3"/>
  <c r="K148" i="3"/>
  <c r="M148" i="3" s="1"/>
  <c r="K120" i="3"/>
  <c r="K138" i="3"/>
  <c r="K146" i="3"/>
  <c r="K124" i="3"/>
  <c r="M124" i="3" s="1"/>
  <c r="K127" i="3"/>
  <c r="K133" i="3"/>
  <c r="K149" i="3"/>
  <c r="K125" i="3"/>
  <c r="K136" i="3"/>
  <c r="K154" i="3"/>
  <c r="K132" i="3"/>
  <c r="K128" i="3"/>
  <c r="K143" i="3"/>
  <c r="K141" i="3"/>
  <c r="K119" i="3"/>
  <c r="K144" i="3"/>
  <c r="K151" i="3"/>
  <c r="K142" i="3"/>
  <c r="R46" i="4"/>
  <c r="K145" i="3"/>
  <c r="K137" i="3"/>
  <c r="K147" i="3"/>
  <c r="K129" i="3"/>
  <c r="K118" i="3"/>
  <c r="K121" i="3"/>
  <c r="R43" i="4"/>
  <c r="R39" i="4"/>
  <c r="K155" i="3"/>
  <c r="K126" i="3"/>
  <c r="N126" i="3" s="1"/>
  <c r="K123" i="3"/>
  <c r="Q43" i="4"/>
  <c r="Q39" i="4"/>
  <c r="K139" i="3"/>
  <c r="P43" i="4"/>
  <c r="P39" i="4"/>
  <c r="K153" i="3"/>
  <c r="M27" i="6"/>
  <c r="M26" i="6"/>
  <c r="L22" i="6"/>
  <c r="M22" i="6"/>
  <c r="L23" i="6"/>
  <c r="M23" i="6"/>
  <c r="L21" i="6"/>
  <c r="M21" i="6"/>
  <c r="M25" i="6"/>
  <c r="M24" i="6"/>
  <c r="M20" i="6"/>
  <c r="L155" i="3"/>
  <c r="L147" i="3"/>
  <c r="L139" i="3"/>
  <c r="L131" i="3"/>
  <c r="O131" i="3" s="1"/>
  <c r="L123" i="3"/>
  <c r="L153" i="3"/>
  <c r="L145" i="3"/>
  <c r="L137" i="3"/>
  <c r="L129" i="3"/>
  <c r="L121" i="3"/>
  <c r="L62" i="3"/>
  <c r="R34" i="4"/>
  <c r="R30" i="4"/>
  <c r="Q34" i="4"/>
  <c r="Q30" i="4"/>
  <c r="P34" i="4"/>
  <c r="P30" i="4"/>
  <c r="Q23" i="4"/>
  <c r="K15" i="6"/>
  <c r="M15" i="6" s="1"/>
  <c r="K16" i="6"/>
  <c r="M16" i="6" s="1"/>
  <c r="K2" i="6"/>
  <c r="M2" i="6" s="1"/>
  <c r="K4" i="6"/>
  <c r="M4" i="6" s="1"/>
  <c r="K3" i="6"/>
  <c r="M3" i="6" s="1"/>
  <c r="K17" i="6"/>
  <c r="M17" i="6" s="1"/>
  <c r="K18" i="6"/>
  <c r="L18" i="6" s="1"/>
  <c r="K7" i="6"/>
  <c r="M7" i="6" s="1"/>
  <c r="K8" i="6"/>
  <c r="M8" i="6" s="1"/>
  <c r="K9" i="6"/>
  <c r="M9" i="6" s="1"/>
  <c r="K19" i="6"/>
  <c r="M19" i="6" s="1"/>
  <c r="K62" i="3"/>
  <c r="K6" i="6"/>
  <c r="M6" i="6" s="1"/>
  <c r="K10" i="6"/>
  <c r="M10" i="6" s="1"/>
  <c r="K11" i="6"/>
  <c r="L11" i="6" s="1"/>
  <c r="K12" i="6"/>
  <c r="L12" i="6" s="1"/>
  <c r="K13" i="6"/>
  <c r="M13" i="6" s="1"/>
  <c r="K14" i="6"/>
  <c r="L14" i="6" s="1"/>
  <c r="R96" i="3"/>
  <c r="R112" i="3"/>
  <c r="R92" i="3"/>
  <c r="R88" i="3"/>
  <c r="N16" i="6" s="1"/>
  <c r="R108" i="3"/>
  <c r="R104" i="3"/>
  <c r="R116" i="3"/>
  <c r="R89" i="3"/>
  <c r="R93" i="3"/>
  <c r="R97" i="3"/>
  <c r="R101" i="3"/>
  <c r="R105" i="3"/>
  <c r="R109" i="3"/>
  <c r="R113" i="3"/>
  <c r="R117" i="3"/>
  <c r="R90" i="3"/>
  <c r="R94" i="3"/>
  <c r="R98" i="3"/>
  <c r="R102" i="3"/>
  <c r="R106" i="3"/>
  <c r="R110" i="3"/>
  <c r="R114" i="3"/>
  <c r="R91" i="3"/>
  <c r="R95" i="3"/>
  <c r="R99" i="3"/>
  <c r="R103" i="3"/>
  <c r="R107" i="3"/>
  <c r="R111" i="3"/>
  <c r="R46" i="3"/>
  <c r="R50" i="3"/>
  <c r="R54" i="3"/>
  <c r="R58" i="3"/>
  <c r="R51" i="3"/>
  <c r="R55" i="3"/>
  <c r="R59" i="3"/>
  <c r="Q27" i="4"/>
  <c r="O27" i="4"/>
  <c r="P27" i="4"/>
  <c r="O26" i="4"/>
  <c r="P26" i="4"/>
  <c r="P25" i="4"/>
  <c r="Q25" i="4"/>
  <c r="O24" i="4"/>
  <c r="P24" i="4"/>
  <c r="Q24" i="4"/>
  <c r="O23" i="4"/>
  <c r="P23" i="4"/>
  <c r="K106" i="3"/>
  <c r="K100" i="3"/>
  <c r="K97" i="3"/>
  <c r="K102" i="3"/>
  <c r="K67" i="3"/>
  <c r="K114" i="3"/>
  <c r="K108" i="3"/>
  <c r="K90" i="3"/>
  <c r="K105" i="3"/>
  <c r="K75" i="3"/>
  <c r="K59" i="3"/>
  <c r="K110" i="3"/>
  <c r="K92" i="3"/>
  <c r="K116" i="3"/>
  <c r="K113" i="3"/>
  <c r="K98" i="3"/>
  <c r="K89" i="3"/>
  <c r="K83" i="3"/>
  <c r="K51" i="3"/>
  <c r="L97" i="3"/>
  <c r="L71" i="3"/>
  <c r="L78" i="3"/>
  <c r="L46" i="3"/>
  <c r="L67" i="3"/>
  <c r="L63" i="3"/>
  <c r="L114" i="3"/>
  <c r="L108" i="3"/>
  <c r="L90" i="3"/>
  <c r="L105" i="3"/>
  <c r="L99" i="3"/>
  <c r="L70" i="3"/>
  <c r="L59" i="3"/>
  <c r="L89" i="3"/>
  <c r="N89" i="3" s="1"/>
  <c r="L98" i="3"/>
  <c r="L51" i="3"/>
  <c r="L106" i="3"/>
  <c r="L87" i="3"/>
  <c r="L55" i="3"/>
  <c r="L83" i="3"/>
  <c r="L116" i="3"/>
  <c r="L92" i="3"/>
  <c r="L100" i="3"/>
  <c r="L113" i="3"/>
  <c r="L107" i="3"/>
  <c r="L79" i="3"/>
  <c r="L47" i="3"/>
  <c r="L115" i="3"/>
  <c r="L86" i="3"/>
  <c r="L54" i="3"/>
  <c r="L91" i="3"/>
  <c r="L75" i="3"/>
  <c r="K54" i="3"/>
  <c r="L61" i="3"/>
  <c r="L68" i="3"/>
  <c r="K86" i="3"/>
  <c r="K94" i="3"/>
  <c r="K79" i="3"/>
  <c r="L109" i="3"/>
  <c r="L58" i="3"/>
  <c r="L65" i="3"/>
  <c r="L72" i="3"/>
  <c r="L104" i="3"/>
  <c r="K107" i="3"/>
  <c r="L95" i="3"/>
  <c r="L69" i="3"/>
  <c r="K55" i="3"/>
  <c r="K87" i="3"/>
  <c r="L110" i="3"/>
  <c r="L73" i="3"/>
  <c r="L101" i="3"/>
  <c r="L76" i="3"/>
  <c r="K48" i="3"/>
  <c r="L66" i="3"/>
  <c r="L80" i="3"/>
  <c r="K47" i="3"/>
  <c r="L45" i="3"/>
  <c r="K70" i="3"/>
  <c r="L77" i="3"/>
  <c r="L84" i="3"/>
  <c r="L96" i="3"/>
  <c r="K99" i="3"/>
  <c r="L52" i="3"/>
  <c r="K63" i="3"/>
  <c r="K56" i="3"/>
  <c r="L74" i="3"/>
  <c r="K49" i="3"/>
  <c r="L81" i="3"/>
  <c r="L102" i="3"/>
  <c r="L111" i="3"/>
  <c r="O22" i="4"/>
  <c r="L103" i="3"/>
  <c r="K46" i="3"/>
  <c r="L60" i="3"/>
  <c r="K78" i="3"/>
  <c r="L85" i="3"/>
  <c r="L93" i="3"/>
  <c r="L117" i="3"/>
  <c r="P22" i="4"/>
  <c r="L53" i="3"/>
  <c r="K71" i="3"/>
  <c r="Q22" i="4"/>
  <c r="L50" i="3"/>
  <c r="L57" i="3"/>
  <c r="L64" i="3"/>
  <c r="L82" i="3"/>
  <c r="L88" i="3"/>
  <c r="K91" i="3"/>
  <c r="L112" i="3"/>
  <c r="K115" i="3"/>
  <c r="L94" i="3"/>
  <c r="K88" i="3"/>
  <c r="K96" i="3"/>
  <c r="K104" i="3"/>
  <c r="K112" i="3"/>
  <c r="K93" i="3"/>
  <c r="K101" i="3"/>
  <c r="K109" i="3"/>
  <c r="K117" i="3"/>
  <c r="K95" i="3"/>
  <c r="K103" i="3"/>
  <c r="K111" i="3"/>
  <c r="N6" i="6"/>
  <c r="N7" i="6"/>
  <c r="N8" i="6"/>
  <c r="N9" i="6"/>
  <c r="N10" i="6"/>
  <c r="N11" i="6"/>
  <c r="N12" i="6"/>
  <c r="N5" i="6"/>
  <c r="M5" i="6"/>
  <c r="L5" i="6"/>
  <c r="K64" i="3"/>
  <c r="K72" i="3"/>
  <c r="K80" i="3"/>
  <c r="K53" i="3"/>
  <c r="K61" i="3"/>
  <c r="K69" i="3"/>
  <c r="K77" i="3"/>
  <c r="K85" i="3"/>
  <c r="L56" i="3"/>
  <c r="K45" i="3"/>
  <c r="K50" i="3"/>
  <c r="K58" i="3"/>
  <c r="K66" i="3"/>
  <c r="K74" i="3"/>
  <c r="K82" i="3"/>
  <c r="L48" i="3"/>
  <c r="K52" i="3"/>
  <c r="K60" i="3"/>
  <c r="K68" i="3"/>
  <c r="K76" i="3"/>
  <c r="K84" i="3"/>
  <c r="K57" i="3"/>
  <c r="K65" i="3"/>
  <c r="K73" i="3"/>
  <c r="K81" i="3"/>
  <c r="L49" i="3"/>
  <c r="O21" i="4"/>
  <c r="P21" i="4"/>
  <c r="Q21" i="4"/>
  <c r="P20" i="4"/>
  <c r="Q20" i="4"/>
  <c r="O20" i="4"/>
  <c r="Q19" i="4"/>
  <c r="O19" i="4"/>
  <c r="P19" i="4"/>
  <c r="O18" i="4"/>
  <c r="P18" i="4"/>
  <c r="Q18" i="4"/>
  <c r="Q17" i="4"/>
  <c r="O17" i="4"/>
  <c r="P17" i="4"/>
  <c r="Q16" i="4"/>
  <c r="O16" i="4"/>
  <c r="P16" i="4"/>
  <c r="O15" i="4"/>
  <c r="P15" i="4"/>
  <c r="Q15" i="4"/>
  <c r="O14" i="4"/>
  <c r="Q14" i="4"/>
  <c r="P14" i="4"/>
  <c r="O13" i="4"/>
  <c r="P13" i="4"/>
  <c r="Q13" i="4"/>
  <c r="P12" i="4"/>
  <c r="O12" i="4"/>
  <c r="Q12" i="4"/>
  <c r="N3" i="6"/>
  <c r="N2" i="6"/>
  <c r="Q10" i="4"/>
  <c r="P8" i="4"/>
  <c r="Q9" i="4"/>
  <c r="P4" i="4"/>
  <c r="R6" i="4"/>
  <c r="L11" i="3"/>
  <c r="Q7" i="4"/>
  <c r="R11" i="4"/>
  <c r="Q11" i="4"/>
  <c r="O8" i="4"/>
  <c r="P2" i="4"/>
  <c r="R7" i="4"/>
  <c r="P11" i="4"/>
  <c r="Q6" i="4"/>
  <c r="P6" i="4"/>
  <c r="O6" i="4"/>
  <c r="P7" i="4"/>
  <c r="R5" i="4"/>
  <c r="O4" i="4"/>
  <c r="K16" i="3"/>
  <c r="K40" i="3"/>
  <c r="K33" i="3"/>
  <c r="K10" i="3"/>
  <c r="K43" i="3"/>
  <c r="K8" i="3"/>
  <c r="K17" i="3"/>
  <c r="K26" i="3"/>
  <c r="K3" i="3"/>
  <c r="K27" i="3"/>
  <c r="K24" i="3"/>
  <c r="K9" i="3"/>
  <c r="K41" i="3"/>
  <c r="K18" i="3"/>
  <c r="K42" i="3"/>
  <c r="K11" i="3"/>
  <c r="K32" i="3"/>
  <c r="K35" i="3"/>
  <c r="K25" i="3"/>
  <c r="K34" i="3"/>
  <c r="K19" i="3"/>
  <c r="K4" i="3"/>
  <c r="L16" i="3"/>
  <c r="L17" i="3"/>
  <c r="L34" i="3"/>
  <c r="L32" i="3"/>
  <c r="L9" i="3"/>
  <c r="L42" i="3"/>
  <c r="L27" i="3"/>
  <c r="L24" i="3"/>
  <c r="L25" i="3"/>
  <c r="L10" i="3"/>
  <c r="L3" i="3"/>
  <c r="L35" i="3"/>
  <c r="L40" i="3"/>
  <c r="L33" i="3"/>
  <c r="L26" i="3"/>
  <c r="L8" i="3"/>
  <c r="L41" i="3"/>
  <c r="L18" i="3"/>
  <c r="L19" i="3"/>
  <c r="L43" i="3"/>
  <c r="L38" i="3"/>
  <c r="L15" i="3"/>
  <c r="O10" i="4"/>
  <c r="K23" i="3"/>
  <c r="R9" i="4"/>
  <c r="L6" i="3"/>
  <c r="K38" i="3"/>
  <c r="K30" i="3"/>
  <c r="K22" i="3"/>
  <c r="K14" i="3"/>
  <c r="K6" i="3"/>
  <c r="P9" i="4"/>
  <c r="P5" i="4"/>
  <c r="L23" i="3"/>
  <c r="K39" i="3"/>
  <c r="K7" i="3"/>
  <c r="L22" i="3"/>
  <c r="Q5" i="4"/>
  <c r="K2" i="3"/>
  <c r="L37" i="3"/>
  <c r="L29" i="3"/>
  <c r="L21" i="3"/>
  <c r="L13" i="3"/>
  <c r="L5" i="3"/>
  <c r="O9" i="4"/>
  <c r="L39" i="3"/>
  <c r="L7" i="3"/>
  <c r="K15" i="3"/>
  <c r="L30" i="3"/>
  <c r="L2" i="3"/>
  <c r="K37" i="3"/>
  <c r="K29" i="3"/>
  <c r="K21" i="3"/>
  <c r="K13" i="3"/>
  <c r="K5" i="3"/>
  <c r="O2" i="4"/>
  <c r="R8" i="4"/>
  <c r="R4" i="4"/>
  <c r="P10" i="4"/>
  <c r="L31" i="3"/>
  <c r="L14" i="3"/>
  <c r="L44" i="3"/>
  <c r="L36" i="3"/>
  <c r="L28" i="3"/>
  <c r="L20" i="3"/>
  <c r="L12" i="3"/>
  <c r="L4" i="3"/>
  <c r="Q2" i="4"/>
  <c r="Q8" i="4"/>
  <c r="Q4" i="4"/>
  <c r="R10" i="4"/>
  <c r="K31" i="3"/>
  <c r="K44" i="3"/>
  <c r="K36" i="3"/>
  <c r="K28" i="3"/>
  <c r="K20" i="3"/>
  <c r="K12" i="3"/>
  <c r="R3" i="4"/>
  <c r="Q3" i="4"/>
  <c r="P3" i="4"/>
  <c r="O494" i="3" l="1"/>
  <c r="O507" i="3"/>
  <c r="M558" i="3"/>
  <c r="O552" i="3"/>
  <c r="N593" i="3"/>
  <c r="P593" i="3" s="1"/>
  <c r="O601" i="3"/>
  <c r="N494" i="3"/>
  <c r="P494" i="3" s="1"/>
  <c r="O573" i="3"/>
  <c r="P573" i="3" s="1"/>
  <c r="O565" i="3"/>
  <c r="O576" i="3"/>
  <c r="M607" i="3"/>
  <c r="N590" i="3"/>
  <c r="P590" i="3" s="1"/>
  <c r="O617" i="3"/>
  <c r="P617" i="3" s="1"/>
  <c r="N601" i="3"/>
  <c r="M494" i="3"/>
  <c r="M532" i="3"/>
  <c r="N599" i="3"/>
  <c r="M609" i="3"/>
  <c r="M526" i="3"/>
  <c r="O557" i="3"/>
  <c r="N552" i="3"/>
  <c r="P552" i="3" s="1"/>
  <c r="O590" i="3"/>
  <c r="N609" i="3"/>
  <c r="P609" i="3" s="1"/>
  <c r="M483" i="3"/>
  <c r="N567" i="3"/>
  <c r="P567" i="3" s="1"/>
  <c r="O483" i="3"/>
  <c r="P483" i="3" s="1"/>
  <c r="P619" i="3"/>
  <c r="N608" i="3"/>
  <c r="M514" i="3"/>
  <c r="O496" i="3"/>
  <c r="O500" i="3"/>
  <c r="O516" i="3"/>
  <c r="M549" i="3"/>
  <c r="O489" i="3"/>
  <c r="M481" i="3"/>
  <c r="M551" i="3"/>
  <c r="M593" i="3"/>
  <c r="N617" i="3"/>
  <c r="N585" i="3"/>
  <c r="P585" i="3" s="1"/>
  <c r="N605" i="3"/>
  <c r="P605" i="3" s="1"/>
  <c r="M587" i="3"/>
  <c r="O587" i="3"/>
  <c r="N587" i="3"/>
  <c r="P587" i="3" s="1"/>
  <c r="O616" i="3"/>
  <c r="M616" i="3"/>
  <c r="N616" i="3"/>
  <c r="P616" i="3" s="1"/>
  <c r="N620" i="3"/>
  <c r="O620" i="3"/>
  <c r="M620" i="3"/>
  <c r="O621" i="3"/>
  <c r="M621" i="3"/>
  <c r="N621" i="3"/>
  <c r="P621" i="3" s="1"/>
  <c r="O597" i="3"/>
  <c r="N597" i="3"/>
  <c r="P597" i="3" s="1"/>
  <c r="M597" i="3"/>
  <c r="M606" i="3"/>
  <c r="N596" i="3"/>
  <c r="M596" i="3"/>
  <c r="O596" i="3"/>
  <c r="O589" i="3"/>
  <c r="N589" i="3"/>
  <c r="P589" i="3" s="1"/>
  <c r="M589" i="3"/>
  <c r="O614" i="3"/>
  <c r="N614" i="3"/>
  <c r="P614" i="3" s="1"/>
  <c r="M614" i="3"/>
  <c r="N607" i="3"/>
  <c r="N606" i="3"/>
  <c r="P606" i="3" s="1"/>
  <c r="O588" i="3"/>
  <c r="N588" i="3"/>
  <c r="P588" i="3" s="1"/>
  <c r="M588" i="3"/>
  <c r="O581" i="3"/>
  <c r="N581" i="3"/>
  <c r="M581" i="3"/>
  <c r="O603" i="3"/>
  <c r="N603" i="3"/>
  <c r="P603" i="3" s="1"/>
  <c r="M603" i="3"/>
  <c r="N583" i="3"/>
  <c r="M583" i="3"/>
  <c r="O583" i="3"/>
  <c r="O610" i="3"/>
  <c r="M610" i="3"/>
  <c r="N610" i="3"/>
  <c r="M594" i="3"/>
  <c r="O594" i="3"/>
  <c r="N594" i="3"/>
  <c r="P594" i="3" s="1"/>
  <c r="M618" i="3"/>
  <c r="O618" i="3"/>
  <c r="N618" i="3"/>
  <c r="N580" i="3"/>
  <c r="M580" i="3"/>
  <c r="O580" i="3"/>
  <c r="O598" i="3"/>
  <c r="N598" i="3"/>
  <c r="P598" i="3" s="1"/>
  <c r="M598" i="3"/>
  <c r="N611" i="3"/>
  <c r="M611" i="3"/>
  <c r="O611" i="3"/>
  <c r="O607" i="3"/>
  <c r="O602" i="3"/>
  <c r="N602" i="3"/>
  <c r="P602" i="3" s="1"/>
  <c r="M602" i="3"/>
  <c r="O582" i="3"/>
  <c r="N582" i="3"/>
  <c r="P582" i="3" s="1"/>
  <c r="M582" i="3"/>
  <c r="N612" i="3"/>
  <c r="O612" i="3"/>
  <c r="M612" i="3"/>
  <c r="O613" i="3"/>
  <c r="N613" i="3"/>
  <c r="P613" i="3" s="1"/>
  <c r="M613" i="3"/>
  <c r="O599" i="3"/>
  <c r="P599" i="3" s="1"/>
  <c r="N615" i="3"/>
  <c r="M615" i="3"/>
  <c r="O615" i="3"/>
  <c r="O608" i="3"/>
  <c r="P608" i="3" s="1"/>
  <c r="O600" i="3"/>
  <c r="N600" i="3"/>
  <c r="P600" i="3" s="1"/>
  <c r="M600" i="3"/>
  <c r="N586" i="3"/>
  <c r="M586" i="3"/>
  <c r="O586" i="3"/>
  <c r="N584" i="3"/>
  <c r="M584" i="3"/>
  <c r="O584" i="3"/>
  <c r="M599" i="3"/>
  <c r="O592" i="3"/>
  <c r="M592" i="3"/>
  <c r="N592" i="3"/>
  <c r="O604" i="3"/>
  <c r="M604" i="3"/>
  <c r="N604" i="3"/>
  <c r="P604" i="3" s="1"/>
  <c r="N591" i="3"/>
  <c r="M591" i="3"/>
  <c r="O591" i="3"/>
  <c r="M39" i="6"/>
  <c r="N544" i="3"/>
  <c r="M574" i="3"/>
  <c r="O566" i="3"/>
  <c r="N551" i="3"/>
  <c r="P551" i="3" s="1"/>
  <c r="M507" i="3"/>
  <c r="P575" i="3"/>
  <c r="O508" i="3"/>
  <c r="N508" i="3"/>
  <c r="M557" i="3"/>
  <c r="M508" i="3"/>
  <c r="M565" i="3"/>
  <c r="N549" i="3"/>
  <c r="N547" i="3"/>
  <c r="O543" i="3"/>
  <c r="M573" i="3"/>
  <c r="O551" i="3"/>
  <c r="O567" i="3"/>
  <c r="N559" i="3"/>
  <c r="P559" i="3" s="1"/>
  <c r="N543" i="3"/>
  <c r="N575" i="3"/>
  <c r="N570" i="3"/>
  <c r="O570" i="3"/>
  <c r="M570" i="3"/>
  <c r="O560" i="3"/>
  <c r="N560" i="3"/>
  <c r="M560" i="3"/>
  <c r="M562" i="3"/>
  <c r="O562" i="3"/>
  <c r="N562" i="3"/>
  <c r="P562" i="3" s="1"/>
  <c r="M554" i="3"/>
  <c r="O554" i="3"/>
  <c r="N554" i="3"/>
  <c r="M579" i="3"/>
  <c r="O579" i="3"/>
  <c r="N579" i="3"/>
  <c r="P579" i="3" s="1"/>
  <c r="O546" i="3"/>
  <c r="N546" i="3"/>
  <c r="P546" i="3" s="1"/>
  <c r="M546" i="3"/>
  <c r="O571" i="3"/>
  <c r="N571" i="3"/>
  <c r="P571" i="3" s="1"/>
  <c r="M571" i="3"/>
  <c r="P557" i="3"/>
  <c r="N538" i="3"/>
  <c r="M538" i="3"/>
  <c r="O538" i="3"/>
  <c r="O563" i="3"/>
  <c r="M563" i="3"/>
  <c r="N563" i="3"/>
  <c r="M537" i="3"/>
  <c r="O537" i="3"/>
  <c r="N537" i="3"/>
  <c r="P537" i="3" s="1"/>
  <c r="N539" i="3"/>
  <c r="O539" i="3"/>
  <c r="M539" i="3"/>
  <c r="P565" i="3"/>
  <c r="O564" i="3"/>
  <c r="N564" i="3"/>
  <c r="M564" i="3"/>
  <c r="O548" i="3"/>
  <c r="N548" i="3"/>
  <c r="P548" i="3" s="1"/>
  <c r="M548" i="3"/>
  <c r="O553" i="3"/>
  <c r="M553" i="3"/>
  <c r="N553" i="3"/>
  <c r="O542" i="3"/>
  <c r="N542" i="3"/>
  <c r="P542" i="3" s="1"/>
  <c r="M542" i="3"/>
  <c r="O556" i="3"/>
  <c r="N556" i="3"/>
  <c r="P556" i="3" s="1"/>
  <c r="M556" i="3"/>
  <c r="O572" i="3"/>
  <c r="N572" i="3"/>
  <c r="M572" i="3"/>
  <c r="O545" i="3"/>
  <c r="M545" i="3"/>
  <c r="N545" i="3"/>
  <c r="P545" i="3" s="1"/>
  <c r="N574" i="3"/>
  <c r="O561" i="3"/>
  <c r="M561" i="3"/>
  <c r="N561" i="3"/>
  <c r="O540" i="3"/>
  <c r="N540" i="3"/>
  <c r="P540" i="3" s="1"/>
  <c r="M540" i="3"/>
  <c r="O574" i="3"/>
  <c r="N558" i="3"/>
  <c r="M547" i="3"/>
  <c r="O558" i="3"/>
  <c r="O547" i="3"/>
  <c r="N569" i="3"/>
  <c r="M569" i="3"/>
  <c r="O569" i="3"/>
  <c r="O577" i="3"/>
  <c r="N577" i="3"/>
  <c r="P577" i="3" s="1"/>
  <c r="M577" i="3"/>
  <c r="M544" i="3"/>
  <c r="O544" i="3"/>
  <c r="P544" i="3" s="1"/>
  <c r="O555" i="3"/>
  <c r="N555" i="3"/>
  <c r="P555" i="3" s="1"/>
  <c r="M555" i="3"/>
  <c r="N541" i="3"/>
  <c r="M541" i="3"/>
  <c r="O541" i="3"/>
  <c r="M566" i="3"/>
  <c r="O550" i="3"/>
  <c r="N550" i="3"/>
  <c r="M550" i="3"/>
  <c r="N576" i="3"/>
  <c r="P576" i="3" s="1"/>
  <c r="N566" i="3"/>
  <c r="O549" i="3"/>
  <c r="P549" i="3" s="1"/>
  <c r="O578" i="3"/>
  <c r="M578" i="3"/>
  <c r="N578" i="3"/>
  <c r="O568" i="3"/>
  <c r="N568" i="3"/>
  <c r="P568" i="3" s="1"/>
  <c r="M568" i="3"/>
  <c r="L85" i="6"/>
  <c r="M88" i="6"/>
  <c r="O505" i="3"/>
  <c r="N505" i="3"/>
  <c r="M505" i="3"/>
  <c r="N526" i="3"/>
  <c r="N524" i="3"/>
  <c r="M496" i="3"/>
  <c r="N496" i="3"/>
  <c r="O478" i="3"/>
  <c r="O514" i="3"/>
  <c r="N532" i="3"/>
  <c r="M473" i="3"/>
  <c r="M498" i="3"/>
  <c r="N500" i="3"/>
  <c r="P500" i="3" s="1"/>
  <c r="N489" i="3"/>
  <c r="P489" i="3" s="1"/>
  <c r="M524" i="3"/>
  <c r="N516" i="3"/>
  <c r="P516" i="3" s="1"/>
  <c r="O463" i="3"/>
  <c r="O454" i="3"/>
  <c r="M500" i="3"/>
  <c r="O532" i="3"/>
  <c r="O524" i="3"/>
  <c r="N512" i="3"/>
  <c r="O512" i="3"/>
  <c r="M512" i="3"/>
  <c r="N498" i="3"/>
  <c r="O521" i="3"/>
  <c r="N521" i="3"/>
  <c r="M521" i="3"/>
  <c r="M509" i="3"/>
  <c r="O509" i="3"/>
  <c r="N509" i="3"/>
  <c r="M510" i="3"/>
  <c r="O510" i="3"/>
  <c r="N510" i="3"/>
  <c r="N522" i="3"/>
  <c r="M522" i="3"/>
  <c r="O522" i="3"/>
  <c r="N501" i="3"/>
  <c r="O501" i="3"/>
  <c r="M501" i="3"/>
  <c r="O535" i="3"/>
  <c r="N535" i="3"/>
  <c r="P535" i="3" s="1"/>
  <c r="M535" i="3"/>
  <c r="L89" i="6"/>
  <c r="M89" i="6"/>
  <c r="P514" i="3"/>
  <c r="O527" i="3"/>
  <c r="N527" i="3"/>
  <c r="M527" i="3"/>
  <c r="L86" i="6"/>
  <c r="M86" i="6"/>
  <c r="O519" i="3"/>
  <c r="M519" i="3"/>
  <c r="N519" i="3"/>
  <c r="P507" i="3"/>
  <c r="M502" i="3"/>
  <c r="O502" i="3"/>
  <c r="N502" i="3"/>
  <c r="P502" i="3" s="1"/>
  <c r="O526" i="3"/>
  <c r="M534" i="3"/>
  <c r="O534" i="3"/>
  <c r="N534" i="3"/>
  <c r="P534" i="3" s="1"/>
  <c r="M515" i="3"/>
  <c r="M87" i="6"/>
  <c r="L87" i="6"/>
  <c r="O518" i="3"/>
  <c r="M518" i="3"/>
  <c r="N518" i="3"/>
  <c r="P518" i="3" s="1"/>
  <c r="N515" i="3"/>
  <c r="P515" i="3" s="1"/>
  <c r="M90" i="6"/>
  <c r="L90" i="6"/>
  <c r="O529" i="3"/>
  <c r="N529" i="3"/>
  <c r="M529" i="3"/>
  <c r="O498" i="3"/>
  <c r="N497" i="3"/>
  <c r="M497" i="3"/>
  <c r="O497" i="3"/>
  <c r="O531" i="3"/>
  <c r="N531" i="3"/>
  <c r="M531" i="3"/>
  <c r="O499" i="3"/>
  <c r="N499" i="3"/>
  <c r="M499" i="3"/>
  <c r="N530" i="3"/>
  <c r="M530" i="3"/>
  <c r="O530" i="3"/>
  <c r="N520" i="3"/>
  <c r="O520" i="3"/>
  <c r="M520" i="3"/>
  <c r="N525" i="3"/>
  <c r="O525" i="3"/>
  <c r="M525" i="3"/>
  <c r="N523" i="3"/>
  <c r="O523" i="3"/>
  <c r="M523" i="3"/>
  <c r="N517" i="3"/>
  <c r="O517" i="3"/>
  <c r="M517" i="3"/>
  <c r="O511" i="3"/>
  <c r="N511" i="3"/>
  <c r="M511" i="3"/>
  <c r="N536" i="3"/>
  <c r="O536" i="3"/>
  <c r="M536" i="3"/>
  <c r="O503" i="3"/>
  <c r="N503" i="3"/>
  <c r="P503" i="3" s="1"/>
  <c r="M503" i="3"/>
  <c r="N528" i="3"/>
  <c r="O528" i="3"/>
  <c r="M528" i="3"/>
  <c r="M495" i="3"/>
  <c r="O495" i="3"/>
  <c r="N495" i="3"/>
  <c r="O493" i="3"/>
  <c r="M33" i="6"/>
  <c r="N506" i="3"/>
  <c r="M506" i="3"/>
  <c r="O506" i="3"/>
  <c r="O513" i="3"/>
  <c r="N513" i="3"/>
  <c r="M513" i="3"/>
  <c r="O533" i="3"/>
  <c r="N533" i="3"/>
  <c r="M533" i="3"/>
  <c r="O504" i="3"/>
  <c r="N504" i="3"/>
  <c r="M504" i="3"/>
  <c r="N481" i="3"/>
  <c r="M463" i="3"/>
  <c r="O473" i="3"/>
  <c r="N463" i="3"/>
  <c r="P463" i="3" s="1"/>
  <c r="M461" i="3"/>
  <c r="O465" i="3"/>
  <c r="N465" i="3"/>
  <c r="P465" i="3" s="1"/>
  <c r="M465" i="3"/>
  <c r="O481" i="3"/>
  <c r="N478" i="3"/>
  <c r="N457" i="3"/>
  <c r="O457" i="3"/>
  <c r="N473" i="3"/>
  <c r="M478" i="3"/>
  <c r="M457" i="3"/>
  <c r="N482" i="3"/>
  <c r="O482" i="3"/>
  <c r="M482" i="3"/>
  <c r="O458" i="3"/>
  <c r="N458" i="3"/>
  <c r="P458" i="3" s="1"/>
  <c r="M458" i="3"/>
  <c r="N475" i="3"/>
  <c r="M475" i="3"/>
  <c r="O475" i="3"/>
  <c r="N466" i="3"/>
  <c r="O466" i="3"/>
  <c r="M466" i="3"/>
  <c r="M488" i="3"/>
  <c r="O488" i="3"/>
  <c r="N488" i="3"/>
  <c r="P488" i="3" s="1"/>
  <c r="O485" i="3"/>
  <c r="N485" i="3"/>
  <c r="M485" i="3"/>
  <c r="M493" i="3"/>
  <c r="O486" i="3"/>
  <c r="N486" i="3"/>
  <c r="P486" i="3" s="1"/>
  <c r="M486" i="3"/>
  <c r="O492" i="3"/>
  <c r="M492" i="3"/>
  <c r="N492" i="3"/>
  <c r="N493" i="3"/>
  <c r="O484" i="3"/>
  <c r="N484" i="3"/>
  <c r="M484" i="3"/>
  <c r="O491" i="3"/>
  <c r="N491" i="3"/>
  <c r="P491" i="3" s="1"/>
  <c r="M491" i="3"/>
  <c r="O468" i="3"/>
  <c r="N468" i="3"/>
  <c r="M468" i="3"/>
  <c r="O472" i="3"/>
  <c r="M472" i="3"/>
  <c r="N472" i="3"/>
  <c r="N479" i="3"/>
  <c r="M479" i="3"/>
  <c r="O479" i="3"/>
  <c r="O461" i="3"/>
  <c r="N454" i="3"/>
  <c r="O462" i="3"/>
  <c r="N462" i="3"/>
  <c r="M462" i="3"/>
  <c r="N487" i="3"/>
  <c r="M487" i="3"/>
  <c r="O487" i="3"/>
  <c r="N461" i="3"/>
  <c r="M454" i="3"/>
  <c r="N471" i="3"/>
  <c r="M471" i="3"/>
  <c r="O471" i="3"/>
  <c r="N474" i="3"/>
  <c r="O474" i="3"/>
  <c r="M474" i="3"/>
  <c r="N455" i="3"/>
  <c r="M455" i="3"/>
  <c r="O455" i="3"/>
  <c r="O470" i="3"/>
  <c r="N470" i="3"/>
  <c r="P470" i="3" s="1"/>
  <c r="M470" i="3"/>
  <c r="O469" i="3"/>
  <c r="N469" i="3"/>
  <c r="M469" i="3"/>
  <c r="N477" i="3"/>
  <c r="O477" i="3"/>
  <c r="M477" i="3"/>
  <c r="M480" i="3"/>
  <c r="O480" i="3"/>
  <c r="N480" i="3"/>
  <c r="N476" i="3"/>
  <c r="O476" i="3"/>
  <c r="M476" i="3"/>
  <c r="O467" i="3"/>
  <c r="N467" i="3"/>
  <c r="M467" i="3"/>
  <c r="O459" i="3"/>
  <c r="M459" i="3"/>
  <c r="N459" i="3"/>
  <c r="O460" i="3"/>
  <c r="N460" i="3"/>
  <c r="M460" i="3"/>
  <c r="O464" i="3"/>
  <c r="N464" i="3"/>
  <c r="M464" i="3"/>
  <c r="N490" i="3"/>
  <c r="O490" i="3"/>
  <c r="M490" i="3"/>
  <c r="O456" i="3"/>
  <c r="N456" i="3"/>
  <c r="M456" i="3"/>
  <c r="O409" i="3"/>
  <c r="O278" i="3"/>
  <c r="O417" i="3"/>
  <c r="O367" i="3"/>
  <c r="N393" i="3"/>
  <c r="N249" i="3"/>
  <c r="N299" i="3"/>
  <c r="M386" i="3"/>
  <c r="O401" i="3"/>
  <c r="M409" i="3"/>
  <c r="O375" i="3"/>
  <c r="N320" i="3"/>
  <c r="M425" i="3"/>
  <c r="N167" i="3"/>
  <c r="O248" i="3"/>
  <c r="N310" i="3"/>
  <c r="M329" i="3"/>
  <c r="O385" i="3"/>
  <c r="N394" i="3"/>
  <c r="O422" i="3"/>
  <c r="M441" i="3"/>
  <c r="M210" i="3"/>
  <c r="N417" i="3"/>
  <c r="O298" i="3"/>
  <c r="M385" i="3"/>
  <c r="M316" i="3"/>
  <c r="O399" i="3"/>
  <c r="N449" i="3"/>
  <c r="O377" i="3"/>
  <c r="M352" i="3"/>
  <c r="M364" i="3"/>
  <c r="O407" i="3"/>
  <c r="O333" i="3"/>
  <c r="N329" i="3"/>
  <c r="O386" i="3"/>
  <c r="O322" i="3"/>
  <c r="O394" i="3"/>
  <c r="N275" i="3"/>
  <c r="M327" i="3"/>
  <c r="O439" i="3"/>
  <c r="O262" i="3"/>
  <c r="M211" i="3"/>
  <c r="N298" i="3"/>
  <c r="N322" i="3"/>
  <c r="O355" i="3"/>
  <c r="M394" i="3"/>
  <c r="N401" i="3"/>
  <c r="N441" i="3"/>
  <c r="O218" i="3"/>
  <c r="N386" i="3"/>
  <c r="M433" i="3"/>
  <c r="M118" i="3"/>
  <c r="M377" i="3"/>
  <c r="N375" i="3"/>
  <c r="M298" i="3"/>
  <c r="N206" i="3"/>
  <c r="O343" i="3"/>
  <c r="M401" i="3"/>
  <c r="O352" i="3"/>
  <c r="N385" i="3"/>
  <c r="O329" i="3"/>
  <c r="N433" i="3"/>
  <c r="M187" i="3"/>
  <c r="O449" i="3"/>
  <c r="M375" i="3"/>
  <c r="O393" i="3"/>
  <c r="N377" i="3"/>
  <c r="M286" i="3"/>
  <c r="O433" i="3"/>
  <c r="N367" i="3"/>
  <c r="N359" i="3"/>
  <c r="P359" i="3" s="1"/>
  <c r="N327" i="3"/>
  <c r="N335" i="3"/>
  <c r="P335" i="3" s="1"/>
  <c r="M335" i="3"/>
  <c r="M449" i="3"/>
  <c r="M417" i="3"/>
  <c r="O441" i="3"/>
  <c r="M351" i="3"/>
  <c r="O163" i="3"/>
  <c r="M343" i="3"/>
  <c r="N399" i="3"/>
  <c r="M359" i="3"/>
  <c r="N409" i="3"/>
  <c r="M249" i="3"/>
  <c r="N425" i="3"/>
  <c r="O425" i="3"/>
  <c r="N174" i="3"/>
  <c r="O378" i="3"/>
  <c r="N428" i="3"/>
  <c r="M428" i="3"/>
  <c r="O428" i="3"/>
  <c r="O430" i="3"/>
  <c r="N430" i="3"/>
  <c r="M430" i="3"/>
  <c r="O420" i="3"/>
  <c r="N420" i="3"/>
  <c r="M420" i="3"/>
  <c r="N415" i="3"/>
  <c r="M415" i="3"/>
  <c r="O415" i="3"/>
  <c r="O450" i="3"/>
  <c r="N450" i="3"/>
  <c r="P450" i="3" s="1"/>
  <c r="M450" i="3"/>
  <c r="O424" i="3"/>
  <c r="N424" i="3"/>
  <c r="M424" i="3"/>
  <c r="O435" i="3"/>
  <c r="N435" i="3"/>
  <c r="M435" i="3"/>
  <c r="O437" i="3"/>
  <c r="N437" i="3"/>
  <c r="M437" i="3"/>
  <c r="O426" i="3"/>
  <c r="N426" i="3"/>
  <c r="M426" i="3"/>
  <c r="N453" i="3"/>
  <c r="O453" i="3"/>
  <c r="M453" i="3"/>
  <c r="N431" i="3"/>
  <c r="M431" i="3"/>
  <c r="O431" i="3"/>
  <c r="N446" i="3"/>
  <c r="M446" i="3"/>
  <c r="O446" i="3"/>
  <c r="O448" i="3"/>
  <c r="N448" i="3"/>
  <c r="M448" i="3"/>
  <c r="O418" i="3"/>
  <c r="N418" i="3"/>
  <c r="M418" i="3"/>
  <c r="O427" i="3"/>
  <c r="M427" i="3"/>
  <c r="N427" i="3"/>
  <c r="M422" i="3"/>
  <c r="M452" i="3"/>
  <c r="O452" i="3"/>
  <c r="N452" i="3"/>
  <c r="O451" i="3"/>
  <c r="N451" i="3"/>
  <c r="M451" i="3"/>
  <c r="O429" i="3"/>
  <c r="N429" i="3"/>
  <c r="M429" i="3"/>
  <c r="N422" i="3"/>
  <c r="N423" i="3"/>
  <c r="M423" i="3"/>
  <c r="O423" i="3"/>
  <c r="L65" i="6"/>
  <c r="O444" i="3"/>
  <c r="N444" i="3"/>
  <c r="M444" i="3"/>
  <c r="O416" i="3"/>
  <c r="N416" i="3"/>
  <c r="M416" i="3"/>
  <c r="O440" i="3"/>
  <c r="N440" i="3"/>
  <c r="M440" i="3"/>
  <c r="N447" i="3"/>
  <c r="M447" i="3"/>
  <c r="O447" i="3"/>
  <c r="M414" i="3"/>
  <c r="O414" i="3"/>
  <c r="N414" i="3"/>
  <c r="M438" i="3"/>
  <c r="O438" i="3"/>
  <c r="N438" i="3"/>
  <c r="P438" i="3" s="1"/>
  <c r="O443" i="3"/>
  <c r="N443" i="3"/>
  <c r="M443" i="3"/>
  <c r="O442" i="3"/>
  <c r="N442" i="3"/>
  <c r="M442" i="3"/>
  <c r="N434" i="3"/>
  <c r="M434" i="3"/>
  <c r="O434" i="3"/>
  <c r="O419" i="3"/>
  <c r="N419" i="3"/>
  <c r="M419" i="3"/>
  <c r="O421" i="3"/>
  <c r="N421" i="3"/>
  <c r="M421" i="3"/>
  <c r="N445" i="3"/>
  <c r="O445" i="3"/>
  <c r="M445" i="3"/>
  <c r="M439" i="3"/>
  <c r="N439" i="3"/>
  <c r="M63" i="6"/>
  <c r="N436" i="3"/>
  <c r="O436" i="3"/>
  <c r="M436" i="3"/>
  <c r="O432" i="3"/>
  <c r="N432" i="3"/>
  <c r="M432" i="3"/>
  <c r="L66" i="6"/>
  <c r="N400" i="3"/>
  <c r="O371" i="3"/>
  <c r="N381" i="3"/>
  <c r="M381" i="3"/>
  <c r="O381" i="3"/>
  <c r="N371" i="3"/>
  <c r="M410" i="3"/>
  <c r="O410" i="3"/>
  <c r="N410" i="3"/>
  <c r="N373" i="3"/>
  <c r="M373" i="3"/>
  <c r="O373" i="3"/>
  <c r="O411" i="3"/>
  <c r="N411" i="3"/>
  <c r="M411" i="3"/>
  <c r="O382" i="3"/>
  <c r="N382" i="3"/>
  <c r="M382" i="3"/>
  <c r="O400" i="3"/>
  <c r="O374" i="3"/>
  <c r="M374" i="3"/>
  <c r="N374" i="3"/>
  <c r="M413" i="3"/>
  <c r="O413" i="3"/>
  <c r="N413" i="3"/>
  <c r="O408" i="3"/>
  <c r="N408" i="3"/>
  <c r="M408" i="3"/>
  <c r="M400" i="3"/>
  <c r="N395" i="3"/>
  <c r="M395" i="3"/>
  <c r="O395" i="3"/>
  <c r="M405" i="3"/>
  <c r="O405" i="3"/>
  <c r="N405" i="3"/>
  <c r="N392" i="3"/>
  <c r="M392" i="3"/>
  <c r="O392" i="3"/>
  <c r="O403" i="3"/>
  <c r="N403" i="3"/>
  <c r="M403" i="3"/>
  <c r="M389" i="3"/>
  <c r="O389" i="3"/>
  <c r="N389" i="3"/>
  <c r="M61" i="6"/>
  <c r="N378" i="3"/>
  <c r="O384" i="3"/>
  <c r="N384" i="3"/>
  <c r="M384" i="3"/>
  <c r="M378" i="3"/>
  <c r="M407" i="3"/>
  <c r="O412" i="3"/>
  <c r="N412" i="3"/>
  <c r="M412" i="3"/>
  <c r="N407" i="3"/>
  <c r="M399" i="3"/>
  <c r="M390" i="3"/>
  <c r="L64" i="6"/>
  <c r="O404" i="3"/>
  <c r="N404" i="3"/>
  <c r="M404" i="3"/>
  <c r="O390" i="3"/>
  <c r="P390" i="3" s="1"/>
  <c r="O396" i="3"/>
  <c r="N396" i="3"/>
  <c r="M396" i="3"/>
  <c r="N391" i="3"/>
  <c r="M391" i="3"/>
  <c r="O391" i="3"/>
  <c r="M62" i="6"/>
  <c r="N388" i="3"/>
  <c r="O388" i="3"/>
  <c r="M388" i="3"/>
  <c r="N383" i="3"/>
  <c r="M383" i="3"/>
  <c r="O383" i="3"/>
  <c r="O379" i="3"/>
  <c r="N379" i="3"/>
  <c r="M379" i="3"/>
  <c r="O398" i="3"/>
  <c r="N398" i="3"/>
  <c r="M398" i="3"/>
  <c r="O380" i="3"/>
  <c r="M380" i="3"/>
  <c r="N380" i="3"/>
  <c r="O387" i="3"/>
  <c r="N387" i="3"/>
  <c r="M387" i="3"/>
  <c r="L67" i="6"/>
  <c r="M372" i="3"/>
  <c r="O372" i="3"/>
  <c r="N372" i="3"/>
  <c r="O402" i="3"/>
  <c r="M402" i="3"/>
  <c r="N402" i="3"/>
  <c r="O406" i="3"/>
  <c r="N406" i="3"/>
  <c r="M406" i="3"/>
  <c r="O376" i="3"/>
  <c r="N376" i="3"/>
  <c r="M376" i="3"/>
  <c r="O397" i="3"/>
  <c r="N397" i="3"/>
  <c r="M397" i="3"/>
  <c r="O318" i="3"/>
  <c r="N351" i="3"/>
  <c r="O142" i="3"/>
  <c r="M216" i="3"/>
  <c r="O208" i="3"/>
  <c r="M278" i="3"/>
  <c r="M221" i="3"/>
  <c r="N316" i="3"/>
  <c r="N247" i="3"/>
  <c r="O211" i="3"/>
  <c r="N223" i="3"/>
  <c r="N203" i="3"/>
  <c r="M320" i="3"/>
  <c r="O311" i="3"/>
  <c r="N268" i="3"/>
  <c r="N312" i="3"/>
  <c r="O306" i="3"/>
  <c r="M347" i="3"/>
  <c r="N352" i="3"/>
  <c r="M333" i="3"/>
  <c r="O247" i="3"/>
  <c r="O284" i="3"/>
  <c r="O296" i="3"/>
  <c r="M331" i="3"/>
  <c r="N333" i="3"/>
  <c r="M123" i="3"/>
  <c r="O321" i="3"/>
  <c r="O350" i="3"/>
  <c r="O307" i="3"/>
  <c r="N318" i="3"/>
  <c r="O226" i="3"/>
  <c r="O299" i="3"/>
  <c r="P299" i="3" s="1"/>
  <c r="M318" i="3"/>
  <c r="N365" i="3"/>
  <c r="M163" i="3"/>
  <c r="O351" i="3"/>
  <c r="O327" i="3"/>
  <c r="N343" i="3"/>
  <c r="N338" i="3"/>
  <c r="M338" i="3"/>
  <c r="O338" i="3"/>
  <c r="M330" i="3"/>
  <c r="O330" i="3"/>
  <c r="N330" i="3"/>
  <c r="O368" i="3"/>
  <c r="M368" i="3"/>
  <c r="N368" i="3"/>
  <c r="O345" i="3"/>
  <c r="N345" i="3"/>
  <c r="M345" i="3"/>
  <c r="O363" i="3"/>
  <c r="N363" i="3"/>
  <c r="M363" i="3"/>
  <c r="O353" i="3"/>
  <c r="N353" i="3"/>
  <c r="M353" i="3"/>
  <c r="O337" i="3"/>
  <c r="N337" i="3"/>
  <c r="M337" i="3"/>
  <c r="O339" i="3"/>
  <c r="N339" i="3"/>
  <c r="M339" i="3"/>
  <c r="N366" i="3"/>
  <c r="O366" i="3"/>
  <c r="M366" i="3"/>
  <c r="O361" i="3"/>
  <c r="N361" i="3"/>
  <c r="M361" i="3"/>
  <c r="O332" i="3"/>
  <c r="M332" i="3"/>
  <c r="N332" i="3"/>
  <c r="O348" i="3"/>
  <c r="N348" i="3"/>
  <c r="M348" i="3"/>
  <c r="M358" i="3"/>
  <c r="O358" i="3"/>
  <c r="N358" i="3"/>
  <c r="O369" i="3"/>
  <c r="N369" i="3"/>
  <c r="M369" i="3"/>
  <c r="O342" i="3"/>
  <c r="M342" i="3"/>
  <c r="N342" i="3"/>
  <c r="N350" i="3"/>
  <c r="N356" i="3"/>
  <c r="O356" i="3"/>
  <c r="M356" i="3"/>
  <c r="N349" i="3"/>
  <c r="M349" i="3"/>
  <c r="O349" i="3"/>
  <c r="N355" i="3"/>
  <c r="M350" i="3"/>
  <c r="M334" i="3"/>
  <c r="O334" i="3"/>
  <c r="N334" i="3"/>
  <c r="O347" i="3"/>
  <c r="O364" i="3"/>
  <c r="O360" i="3"/>
  <c r="N360" i="3"/>
  <c r="M360" i="3"/>
  <c r="M365" i="3"/>
  <c r="N347" i="3"/>
  <c r="N364" i="3"/>
  <c r="O370" i="3"/>
  <c r="M370" i="3"/>
  <c r="N370" i="3"/>
  <c r="O362" i="3"/>
  <c r="N362" i="3"/>
  <c r="M362" i="3"/>
  <c r="M336" i="3"/>
  <c r="O336" i="3"/>
  <c r="N336" i="3"/>
  <c r="N331" i="3"/>
  <c r="N354" i="3"/>
  <c r="M354" i="3"/>
  <c r="O354" i="3"/>
  <c r="O328" i="3"/>
  <c r="N328" i="3"/>
  <c r="M328" i="3"/>
  <c r="O331" i="3"/>
  <c r="O365" i="3"/>
  <c r="N357" i="3"/>
  <c r="M357" i="3"/>
  <c r="O357" i="3"/>
  <c r="M355" i="3"/>
  <c r="O340" i="3"/>
  <c r="N340" i="3"/>
  <c r="M340" i="3"/>
  <c r="N341" i="3"/>
  <c r="M341" i="3"/>
  <c r="O341" i="3"/>
  <c r="M344" i="3"/>
  <c r="O344" i="3"/>
  <c r="N344" i="3"/>
  <c r="O346" i="3"/>
  <c r="N346" i="3"/>
  <c r="M346" i="3"/>
  <c r="L41" i="6"/>
  <c r="M62" i="3"/>
  <c r="N265" i="3"/>
  <c r="O310" i="3"/>
  <c r="O265" i="3"/>
  <c r="O314" i="3"/>
  <c r="O326" i="3"/>
  <c r="P326" i="3" s="1"/>
  <c r="N314" i="3"/>
  <c r="N273" i="3"/>
  <c r="M306" i="3"/>
  <c r="M326" i="3"/>
  <c r="O237" i="3"/>
  <c r="M252" i="3"/>
  <c r="N173" i="3"/>
  <c r="O235" i="3"/>
  <c r="M271" i="3"/>
  <c r="N287" i="3"/>
  <c r="N306" i="3"/>
  <c r="N321" i="3"/>
  <c r="N159" i="3"/>
  <c r="N195" i="3"/>
  <c r="N212" i="3"/>
  <c r="O216" i="3"/>
  <c r="P216" i="3" s="1"/>
  <c r="M321" i="3"/>
  <c r="N191" i="3"/>
  <c r="M213" i="3"/>
  <c r="O167" i="3"/>
  <c r="N235" i="3"/>
  <c r="N254" i="3"/>
  <c r="O249" i="3"/>
  <c r="O286" i="3"/>
  <c r="O325" i="3"/>
  <c r="N325" i="3"/>
  <c r="M325" i="3"/>
  <c r="O317" i="3"/>
  <c r="N317" i="3"/>
  <c r="M317" i="3"/>
  <c r="O309" i="3"/>
  <c r="N309" i="3"/>
  <c r="M309" i="3"/>
  <c r="O292" i="3"/>
  <c r="M292" i="3"/>
  <c r="N292" i="3"/>
  <c r="M296" i="3"/>
  <c r="N304" i="3"/>
  <c r="M304" i="3"/>
  <c r="O304" i="3"/>
  <c r="N296" i="3"/>
  <c r="N303" i="3"/>
  <c r="O301" i="3"/>
  <c r="N301" i="3"/>
  <c r="M301" i="3"/>
  <c r="O303" i="3"/>
  <c r="O293" i="3"/>
  <c r="N293" i="3"/>
  <c r="M293" i="3"/>
  <c r="O319" i="3"/>
  <c r="N319" i="3"/>
  <c r="M319" i="3"/>
  <c r="M299" i="3"/>
  <c r="M323" i="3"/>
  <c r="O323" i="3"/>
  <c r="N323" i="3"/>
  <c r="N295" i="3"/>
  <c r="O295" i="3"/>
  <c r="M295" i="3"/>
  <c r="O315" i="3"/>
  <c r="N315" i="3"/>
  <c r="M315" i="3"/>
  <c r="N311" i="3"/>
  <c r="O291" i="3"/>
  <c r="N291" i="3"/>
  <c r="M291" i="3"/>
  <c r="M311" i="3"/>
  <c r="M310" i="3"/>
  <c r="N294" i="3"/>
  <c r="M294" i="3"/>
  <c r="O294" i="3"/>
  <c r="M302" i="3"/>
  <c r="N302" i="3"/>
  <c r="O302" i="3"/>
  <c r="N307" i="3"/>
  <c r="O316" i="3"/>
  <c r="O313" i="3"/>
  <c r="N313" i="3"/>
  <c r="M313" i="3"/>
  <c r="M307" i="3"/>
  <c r="M308" i="3"/>
  <c r="N308" i="3"/>
  <c r="O308" i="3"/>
  <c r="O297" i="3"/>
  <c r="M297" i="3"/>
  <c r="N297" i="3"/>
  <c r="O320" i="3"/>
  <c r="M312" i="3"/>
  <c r="M305" i="3"/>
  <c r="O305" i="3"/>
  <c r="N305" i="3"/>
  <c r="O312" i="3"/>
  <c r="N300" i="3"/>
  <c r="M300" i="3"/>
  <c r="O300" i="3"/>
  <c r="N324" i="3"/>
  <c r="O324" i="3"/>
  <c r="M324" i="3"/>
  <c r="O165" i="3"/>
  <c r="M240" i="3"/>
  <c r="N210" i="3"/>
  <c r="M262" i="3"/>
  <c r="M227" i="3"/>
  <c r="O225" i="3"/>
  <c r="M175" i="3"/>
  <c r="O174" i="3"/>
  <c r="N234" i="3"/>
  <c r="N262" i="3"/>
  <c r="O234" i="3"/>
  <c r="O210" i="3"/>
  <c r="N165" i="3"/>
  <c r="O213" i="3"/>
  <c r="N236" i="3"/>
  <c r="O171" i="3"/>
  <c r="M276" i="3"/>
  <c r="M263" i="3"/>
  <c r="O147" i="3"/>
  <c r="O199" i="3"/>
  <c r="N284" i="3"/>
  <c r="N255" i="3"/>
  <c r="N278" i="3"/>
  <c r="P278" i="3" s="1"/>
  <c r="O287" i="3"/>
  <c r="M279" i="3"/>
  <c r="M197" i="3"/>
  <c r="M195" i="3"/>
  <c r="O239" i="3"/>
  <c r="N199" i="3"/>
  <c r="N239" i="3"/>
  <c r="O223" i="3"/>
  <c r="O281" i="3"/>
  <c r="N213" i="3"/>
  <c r="O158" i="3"/>
  <c r="M202" i="3"/>
  <c r="O203" i="3"/>
  <c r="M232" i="3"/>
  <c r="M219" i="3"/>
  <c r="N218" i="3"/>
  <c r="N289" i="3"/>
  <c r="O148" i="3"/>
  <c r="N132" i="3"/>
  <c r="O140" i="3"/>
  <c r="O197" i="3"/>
  <c r="P197" i="3" s="1"/>
  <c r="O183" i="3"/>
  <c r="M248" i="3"/>
  <c r="M218" i="3"/>
  <c r="N263" i="3"/>
  <c r="M284" i="3"/>
  <c r="O264" i="3"/>
  <c r="M264" i="3"/>
  <c r="N264" i="3"/>
  <c r="M215" i="3"/>
  <c r="N215" i="3"/>
  <c r="O215" i="3"/>
  <c r="O290" i="3"/>
  <c r="M290" i="3"/>
  <c r="N290" i="3"/>
  <c r="M181" i="3"/>
  <c r="O200" i="3"/>
  <c r="O227" i="3"/>
  <c r="M254" i="3"/>
  <c r="M273" i="3"/>
  <c r="N286" i="3"/>
  <c r="O258" i="3"/>
  <c r="M258" i="3"/>
  <c r="N258" i="3"/>
  <c r="N209" i="3"/>
  <c r="O209" i="3"/>
  <c r="M209" i="3"/>
  <c r="O266" i="3"/>
  <c r="M266" i="3"/>
  <c r="N266" i="3"/>
  <c r="O250" i="3"/>
  <c r="N250" i="3"/>
  <c r="M250" i="3"/>
  <c r="M129" i="3"/>
  <c r="N242" i="3"/>
  <c r="N245" i="3"/>
  <c r="N226" i="3"/>
  <c r="N279" i="3"/>
  <c r="N270" i="3"/>
  <c r="P270" i="3" s="1"/>
  <c r="M289" i="3"/>
  <c r="N241" i="3"/>
  <c r="O241" i="3"/>
  <c r="M241" i="3"/>
  <c r="M233" i="3"/>
  <c r="O233" i="3"/>
  <c r="O155" i="3"/>
  <c r="M147" i="3"/>
  <c r="O243" i="3"/>
  <c r="M270" i="3"/>
  <c r="O289" i="3"/>
  <c r="O269" i="3"/>
  <c r="M269" i="3"/>
  <c r="N269" i="3"/>
  <c r="M226" i="3"/>
  <c r="M288" i="3"/>
  <c r="N288" i="3"/>
  <c r="O288" i="3"/>
  <c r="M162" i="3"/>
  <c r="O179" i="3"/>
  <c r="P179" i="3" s="1"/>
  <c r="N233" i="3"/>
  <c r="N217" i="3"/>
  <c r="M126" i="3"/>
  <c r="O187" i="3"/>
  <c r="M179" i="3"/>
  <c r="O198" i="3"/>
  <c r="M205" i="3"/>
  <c r="M238" i="3"/>
  <c r="N238" i="3"/>
  <c r="O238" i="3"/>
  <c r="O274" i="3"/>
  <c r="M274" i="3"/>
  <c r="N274" i="3"/>
  <c r="M285" i="3"/>
  <c r="N285" i="3"/>
  <c r="O285" i="3"/>
  <c r="N150" i="3"/>
  <c r="P150" i="3" s="1"/>
  <c r="O195" i="3"/>
  <c r="M208" i="3"/>
  <c r="O255" i="3"/>
  <c r="N257" i="3"/>
  <c r="P257" i="3" s="1"/>
  <c r="M281" i="3"/>
  <c r="N280" i="3"/>
  <c r="M280" i="3"/>
  <c r="O280" i="3"/>
  <c r="M259" i="3"/>
  <c r="N259" i="3"/>
  <c r="O259" i="3"/>
  <c r="M230" i="3"/>
  <c r="N230" i="3"/>
  <c r="O230" i="3"/>
  <c r="N227" i="3"/>
  <c r="N253" i="3"/>
  <c r="O253" i="3"/>
  <c r="M253" i="3"/>
  <c r="O252" i="3"/>
  <c r="M244" i="3"/>
  <c r="O244" i="3"/>
  <c r="N244" i="3"/>
  <c r="O214" i="3"/>
  <c r="P214" i="3" s="1"/>
  <c r="M214" i="3"/>
  <c r="M220" i="3"/>
  <c r="N220" i="3"/>
  <c r="O220" i="3"/>
  <c r="N148" i="3"/>
  <c r="O173" i="3"/>
  <c r="O245" i="3"/>
  <c r="N252" i="3"/>
  <c r="O282" i="3"/>
  <c r="M282" i="3"/>
  <c r="N282" i="3"/>
  <c r="N231" i="3"/>
  <c r="O231" i="3"/>
  <c r="M231" i="3"/>
  <c r="O189" i="3"/>
  <c r="O242" i="3"/>
  <c r="N243" i="3"/>
  <c r="N260" i="3"/>
  <c r="M246" i="3"/>
  <c r="N246" i="3"/>
  <c r="O246" i="3"/>
  <c r="O217" i="3"/>
  <c r="M268" i="3"/>
  <c r="O254" i="3"/>
  <c r="O273" i="3"/>
  <c r="O251" i="3"/>
  <c r="M251" i="3"/>
  <c r="N251" i="3"/>
  <c r="M287" i="3"/>
  <c r="M206" i="3"/>
  <c r="O206" i="3"/>
  <c r="P206" i="3" s="1"/>
  <c r="M121" i="3"/>
  <c r="O219" i="3"/>
  <c r="N271" i="3"/>
  <c r="M277" i="3"/>
  <c r="N277" i="3"/>
  <c r="O277" i="3"/>
  <c r="N228" i="3"/>
  <c r="M228" i="3"/>
  <c r="O228" i="3"/>
  <c r="M150" i="3"/>
  <c r="O181" i="3"/>
  <c r="P181" i="3" s="1"/>
  <c r="O190" i="3"/>
  <c r="N163" i="3"/>
  <c r="N211" i="3"/>
  <c r="O263" i="3"/>
  <c r="M257" i="3"/>
  <c r="N281" i="3"/>
  <c r="N225" i="3"/>
  <c r="O236" i="3"/>
  <c r="M236" i="3"/>
  <c r="M267" i="3"/>
  <c r="O267" i="3"/>
  <c r="N267" i="3"/>
  <c r="N158" i="3"/>
  <c r="M142" i="3"/>
  <c r="O191" i="3"/>
  <c r="M229" i="3"/>
  <c r="O271" i="3"/>
  <c r="M212" i="3"/>
  <c r="O212" i="3"/>
  <c r="M255" i="3"/>
  <c r="M283" i="3"/>
  <c r="O283" i="3"/>
  <c r="N283" i="3"/>
  <c r="O275" i="3"/>
  <c r="M203" i="3"/>
  <c r="N219" i="3"/>
  <c r="M237" i="3"/>
  <c r="O279" i="3"/>
  <c r="N207" i="3"/>
  <c r="O207" i="3"/>
  <c r="M207" i="3"/>
  <c r="N222" i="3"/>
  <c r="M222" i="3"/>
  <c r="O222" i="3"/>
  <c r="M256" i="3"/>
  <c r="N256" i="3"/>
  <c r="O256" i="3"/>
  <c r="M275" i="3"/>
  <c r="M261" i="3"/>
  <c r="N261" i="3"/>
  <c r="O261" i="3"/>
  <c r="N272" i="3"/>
  <c r="M272" i="3"/>
  <c r="O272" i="3"/>
  <c r="O260" i="3"/>
  <c r="O268" i="3"/>
  <c r="M260" i="3"/>
  <c r="N276" i="3"/>
  <c r="O276" i="3"/>
  <c r="M32" i="6"/>
  <c r="M36" i="6"/>
  <c r="M37" i="6"/>
  <c r="O134" i="3"/>
  <c r="N31" i="6"/>
  <c r="N29" i="6"/>
  <c r="N30" i="6"/>
  <c r="N28" i="6"/>
  <c r="O221" i="3"/>
  <c r="O240" i="3"/>
  <c r="N221" i="3"/>
  <c r="N237" i="3"/>
  <c r="N240" i="3"/>
  <c r="O232" i="3"/>
  <c r="O224" i="3"/>
  <c r="M38" i="6"/>
  <c r="O205" i="3"/>
  <c r="N232" i="3"/>
  <c r="N224" i="3"/>
  <c r="M42" i="6"/>
  <c r="N205" i="3"/>
  <c r="O229" i="3"/>
  <c r="N208" i="3"/>
  <c r="N248" i="3"/>
  <c r="N229" i="3"/>
  <c r="O156" i="3"/>
  <c r="N182" i="3"/>
  <c r="M182" i="3"/>
  <c r="M155" i="3"/>
  <c r="N142" i="3"/>
  <c r="O182" i="3"/>
  <c r="O175" i="3"/>
  <c r="O196" i="3"/>
  <c r="N196" i="3"/>
  <c r="M196" i="3"/>
  <c r="O178" i="3"/>
  <c r="N175" i="3"/>
  <c r="N190" i="3"/>
  <c r="M190" i="3"/>
  <c r="O184" i="3"/>
  <c r="N184" i="3"/>
  <c r="M184" i="3"/>
  <c r="N139" i="3"/>
  <c r="O129" i="3"/>
  <c r="N147" i="3"/>
  <c r="N156" i="3"/>
  <c r="N129" i="3"/>
  <c r="M171" i="3"/>
  <c r="N201" i="3"/>
  <c r="O201" i="3"/>
  <c r="M201" i="3"/>
  <c r="M200" i="3"/>
  <c r="N200" i="3"/>
  <c r="N193" i="3"/>
  <c r="M193" i="3"/>
  <c r="O193" i="3"/>
  <c r="O132" i="3"/>
  <c r="M156" i="3"/>
  <c r="O170" i="3"/>
  <c r="O186" i="3"/>
  <c r="O160" i="3"/>
  <c r="M160" i="3"/>
  <c r="N160" i="3"/>
  <c r="N134" i="3"/>
  <c r="M140" i="3"/>
  <c r="N189" i="3"/>
  <c r="N171" i="3"/>
  <c r="M183" i="3"/>
  <c r="M134" i="3"/>
  <c r="N183" i="3"/>
  <c r="N166" i="3"/>
  <c r="P166" i="3" s="1"/>
  <c r="M166" i="3"/>
  <c r="M177" i="3"/>
  <c r="N177" i="3"/>
  <c r="O177" i="3"/>
  <c r="N155" i="3"/>
  <c r="N187" i="3"/>
  <c r="M173" i="3"/>
  <c r="M161" i="3"/>
  <c r="N161" i="3"/>
  <c r="O161" i="3"/>
  <c r="M176" i="3"/>
  <c r="N176" i="3"/>
  <c r="P176" i="3" s="1"/>
  <c r="O204" i="3"/>
  <c r="M204" i="3"/>
  <c r="N204" i="3"/>
  <c r="N172" i="3"/>
  <c r="M172" i="3"/>
  <c r="O172" i="3"/>
  <c r="O121" i="3"/>
  <c r="M164" i="3"/>
  <c r="O164" i="3"/>
  <c r="N164" i="3"/>
  <c r="N198" i="3"/>
  <c r="M198" i="3"/>
  <c r="O188" i="3"/>
  <c r="M188" i="3"/>
  <c r="N188" i="3"/>
  <c r="M169" i="3"/>
  <c r="N169" i="3"/>
  <c r="O169" i="3"/>
  <c r="N185" i="3"/>
  <c r="O185" i="3"/>
  <c r="M185" i="3"/>
  <c r="M131" i="3"/>
  <c r="N137" i="3"/>
  <c r="N118" i="3"/>
  <c r="O180" i="3"/>
  <c r="M180" i="3"/>
  <c r="N180" i="3"/>
  <c r="O126" i="3"/>
  <c r="P126" i="3" s="1"/>
  <c r="O202" i="3"/>
  <c r="O192" i="3"/>
  <c r="N192" i="3"/>
  <c r="M192" i="3"/>
  <c r="O168" i="3"/>
  <c r="M168" i="3"/>
  <c r="N168" i="3"/>
  <c r="O162" i="3"/>
  <c r="N170" i="3"/>
  <c r="M170" i="3"/>
  <c r="M159" i="3"/>
  <c r="O159" i="3"/>
  <c r="M186" i="3"/>
  <c r="O194" i="3"/>
  <c r="N186" i="3"/>
  <c r="N194" i="3"/>
  <c r="N162" i="3"/>
  <c r="N178" i="3"/>
  <c r="M178" i="3"/>
  <c r="N202" i="3"/>
  <c r="N153" i="3"/>
  <c r="O127" i="3"/>
  <c r="M127" i="3"/>
  <c r="N127" i="3"/>
  <c r="O124" i="3"/>
  <c r="M146" i="3"/>
  <c r="N146" i="3"/>
  <c r="O146" i="3"/>
  <c r="M138" i="3"/>
  <c r="N138" i="3"/>
  <c r="O138" i="3"/>
  <c r="N133" i="3"/>
  <c r="O133" i="3"/>
  <c r="M133" i="3"/>
  <c r="O119" i="3"/>
  <c r="M119" i="3"/>
  <c r="N119" i="3"/>
  <c r="N123" i="3"/>
  <c r="M141" i="3"/>
  <c r="O141" i="3"/>
  <c r="N141" i="3"/>
  <c r="N124" i="3"/>
  <c r="O123" i="3"/>
  <c r="M128" i="3"/>
  <c r="N128" i="3"/>
  <c r="O128" i="3"/>
  <c r="O130" i="3"/>
  <c r="M130" i="3"/>
  <c r="N130" i="3"/>
  <c r="O139" i="3"/>
  <c r="M132" i="3"/>
  <c r="M122" i="3"/>
  <c r="N122" i="3"/>
  <c r="O122" i="3"/>
  <c r="M139" i="3"/>
  <c r="N154" i="3"/>
  <c r="O154" i="3"/>
  <c r="M154" i="3"/>
  <c r="O143" i="3"/>
  <c r="M143" i="3"/>
  <c r="N143" i="3"/>
  <c r="M137" i="3"/>
  <c r="N121" i="3"/>
  <c r="N136" i="3"/>
  <c r="O136" i="3"/>
  <c r="M136" i="3"/>
  <c r="M157" i="3"/>
  <c r="N157" i="3"/>
  <c r="O157" i="3"/>
  <c r="M135" i="3"/>
  <c r="N135" i="3"/>
  <c r="P135" i="3" s="1"/>
  <c r="N144" i="3"/>
  <c r="M144" i="3"/>
  <c r="O144" i="3"/>
  <c r="N140" i="3"/>
  <c r="O118" i="3"/>
  <c r="N131" i="3"/>
  <c r="P131" i="3" s="1"/>
  <c r="N125" i="3"/>
  <c r="M125" i="3"/>
  <c r="O125" i="3"/>
  <c r="O151" i="3"/>
  <c r="M151" i="3"/>
  <c r="N151" i="3"/>
  <c r="M120" i="3"/>
  <c r="N120" i="3"/>
  <c r="O120" i="3"/>
  <c r="N152" i="3"/>
  <c r="O152" i="3"/>
  <c r="M152" i="3"/>
  <c r="N145" i="3"/>
  <c r="M149" i="3"/>
  <c r="N149" i="3"/>
  <c r="O149" i="3"/>
  <c r="O145" i="3"/>
  <c r="M145" i="3"/>
  <c r="O153" i="3"/>
  <c r="O137" i="3"/>
  <c r="M153" i="3"/>
  <c r="O97" i="3"/>
  <c r="L15" i="6"/>
  <c r="L4" i="6"/>
  <c r="L2" i="6"/>
  <c r="L3" i="6"/>
  <c r="L16" i="6"/>
  <c r="L17" i="6"/>
  <c r="M18" i="6"/>
  <c r="N17" i="6"/>
  <c r="N14" i="6"/>
  <c r="N15" i="6"/>
  <c r="O55" i="3"/>
  <c r="N54" i="3"/>
  <c r="N70" i="3"/>
  <c r="L7" i="6"/>
  <c r="O115" i="3"/>
  <c r="M110" i="3"/>
  <c r="L8" i="6"/>
  <c r="L10" i="6"/>
  <c r="M11" i="6"/>
  <c r="M106" i="3"/>
  <c r="N97" i="3"/>
  <c r="M89" i="3"/>
  <c r="L19" i="6"/>
  <c r="M12" i="6"/>
  <c r="M70" i="3"/>
  <c r="N75" i="3"/>
  <c r="L6" i="6"/>
  <c r="M14" i="6"/>
  <c r="L9" i="6"/>
  <c r="N48" i="3"/>
  <c r="N51" i="3"/>
  <c r="L13" i="6"/>
  <c r="N19" i="6"/>
  <c r="N18" i="6"/>
  <c r="O102" i="3"/>
  <c r="O54" i="3"/>
  <c r="M54" i="3"/>
  <c r="M87" i="3"/>
  <c r="O51" i="3"/>
  <c r="M83" i="3"/>
  <c r="O71" i="3"/>
  <c r="M55" i="3"/>
  <c r="M114" i="3"/>
  <c r="N71" i="3"/>
  <c r="M78" i="3"/>
  <c r="O70" i="3"/>
  <c r="O47" i="3"/>
  <c r="N55" i="3"/>
  <c r="N106" i="3"/>
  <c r="M113" i="3"/>
  <c r="N87" i="3"/>
  <c r="N102" i="3"/>
  <c r="O94" i="3"/>
  <c r="O63" i="3"/>
  <c r="N86" i="3"/>
  <c r="N67" i="3"/>
  <c r="N90" i="3"/>
  <c r="M67" i="3"/>
  <c r="N49" i="3"/>
  <c r="O87" i="3"/>
  <c r="N83" i="3"/>
  <c r="O46" i="3"/>
  <c r="O86" i="3"/>
  <c r="M86" i="3"/>
  <c r="N110" i="3"/>
  <c r="N62" i="3"/>
  <c r="N114" i="3"/>
  <c r="O75" i="3"/>
  <c r="N63" i="3"/>
  <c r="O62" i="3"/>
  <c r="O110" i="3"/>
  <c r="M97" i="3"/>
  <c r="M75" i="3"/>
  <c r="M79" i="3"/>
  <c r="M99" i="3"/>
  <c r="O91" i="3"/>
  <c r="O105" i="3"/>
  <c r="O56" i="3"/>
  <c r="M71" i="3"/>
  <c r="M90" i="3"/>
  <c r="N46" i="3"/>
  <c r="N99" i="3"/>
  <c r="M46" i="3"/>
  <c r="O99" i="3"/>
  <c r="N79" i="3"/>
  <c r="M102" i="3"/>
  <c r="O67" i="3"/>
  <c r="M63" i="3"/>
  <c r="N113" i="3"/>
  <c r="N105" i="3"/>
  <c r="O79" i="3"/>
  <c r="N47" i="3"/>
  <c r="N94" i="3"/>
  <c r="M107" i="3"/>
  <c r="M115" i="3"/>
  <c r="O59" i="3"/>
  <c r="O98" i="3"/>
  <c r="O107" i="3"/>
  <c r="O113" i="3"/>
  <c r="O116" i="3"/>
  <c r="N116" i="3"/>
  <c r="M116" i="3"/>
  <c r="N107" i="3"/>
  <c r="O92" i="3"/>
  <c r="N92" i="3"/>
  <c r="M92" i="3"/>
  <c r="N78" i="3"/>
  <c r="N59" i="3"/>
  <c r="M59" i="3"/>
  <c r="O78" i="3"/>
  <c r="M56" i="3"/>
  <c r="N56" i="3"/>
  <c r="N115" i="3"/>
  <c r="M105" i="3"/>
  <c r="N98" i="3"/>
  <c r="O90" i="3"/>
  <c r="M91" i="3"/>
  <c r="O108" i="3"/>
  <c r="N108" i="3"/>
  <c r="M108" i="3"/>
  <c r="M49" i="3"/>
  <c r="M47" i="3"/>
  <c r="N91" i="3"/>
  <c r="O114" i="3"/>
  <c r="M94" i="3"/>
  <c r="M51" i="3"/>
  <c r="M98" i="3"/>
  <c r="O83" i="3"/>
  <c r="O100" i="3"/>
  <c r="N100" i="3"/>
  <c r="M100" i="3"/>
  <c r="O89" i="3"/>
  <c r="P89" i="3" s="1"/>
  <c r="O106" i="3"/>
  <c r="O104" i="3"/>
  <c r="N104" i="3"/>
  <c r="M104" i="3"/>
  <c r="O88" i="3"/>
  <c r="N88" i="3"/>
  <c r="M88" i="3"/>
  <c r="N111" i="3"/>
  <c r="M111" i="3"/>
  <c r="O111" i="3"/>
  <c r="N103" i="3"/>
  <c r="M103" i="3"/>
  <c r="O103" i="3"/>
  <c r="N95" i="3"/>
  <c r="M95" i="3"/>
  <c r="O95" i="3"/>
  <c r="O117" i="3"/>
  <c r="N117" i="3"/>
  <c r="M117" i="3"/>
  <c r="O109" i="3"/>
  <c r="N109" i="3"/>
  <c r="M109" i="3"/>
  <c r="O101" i="3"/>
  <c r="N101" i="3"/>
  <c r="M101" i="3"/>
  <c r="O93" i="3"/>
  <c r="N93" i="3"/>
  <c r="M93" i="3"/>
  <c r="O112" i="3"/>
  <c r="N112" i="3"/>
  <c r="M112" i="3"/>
  <c r="O96" i="3"/>
  <c r="N96" i="3"/>
  <c r="M96" i="3"/>
  <c r="N65" i="3"/>
  <c r="M65" i="3"/>
  <c r="O65" i="3"/>
  <c r="O77" i="3"/>
  <c r="N77" i="3"/>
  <c r="M77" i="3"/>
  <c r="O69" i="3"/>
  <c r="N69" i="3"/>
  <c r="M69" i="3"/>
  <c r="O64" i="3"/>
  <c r="N64" i="3"/>
  <c r="M64" i="3"/>
  <c r="O76" i="3"/>
  <c r="N76" i="3"/>
  <c r="M76" i="3"/>
  <c r="O68" i="3"/>
  <c r="N68" i="3"/>
  <c r="M68" i="3"/>
  <c r="O53" i="3"/>
  <c r="N53" i="3"/>
  <c r="M53" i="3"/>
  <c r="M48" i="3"/>
  <c r="O52" i="3"/>
  <c r="N52" i="3"/>
  <c r="M52" i="3"/>
  <c r="O48" i="3"/>
  <c r="O60" i="3"/>
  <c r="N60" i="3"/>
  <c r="M60" i="3"/>
  <c r="O82" i="3"/>
  <c r="N82" i="3"/>
  <c r="M82" i="3"/>
  <c r="O49" i="3"/>
  <c r="N73" i="3"/>
  <c r="M73" i="3"/>
  <c r="O73" i="3"/>
  <c r="O74" i="3"/>
  <c r="N74" i="3"/>
  <c r="M74" i="3"/>
  <c r="O61" i="3"/>
  <c r="N61" i="3"/>
  <c r="M61" i="3"/>
  <c r="N66" i="3"/>
  <c r="O66" i="3"/>
  <c r="M66" i="3"/>
  <c r="N57" i="3"/>
  <c r="M57" i="3"/>
  <c r="O57" i="3"/>
  <c r="N58" i="3"/>
  <c r="O58" i="3"/>
  <c r="M58" i="3"/>
  <c r="O80" i="3"/>
  <c r="N80" i="3"/>
  <c r="M80" i="3"/>
  <c r="O85" i="3"/>
  <c r="N85" i="3"/>
  <c r="M85" i="3"/>
  <c r="N50" i="3"/>
  <c r="O50" i="3"/>
  <c r="M50" i="3"/>
  <c r="O84" i="3"/>
  <c r="N84" i="3"/>
  <c r="M84" i="3"/>
  <c r="O45" i="3"/>
  <c r="N45" i="3"/>
  <c r="M45" i="3"/>
  <c r="O72" i="3"/>
  <c r="N72" i="3"/>
  <c r="M72" i="3"/>
  <c r="N81" i="3"/>
  <c r="M81" i="3"/>
  <c r="O81" i="3"/>
  <c r="N2" i="3"/>
  <c r="N22" i="3"/>
  <c r="N31" i="3"/>
  <c r="O31" i="3"/>
  <c r="M31" i="3"/>
  <c r="M5" i="3"/>
  <c r="N5" i="3"/>
  <c r="O5" i="3"/>
  <c r="O15" i="3"/>
  <c r="N15" i="3"/>
  <c r="M15" i="3"/>
  <c r="M17" i="3"/>
  <c r="O17" i="3"/>
  <c r="N17" i="3"/>
  <c r="N44" i="3"/>
  <c r="M44" i="3"/>
  <c r="O44" i="3"/>
  <c r="M11" i="3"/>
  <c r="O11" i="3"/>
  <c r="N11" i="3"/>
  <c r="N23" i="3"/>
  <c r="M23" i="3"/>
  <c r="O23" i="3"/>
  <c r="M18" i="3"/>
  <c r="O18" i="3"/>
  <c r="N18" i="3"/>
  <c r="M13" i="3"/>
  <c r="N13" i="3"/>
  <c r="O13" i="3"/>
  <c r="O21" i="3"/>
  <c r="M21" i="3"/>
  <c r="N21" i="3"/>
  <c r="O9" i="3"/>
  <c r="M9" i="3"/>
  <c r="N9" i="3"/>
  <c r="O29" i="3"/>
  <c r="M29" i="3"/>
  <c r="N29" i="3"/>
  <c r="M37" i="3"/>
  <c r="N37" i="3"/>
  <c r="O37" i="3"/>
  <c r="O12" i="3"/>
  <c r="M12" i="3"/>
  <c r="N14" i="3"/>
  <c r="M14" i="3"/>
  <c r="O14" i="3"/>
  <c r="M34" i="3"/>
  <c r="N34" i="3"/>
  <c r="O34" i="3"/>
  <c r="M22" i="3"/>
  <c r="N25" i="3"/>
  <c r="O25" i="3"/>
  <c r="M25" i="3"/>
  <c r="M33" i="3"/>
  <c r="N33" i="3"/>
  <c r="O33" i="3"/>
  <c r="N41" i="3"/>
  <c r="O41" i="3"/>
  <c r="M41" i="3"/>
  <c r="O7" i="3"/>
  <c r="M7" i="3"/>
  <c r="N7" i="3"/>
  <c r="O27" i="3"/>
  <c r="M27" i="3"/>
  <c r="N27" i="3"/>
  <c r="O39" i="3"/>
  <c r="N39" i="3"/>
  <c r="M39" i="3"/>
  <c r="O26" i="3"/>
  <c r="M26" i="3"/>
  <c r="N26" i="3"/>
  <c r="N12" i="3"/>
  <c r="M8" i="3"/>
  <c r="N8" i="3"/>
  <c r="O8" i="3"/>
  <c r="O6" i="3"/>
  <c r="N6" i="3"/>
  <c r="M6" i="3"/>
  <c r="O19" i="3"/>
  <c r="M19" i="3"/>
  <c r="N19" i="3"/>
  <c r="M10" i="3"/>
  <c r="O10" i="3"/>
  <c r="N10" i="3"/>
  <c r="N20" i="3"/>
  <c r="O20" i="3"/>
  <c r="M20" i="3"/>
  <c r="M28" i="3"/>
  <c r="N28" i="3"/>
  <c r="O28" i="3"/>
  <c r="N30" i="3"/>
  <c r="O30" i="3"/>
  <c r="M30" i="3"/>
  <c r="O35" i="3"/>
  <c r="M35" i="3"/>
  <c r="N35" i="3"/>
  <c r="O40" i="3"/>
  <c r="M40" i="3"/>
  <c r="N40" i="3"/>
  <c r="M42" i="3"/>
  <c r="O42" i="3"/>
  <c r="N42" i="3"/>
  <c r="M2" i="3"/>
  <c r="O2" i="3"/>
  <c r="O24" i="3"/>
  <c r="N24" i="3"/>
  <c r="M24" i="3"/>
  <c r="N3" i="3"/>
  <c r="M3" i="3"/>
  <c r="O3" i="3"/>
  <c r="O22" i="3"/>
  <c r="N4" i="3"/>
  <c r="M4" i="3"/>
  <c r="O4" i="3"/>
  <c r="N43" i="3"/>
  <c r="M43" i="3"/>
  <c r="O43" i="3"/>
  <c r="O36" i="3"/>
  <c r="M36" i="3"/>
  <c r="N36" i="3"/>
  <c r="N38" i="3"/>
  <c r="O38" i="3"/>
  <c r="M38" i="3"/>
  <c r="M32" i="3"/>
  <c r="N32" i="3"/>
  <c r="O32" i="3"/>
  <c r="M16" i="3"/>
  <c r="N16" i="3"/>
  <c r="O16" i="3"/>
  <c r="P618" i="3" l="1"/>
  <c r="P581" i="3"/>
  <c r="P444" i="3"/>
  <c r="P499" i="3"/>
  <c r="P550" i="3"/>
  <c r="P564" i="3"/>
  <c r="P610" i="3"/>
  <c r="P566" i="3"/>
  <c r="P601" i="3"/>
  <c r="P572" i="3"/>
  <c r="P560" i="3"/>
  <c r="P591" i="3"/>
  <c r="P508" i="3"/>
  <c r="P592" i="3"/>
  <c r="P496" i="3"/>
  <c r="P574" i="3"/>
  <c r="P611" i="3"/>
  <c r="P612" i="3"/>
  <c r="P584" i="3"/>
  <c r="P580" i="3"/>
  <c r="P596" i="3"/>
  <c r="P583" i="3"/>
  <c r="P586" i="3"/>
  <c r="P607" i="3"/>
  <c r="P615" i="3"/>
  <c r="P620" i="3"/>
  <c r="P478" i="3"/>
  <c r="P554" i="3"/>
  <c r="P249" i="3"/>
  <c r="P473" i="3"/>
  <c r="P533" i="3"/>
  <c r="P543" i="3"/>
  <c r="P484" i="3"/>
  <c r="P526" i="3"/>
  <c r="P521" i="3"/>
  <c r="P454" i="3"/>
  <c r="P532" i="3"/>
  <c r="P481" i="3"/>
  <c r="P513" i="3"/>
  <c r="P529" i="3"/>
  <c r="P547" i="3"/>
  <c r="P442" i="3"/>
  <c r="P451" i="3"/>
  <c r="P492" i="3"/>
  <c r="P538" i="3"/>
  <c r="P539" i="3"/>
  <c r="P570" i="3"/>
  <c r="P558" i="3"/>
  <c r="P569" i="3"/>
  <c r="P541" i="3"/>
  <c r="P578" i="3"/>
  <c r="P561" i="3"/>
  <c r="P553" i="3"/>
  <c r="P563" i="3"/>
  <c r="P505" i="3"/>
  <c r="P527" i="3"/>
  <c r="P524" i="3"/>
  <c r="P522" i="3"/>
  <c r="P495" i="3"/>
  <c r="P510" i="3"/>
  <c r="P536" i="3"/>
  <c r="P531" i="3"/>
  <c r="P504" i="3"/>
  <c r="P509" i="3"/>
  <c r="P528" i="3"/>
  <c r="P520" i="3"/>
  <c r="P517" i="3"/>
  <c r="P523" i="3"/>
  <c r="P497" i="3"/>
  <c r="P493" i="3"/>
  <c r="P498" i="3"/>
  <c r="P519" i="3"/>
  <c r="P501" i="3"/>
  <c r="P512" i="3"/>
  <c r="P525" i="3"/>
  <c r="P506" i="3"/>
  <c r="P511" i="3"/>
  <c r="P530" i="3"/>
  <c r="P401" i="3"/>
  <c r="P430" i="3"/>
  <c r="P320" i="3"/>
  <c r="P437" i="3"/>
  <c r="P456" i="3"/>
  <c r="P467" i="3"/>
  <c r="P334" i="3"/>
  <c r="P369" i="3"/>
  <c r="P480" i="3"/>
  <c r="P482" i="3"/>
  <c r="P457" i="3"/>
  <c r="P397" i="3"/>
  <c r="P387" i="3"/>
  <c r="P374" i="3"/>
  <c r="P443" i="3"/>
  <c r="P464" i="3"/>
  <c r="P472" i="3"/>
  <c r="P417" i="3"/>
  <c r="P367" i="3"/>
  <c r="P394" i="3"/>
  <c r="P460" i="3"/>
  <c r="P487" i="3"/>
  <c r="P429" i="3"/>
  <c r="P448" i="3"/>
  <c r="P462" i="3"/>
  <c r="P409" i="3"/>
  <c r="P477" i="3"/>
  <c r="P471" i="3"/>
  <c r="P474" i="3"/>
  <c r="P479" i="3"/>
  <c r="P475" i="3"/>
  <c r="P459" i="3"/>
  <c r="P461" i="3"/>
  <c r="P468" i="3"/>
  <c r="P490" i="3"/>
  <c r="P476" i="3"/>
  <c r="P455" i="3"/>
  <c r="P466" i="3"/>
  <c r="P469" i="3"/>
  <c r="P485" i="3"/>
  <c r="P147" i="3"/>
  <c r="P325" i="3"/>
  <c r="P414" i="3"/>
  <c r="P362" i="3"/>
  <c r="P330" i="3"/>
  <c r="P375" i="3"/>
  <c r="P167" i="3"/>
  <c r="P333" i="3"/>
  <c r="P426" i="3"/>
  <c r="P393" i="3"/>
  <c r="P248" i="3"/>
  <c r="P371" i="3"/>
  <c r="P412" i="3"/>
  <c r="P310" i="3"/>
  <c r="P380" i="3"/>
  <c r="P422" i="3"/>
  <c r="P372" i="3"/>
  <c r="P410" i="3"/>
  <c r="P440" i="3"/>
  <c r="P435" i="3"/>
  <c r="P385" i="3"/>
  <c r="P298" i="3"/>
  <c r="P399" i="3"/>
  <c r="P439" i="3"/>
  <c r="P174" i="3"/>
  <c r="P337" i="3"/>
  <c r="P247" i="3"/>
  <c r="P421" i="3"/>
  <c r="P262" i="3"/>
  <c r="P377" i="3"/>
  <c r="P297" i="3"/>
  <c r="P449" i="3"/>
  <c r="P441" i="3"/>
  <c r="P275" i="3"/>
  <c r="P355" i="3"/>
  <c r="P407" i="3"/>
  <c r="P210" i="3"/>
  <c r="P329" i="3"/>
  <c r="P370" i="3"/>
  <c r="P386" i="3"/>
  <c r="P296" i="3"/>
  <c r="P343" i="3"/>
  <c r="P327" i="3"/>
  <c r="P352" i="3"/>
  <c r="P389" i="3"/>
  <c r="P314" i="3"/>
  <c r="P331" i="3"/>
  <c r="P408" i="3"/>
  <c r="P419" i="3"/>
  <c r="P418" i="3"/>
  <c r="P218" i="3"/>
  <c r="P293" i="3"/>
  <c r="P432" i="3"/>
  <c r="P420" i="3"/>
  <c r="P322" i="3"/>
  <c r="P433" i="3"/>
  <c r="P215" i="3"/>
  <c r="P348" i="3"/>
  <c r="P376" i="3"/>
  <c r="P405" i="3"/>
  <c r="P428" i="3"/>
  <c r="P163" i="3"/>
  <c r="P431" i="3"/>
  <c r="P208" i="3"/>
  <c r="P363" i="3"/>
  <c r="P378" i="3"/>
  <c r="P427" i="3"/>
  <c r="P425" i="3"/>
  <c r="P453" i="3"/>
  <c r="P436" i="3"/>
  <c r="P423" i="3"/>
  <c r="P447" i="3"/>
  <c r="P434" i="3"/>
  <c r="P445" i="3"/>
  <c r="P415" i="3"/>
  <c r="P446" i="3"/>
  <c r="P416" i="3"/>
  <c r="P452" i="3"/>
  <c r="P424" i="3"/>
  <c r="P360" i="3"/>
  <c r="P379" i="3"/>
  <c r="P411" i="3"/>
  <c r="P400" i="3"/>
  <c r="P284" i="3"/>
  <c r="P406" i="3"/>
  <c r="P398" i="3"/>
  <c r="P396" i="3"/>
  <c r="P384" i="3"/>
  <c r="P382" i="3"/>
  <c r="P234" i="3"/>
  <c r="P212" i="3"/>
  <c r="P317" i="3"/>
  <c r="P332" i="3"/>
  <c r="P318" i="3"/>
  <c r="P312" i="3"/>
  <c r="P306" i="3"/>
  <c r="P402" i="3"/>
  <c r="P142" i="3"/>
  <c r="P226" i="3"/>
  <c r="P342" i="3"/>
  <c r="P361" i="3"/>
  <c r="P395" i="3"/>
  <c r="P268" i="3"/>
  <c r="P365" i="3"/>
  <c r="P404" i="3"/>
  <c r="P383" i="3"/>
  <c r="P373" i="3"/>
  <c r="P413" i="3"/>
  <c r="P403" i="3"/>
  <c r="P391" i="3"/>
  <c r="P381" i="3"/>
  <c r="P392" i="3"/>
  <c r="P388" i="3"/>
  <c r="P350" i="3"/>
  <c r="P211" i="3"/>
  <c r="P316" i="3"/>
  <c r="P203" i="3"/>
  <c r="P223" i="3"/>
  <c r="P311" i="3"/>
  <c r="P307" i="3"/>
  <c r="P351" i="3"/>
  <c r="P321" i="3"/>
  <c r="P358" i="3"/>
  <c r="P339" i="3"/>
  <c r="P282" i="3"/>
  <c r="P305" i="3"/>
  <c r="P301" i="3"/>
  <c r="P368" i="3"/>
  <c r="P255" i="3"/>
  <c r="P250" i="3"/>
  <c r="P258" i="3"/>
  <c r="P292" i="3"/>
  <c r="P235" i="3"/>
  <c r="P328" i="3"/>
  <c r="P287" i="3"/>
  <c r="P273" i="3"/>
  <c r="P191" i="3"/>
  <c r="P195" i="3"/>
  <c r="P159" i="3"/>
  <c r="P340" i="3"/>
  <c r="P336" i="3"/>
  <c r="P345" i="3"/>
  <c r="P346" i="3"/>
  <c r="P286" i="3"/>
  <c r="P236" i="3"/>
  <c r="P291" i="3"/>
  <c r="P239" i="3"/>
  <c r="P227" i="3"/>
  <c r="P199" i="3"/>
  <c r="P357" i="3"/>
  <c r="P349" i="3"/>
  <c r="P341" i="3"/>
  <c r="P354" i="3"/>
  <c r="P344" i="3"/>
  <c r="P364" i="3"/>
  <c r="P353" i="3"/>
  <c r="P338" i="3"/>
  <c r="P366" i="3"/>
  <c r="P347" i="3"/>
  <c r="P356" i="3"/>
  <c r="P213" i="3"/>
  <c r="P165" i="3"/>
  <c r="P254" i="3"/>
  <c r="P260" i="3"/>
  <c r="P158" i="3"/>
  <c r="P173" i="3"/>
  <c r="P264" i="3"/>
  <c r="P265" i="3"/>
  <c r="P237" i="3"/>
  <c r="P269" i="3"/>
  <c r="P313" i="3"/>
  <c r="P217" i="3"/>
  <c r="P290" i="3"/>
  <c r="P233" i="3"/>
  <c r="P266" i="3"/>
  <c r="P148" i="3"/>
  <c r="P315" i="3"/>
  <c r="P309" i="3"/>
  <c r="P252" i="3"/>
  <c r="P225" i="3"/>
  <c r="P244" i="3"/>
  <c r="P319" i="3"/>
  <c r="P302" i="3"/>
  <c r="P295" i="3"/>
  <c r="P303" i="3"/>
  <c r="P323" i="3"/>
  <c r="P308" i="3"/>
  <c r="P324" i="3"/>
  <c r="P300" i="3"/>
  <c r="P294" i="3"/>
  <c r="P304" i="3"/>
  <c r="P259" i="3"/>
  <c r="P281" i="3"/>
  <c r="P279" i="3"/>
  <c r="P200" i="3"/>
  <c r="P289" i="3"/>
  <c r="P245" i="3"/>
  <c r="P251" i="3"/>
  <c r="P209" i="3"/>
  <c r="P171" i="3"/>
  <c r="P271" i="3"/>
  <c r="P155" i="3"/>
  <c r="P140" i="3"/>
  <c r="P242" i="3"/>
  <c r="P219" i="3"/>
  <c r="P55" i="3"/>
  <c r="P132" i="3"/>
  <c r="P243" i="3"/>
  <c r="P183" i="3"/>
  <c r="P241" i="3"/>
  <c r="P263" i="3"/>
  <c r="P267" i="3"/>
  <c r="P228" i="3"/>
  <c r="P253" i="3"/>
  <c r="P189" i="3"/>
  <c r="P256" i="3"/>
  <c r="P238" i="3"/>
  <c r="P280" i="3"/>
  <c r="P272" i="3"/>
  <c r="P277" i="3"/>
  <c r="P246" i="3"/>
  <c r="P285" i="3"/>
  <c r="P190" i="3"/>
  <c r="P207" i="3"/>
  <c r="P198" i="3"/>
  <c r="P230" i="3"/>
  <c r="P231" i="3"/>
  <c r="P222" i="3"/>
  <c r="P187" i="3"/>
  <c r="P261" i="3"/>
  <c r="P274" i="3"/>
  <c r="P288" i="3"/>
  <c r="P283" i="3"/>
  <c r="P220" i="3"/>
  <c r="P276" i="3"/>
  <c r="P134" i="3"/>
  <c r="P240" i="3"/>
  <c r="P221" i="3"/>
  <c r="P188" i="3"/>
  <c r="P124" i="3"/>
  <c r="P186" i="3"/>
  <c r="P196" i="3"/>
  <c r="P229" i="3"/>
  <c r="P119" i="3"/>
  <c r="P118" i="3"/>
  <c r="P194" i="3"/>
  <c r="P192" i="3"/>
  <c r="P224" i="3"/>
  <c r="P204" i="3"/>
  <c r="P232" i="3"/>
  <c r="P205" i="3"/>
  <c r="P180" i="3"/>
  <c r="P156" i="3"/>
  <c r="P70" i="3"/>
  <c r="P139" i="3"/>
  <c r="P129" i="3"/>
  <c r="P184" i="3"/>
  <c r="P175" i="3"/>
  <c r="P137" i="3"/>
  <c r="P127" i="3"/>
  <c r="P160" i="3"/>
  <c r="P164" i="3"/>
  <c r="P182" i="3"/>
  <c r="P153" i="3"/>
  <c r="P170" i="3"/>
  <c r="P130" i="3"/>
  <c r="P172" i="3"/>
  <c r="P121" i="3"/>
  <c r="P162" i="3"/>
  <c r="P201" i="3"/>
  <c r="P154" i="3"/>
  <c r="P161" i="3"/>
  <c r="P157" i="3"/>
  <c r="P185" i="3"/>
  <c r="P169" i="3"/>
  <c r="P149" i="3"/>
  <c r="P193" i="3"/>
  <c r="P202" i="3"/>
  <c r="P177" i="3"/>
  <c r="P97" i="3"/>
  <c r="P178" i="3"/>
  <c r="P168" i="3"/>
  <c r="P133" i="3"/>
  <c r="P143" i="3"/>
  <c r="P128" i="3"/>
  <c r="P138" i="3"/>
  <c r="P125" i="3"/>
  <c r="P146" i="3"/>
  <c r="P141" i="3"/>
  <c r="P54" i="3"/>
  <c r="P144" i="3"/>
  <c r="P152" i="3"/>
  <c r="P123" i="3"/>
  <c r="P120" i="3"/>
  <c r="P122" i="3"/>
  <c r="P136" i="3"/>
  <c r="P151" i="3"/>
  <c r="P145" i="3"/>
  <c r="P51" i="3"/>
  <c r="P48" i="3"/>
  <c r="P115" i="3"/>
  <c r="P75" i="3"/>
  <c r="P102" i="3"/>
  <c r="P67" i="3"/>
  <c r="P91" i="3"/>
  <c r="P71" i="3"/>
  <c r="P93" i="3"/>
  <c r="P83" i="3"/>
  <c r="P56" i="3"/>
  <c r="P46" i="3"/>
  <c r="P109" i="3"/>
  <c r="P92" i="3"/>
  <c r="P63" i="3"/>
  <c r="P88" i="3"/>
  <c r="P105" i="3"/>
  <c r="P106" i="3"/>
  <c r="P62" i="3"/>
  <c r="P90" i="3"/>
  <c r="P98" i="3"/>
  <c r="P100" i="3"/>
  <c r="P87" i="3"/>
  <c r="P110" i="3"/>
  <c r="P86" i="3"/>
  <c r="P94" i="3"/>
  <c r="P49" i="3"/>
  <c r="P47" i="3"/>
  <c r="P78" i="3"/>
  <c r="P101" i="3"/>
  <c r="P114" i="3"/>
  <c r="P79" i="3"/>
  <c r="P59" i="3"/>
  <c r="P117" i="3"/>
  <c r="P108" i="3"/>
  <c r="P107" i="3"/>
  <c r="P2" i="3"/>
  <c r="P84" i="3"/>
  <c r="P112" i="3"/>
  <c r="P113" i="3"/>
  <c r="P99" i="3"/>
  <c r="P104" i="3"/>
  <c r="P116" i="3"/>
  <c r="P95" i="3"/>
  <c r="P103" i="3"/>
  <c r="P111" i="3"/>
  <c r="P96" i="3"/>
  <c r="P53" i="3"/>
  <c r="P77" i="3"/>
  <c r="P82" i="3"/>
  <c r="P60" i="3"/>
  <c r="P76" i="3"/>
  <c r="P74" i="3"/>
  <c r="P52" i="3"/>
  <c r="P72" i="3"/>
  <c r="P68" i="3"/>
  <c r="P50" i="3"/>
  <c r="P66" i="3"/>
  <c r="P22" i="3"/>
  <c r="P61" i="3"/>
  <c r="P85" i="3"/>
  <c r="P64" i="3"/>
  <c r="P69" i="3"/>
  <c r="P45" i="3"/>
  <c r="P81" i="3"/>
  <c r="P80" i="3"/>
  <c r="P65" i="3"/>
  <c r="P57" i="3"/>
  <c r="P73" i="3"/>
  <c r="P58" i="3"/>
  <c r="P7" i="3"/>
  <c r="P36" i="3"/>
  <c r="P19" i="3"/>
  <c r="P27" i="3"/>
  <c r="P35" i="3"/>
  <c r="P21" i="3"/>
  <c r="P26" i="3"/>
  <c r="P17" i="3"/>
  <c r="P24" i="3"/>
  <c r="P15" i="3"/>
  <c r="P6" i="3"/>
  <c r="P18" i="3"/>
  <c r="P4" i="3"/>
  <c r="P20" i="3"/>
  <c r="P43" i="3"/>
  <c r="P10" i="3"/>
  <c r="P16" i="3"/>
  <c r="P34" i="3"/>
  <c r="P44" i="3"/>
  <c r="P32" i="3"/>
  <c r="P3" i="3"/>
  <c r="P14" i="3"/>
  <c r="P13" i="3"/>
  <c r="P30" i="3"/>
  <c r="P38" i="3"/>
  <c r="P8" i="3"/>
  <c r="P28" i="3"/>
  <c r="P41" i="3"/>
  <c r="P12" i="3"/>
  <c r="P37" i="3"/>
  <c r="P33" i="3"/>
  <c r="P5" i="3"/>
  <c r="P42" i="3"/>
  <c r="P29" i="3"/>
  <c r="P11" i="3"/>
  <c r="P23" i="3"/>
  <c r="P40" i="3"/>
  <c r="P39" i="3"/>
  <c r="P25" i="3"/>
  <c r="P9" i="3"/>
  <c r="P31" i="3"/>
</calcChain>
</file>

<file path=xl/sharedStrings.xml><?xml version="1.0" encoding="utf-8"?>
<sst xmlns="http://schemas.openxmlformats.org/spreadsheetml/2006/main" count="4288" uniqueCount="791">
  <si>
    <t>CBF</t>
  </si>
  <si>
    <t>Fabricio</t>
  </si>
  <si>
    <t>Andre Penalva</t>
  </si>
  <si>
    <t>Negueba</t>
  </si>
  <si>
    <t>Felipinho</t>
  </si>
  <si>
    <t>Felipe Macena</t>
  </si>
  <si>
    <t>Lussandro</t>
  </si>
  <si>
    <t>Café</t>
  </si>
  <si>
    <t>Redson</t>
  </si>
  <si>
    <t>Max Maraba</t>
  </si>
  <si>
    <t>Pedro Zuccolo</t>
  </si>
  <si>
    <t>Xinayder</t>
  </si>
  <si>
    <t>Ruan</t>
  </si>
  <si>
    <t>Eduardo</t>
  </si>
  <si>
    <t>Fabio</t>
  </si>
  <si>
    <t>Cavi</t>
  </si>
  <si>
    <t>Nº</t>
  </si>
  <si>
    <t>Apelido</t>
  </si>
  <si>
    <t>Nome Completo</t>
  </si>
  <si>
    <t>T/R</t>
  </si>
  <si>
    <t>P/A</t>
  </si>
  <si>
    <t>Jr Conceiç ...</t>
  </si>
  <si>
    <t>Paulo Cesar Ferreira ...</t>
  </si>
  <si>
    <t>T(g)</t>
  </si>
  <si>
    <t>P</t>
  </si>
  <si>
    <t>Fabricio Conceicao S ...</t>
  </si>
  <si>
    <t>T</t>
  </si>
  <si>
    <t>Andre Lucas Matos Ga ...</t>
  </si>
  <si>
    <t>FELIPE</t>
  </si>
  <si>
    <t>Jose Felipe Almeida  ...</t>
  </si>
  <si>
    <t>Jeferson P ...</t>
  </si>
  <si>
    <t>Jeferson Daniel Pril ...</t>
  </si>
  <si>
    <t>Robson Piedade de Je ...</t>
  </si>
  <si>
    <t>Felipe dos Santos Fr ...</t>
  </si>
  <si>
    <t>Felipe de Souza Mace ...</t>
  </si>
  <si>
    <t>José Lussandro Souz ...</t>
  </si>
  <si>
    <t>Henrique S ...</t>
  </si>
  <si>
    <t>Jose Henrique Noguei ...</t>
  </si>
  <si>
    <t>Luis Felipe Firmino  ...</t>
  </si>
  <si>
    <t>Redson Travassos da  ...</t>
  </si>
  <si>
    <t>R(g)</t>
  </si>
  <si>
    <t>Maxilley do Nascimen ...</t>
  </si>
  <si>
    <t>R</t>
  </si>
  <si>
    <t>Raylson</t>
  </si>
  <si>
    <t>Raylson Ferreira Rib ...</t>
  </si>
  <si>
    <t>CARLOS</t>
  </si>
  <si>
    <t>Carlos Henrique Sant ...</t>
  </si>
  <si>
    <t>ADRIAN</t>
  </si>
  <si>
    <t>Adrian Sousa Oliveira</t>
  </si>
  <si>
    <t>Pedro Cardillofilho  ...</t>
  </si>
  <si>
    <t>Rhuan Xinayder Cruz  ...</t>
  </si>
  <si>
    <t>WYLDSON</t>
  </si>
  <si>
    <t>Wyldson Mateus Araú ...</t>
  </si>
  <si>
    <t>Ruan Eloy Salazar</t>
  </si>
  <si>
    <t>WESLEY CO</t>
  </si>
  <si>
    <t>Wesley Henrique Carv ...</t>
  </si>
  <si>
    <t>A</t>
  </si>
  <si>
    <t>Junior</t>
  </si>
  <si>
    <t>Sandys Junior Coelho ...</t>
  </si>
  <si>
    <t>ALAN</t>
  </si>
  <si>
    <t>Alan Silva da Costa</t>
  </si>
  <si>
    <t>JÔ</t>
  </si>
  <si>
    <t>Joshua de Souza Ribe ...</t>
  </si>
  <si>
    <t>Eduardo Henrique Sil ...</t>
  </si>
  <si>
    <t>Fabio Aguiar da Silva</t>
  </si>
  <si>
    <t>Carlos Vinicius de A ...</t>
  </si>
  <si>
    <t>Thiago Rosa</t>
  </si>
  <si>
    <t>Thiago Rosa da Conce ...</t>
  </si>
  <si>
    <t>JOÃO LENGE</t>
  </si>
  <si>
    <t>João Henrique Lenger</t>
  </si>
  <si>
    <t>Isaias</t>
  </si>
  <si>
    <t>Isaias dos Santos Vi ...</t>
  </si>
  <si>
    <t>Alan James</t>
  </si>
  <si>
    <t>Alan James Lins Barb ...</t>
  </si>
  <si>
    <t>STENCE</t>
  </si>
  <si>
    <t>Alan Matheus Stence</t>
  </si>
  <si>
    <t>Wendell</t>
  </si>
  <si>
    <t>Wendell Silva Santos ...</t>
  </si>
  <si>
    <t>Rhuan</t>
  </si>
  <si>
    <t>Rhuan dos Santos Nas ...</t>
  </si>
  <si>
    <t>GALVÃO</t>
  </si>
  <si>
    <t>Mateus Vieira Santos ...</t>
  </si>
  <si>
    <t>Ray</t>
  </si>
  <si>
    <t>Ray Cardoso Gomes</t>
  </si>
  <si>
    <t>Jairzinho</t>
  </si>
  <si>
    <t>Jair da Cruz Pilar</t>
  </si>
  <si>
    <t>Dimas</t>
  </si>
  <si>
    <t>Dimas Rafael Sousa d ...</t>
  </si>
  <si>
    <t>L7</t>
  </si>
  <si>
    <t>Lucas Guilherme Sant ...</t>
  </si>
  <si>
    <t>Bruno Matos</t>
  </si>
  <si>
    <t>Bruno Oliveira de Ma ...</t>
  </si>
  <si>
    <t>Thiago</t>
  </si>
  <si>
    <t>Thiago de Morais de  ...</t>
  </si>
  <si>
    <t>JARDSON</t>
  </si>
  <si>
    <t>Jardson de Jesus Mag ...</t>
  </si>
  <si>
    <t>ADRIANO</t>
  </si>
  <si>
    <t>Adriano dos Santos R ...</t>
  </si>
  <si>
    <t>Time</t>
  </si>
  <si>
    <t>Total</t>
  </si>
  <si>
    <t>Tempo</t>
  </si>
  <si>
    <t>1T/2T</t>
  </si>
  <si>
    <t>Equipe</t>
  </si>
  <si>
    <t>Entrou</t>
  </si>
  <si>
    <t>Saiu</t>
  </si>
  <si>
    <t>00:00</t>
  </si>
  <si>
    <t>INT</t>
  </si>
  <si>
    <t>Imperatriz - MA</t>
  </si>
  <si>
    <t>19 - Wyldson Mateus Araújo de Lima</t>
  </si>
  <si>
    <t>10 - Jose Henrique Nogueira da Si...</t>
  </si>
  <si>
    <t>13:00</t>
  </si>
  <si>
    <t>2T</t>
  </si>
  <si>
    <t>21 - Wesley Henrique Carvalho Costa</t>
  </si>
  <si>
    <t>11 - Luis Felipe Firmino Antonio</t>
  </si>
  <si>
    <t>27:00</t>
  </si>
  <si>
    <t>22 - Sandys Junior Coelho da Silva</t>
  </si>
  <si>
    <t>9 - José Lussandro Souza Pereir...</t>
  </si>
  <si>
    <t>17 - Pedro Cardillofilho Zuccolo ...</t>
  </si>
  <si>
    <t>5 - Jeferson Daniel Prill Levkov...</t>
  </si>
  <si>
    <t>40:00</t>
  </si>
  <si>
    <t>20 - Ruan Eloy Salazar</t>
  </si>
  <si>
    <t>7 - Felipe dos Santos Freitas</t>
  </si>
  <si>
    <t>Sampaio Corrêa - MA</t>
  </si>
  <si>
    <t>19 - Thiago de Morais de Souza</t>
  </si>
  <si>
    <t>7 - João Henrique Lenger</t>
  </si>
  <si>
    <t>18 - Bruno Oliveira de Matos</t>
  </si>
  <si>
    <t>10 - Alan Matheus Stence</t>
  </si>
  <si>
    <t>15 - Jair da Cruz Pilar</t>
  </si>
  <si>
    <t>6 - Thiago Rosa da Conceicao</t>
  </si>
  <si>
    <t>21 - Adriano dos Santos Rodrigues</t>
  </si>
  <si>
    <t>11 - Wendell Silva Santos dos San...</t>
  </si>
  <si>
    <t>41:00</t>
  </si>
  <si>
    <t>17 - Lucas Guilherme Santana Silva</t>
  </si>
  <si>
    <t>9 - Alan James Lins Barbosa</t>
  </si>
  <si>
    <t>Jogo</t>
  </si>
  <si>
    <t>1 T</t>
  </si>
  <si>
    <t>2 T</t>
  </si>
  <si>
    <t>Jogador concat</t>
  </si>
  <si>
    <t>Jogador Entrou</t>
  </si>
  <si>
    <t>Jogador Saiu</t>
  </si>
  <si>
    <t>Tempo troca</t>
  </si>
  <si>
    <t>1T</t>
  </si>
  <si>
    <t>1T ENTRADA</t>
  </si>
  <si>
    <t>2T ENTRADA</t>
  </si>
  <si>
    <t>Time Casa</t>
  </si>
  <si>
    <t>Time Fora</t>
  </si>
  <si>
    <t>CBF Entrou</t>
  </si>
  <si>
    <t>CBF Saiu</t>
  </si>
  <si>
    <t>Tempo Número</t>
  </si>
  <si>
    <t>1T SAIU</t>
  </si>
  <si>
    <t>2T SAIU</t>
  </si>
  <si>
    <t>Substituicao entrada</t>
  </si>
  <si>
    <t>Substuituicao saida</t>
  </si>
  <si>
    <t>Arbitro</t>
  </si>
  <si>
    <t>Paulo Jose Souza Mourao</t>
  </si>
  <si>
    <t>35:00</t>
  </si>
  <si>
    <t>31:00</t>
  </si>
  <si>
    <t>Adriano dos Santos Rodrigues</t>
  </si>
  <si>
    <t>Nome do Jogador</t>
  </si>
  <si>
    <t>43:00</t>
  </si>
  <si>
    <t>Wyldson Mateus Araújo de Lima</t>
  </si>
  <si>
    <t>Amarelo</t>
  </si>
  <si>
    <t>Jogador</t>
  </si>
  <si>
    <t>Tempo Jogado</t>
  </si>
  <si>
    <t>Chave cartoes</t>
  </si>
  <si>
    <t>Data</t>
  </si>
  <si>
    <t>Confronto</t>
  </si>
  <si>
    <t>11.01.2025</t>
  </si>
  <si>
    <t>Partidas</t>
  </si>
  <si>
    <t>Vermelho</t>
  </si>
  <si>
    <t>Mayron Frederico dos Reis Novais</t>
  </si>
  <si>
    <t>12.01.2025</t>
  </si>
  <si>
    <t>Allan</t>
  </si>
  <si>
    <t>Allan Thiago Luiz</t>
  </si>
  <si>
    <t>Vitor</t>
  </si>
  <si>
    <t>Vitor Francisco dos  ...</t>
  </si>
  <si>
    <t>Yan</t>
  </si>
  <si>
    <t>Yan Cristian Silva d ...</t>
  </si>
  <si>
    <t>Mauricio</t>
  </si>
  <si>
    <t>Mauricio Pinto</t>
  </si>
  <si>
    <t>Felipe Dias</t>
  </si>
  <si>
    <t>Felipe dos Santos Di ...</t>
  </si>
  <si>
    <t>GUSTAVO</t>
  </si>
  <si>
    <t>Gustavo Rodrigues do ...</t>
  </si>
  <si>
    <t>Gustavo</t>
  </si>
  <si>
    <t>Luis Gustavo Santos</t>
  </si>
  <si>
    <t>Lucas</t>
  </si>
  <si>
    <t>Lucas Gomes Vieira</t>
  </si>
  <si>
    <t>Bolinha</t>
  </si>
  <si>
    <t>Willyan Diogo Silva</t>
  </si>
  <si>
    <t>DANILO PIRE</t>
  </si>
  <si>
    <t>Danilo Pires Costa</t>
  </si>
  <si>
    <t>Danilo</t>
  </si>
  <si>
    <t>Danilo Perassolli da ...</t>
  </si>
  <si>
    <t>Douglas</t>
  </si>
  <si>
    <t>Douglas Henrique dos ...</t>
  </si>
  <si>
    <t>Jeferson</t>
  </si>
  <si>
    <t>Jeferson Bruno Lima  ...</t>
  </si>
  <si>
    <t>Mauricio G ...</t>
  </si>
  <si>
    <t>Mauricio Gabriel Cha ...</t>
  </si>
  <si>
    <t>Matheus Silva</t>
  </si>
  <si>
    <t>Matheus dos Santos S ...</t>
  </si>
  <si>
    <t>Wesley</t>
  </si>
  <si>
    <t>Wesley Aparecido de  ...</t>
  </si>
  <si>
    <t>LEANDERSO</t>
  </si>
  <si>
    <t>Leanderson Alves Fer ...</t>
  </si>
  <si>
    <t>Warllem</t>
  </si>
  <si>
    <t>Warllem Mateus Gato  ...</t>
  </si>
  <si>
    <t>Paulo Renato</t>
  </si>
  <si>
    <t>Paulo Renato Pereira ...</t>
  </si>
  <si>
    <t>MATHEUS</t>
  </si>
  <si>
    <t>Matheus Wladymir Fre ...</t>
  </si>
  <si>
    <t>Vanilton</t>
  </si>
  <si>
    <t>Vanilton de Jesus Fr ...</t>
  </si>
  <si>
    <t>Jean</t>
  </si>
  <si>
    <t>Jean de Melo Pereira</t>
  </si>
  <si>
    <t>Franklin</t>
  </si>
  <si>
    <t>Franklin Gomes de So ...</t>
  </si>
  <si>
    <t>Luiz Fernando</t>
  </si>
  <si>
    <t>Luis Fernando Nascim ...</t>
  </si>
  <si>
    <t>Maicon</t>
  </si>
  <si>
    <t>Maicon Martins Rodri ...</t>
  </si>
  <si>
    <t>Rodrigo Co ...</t>
  </si>
  <si>
    <t>Rodrigo dos Santos C ...</t>
  </si>
  <si>
    <t>Andre</t>
  </si>
  <si>
    <t>Andre Luiz da Concei ...</t>
  </si>
  <si>
    <t>Railson</t>
  </si>
  <si>
    <t>Railson Carvalho dos ...</t>
  </si>
  <si>
    <t>loro</t>
  </si>
  <si>
    <t>Clessione Santos Sil ...</t>
  </si>
  <si>
    <t>Jorge Rocha</t>
  </si>
  <si>
    <t>Jorge Wanderson da S ...</t>
  </si>
  <si>
    <t>Ryan</t>
  </si>
  <si>
    <t>Ryan Aparecido Lima  ...</t>
  </si>
  <si>
    <t>Jerry</t>
  </si>
  <si>
    <t>Jerry dos Santos Ven ...</t>
  </si>
  <si>
    <t>Victor</t>
  </si>
  <si>
    <t>Victor Guilherme Mot ...</t>
  </si>
  <si>
    <t>GUILHERME</t>
  </si>
  <si>
    <t>Guilherme Anjos Melo</t>
  </si>
  <si>
    <t>IGOR</t>
  </si>
  <si>
    <t>Jose Igor Nunes Lima</t>
  </si>
  <si>
    <t>Julio Nasc ...</t>
  </si>
  <si>
    <t>Julio Andre Avelino  ...</t>
  </si>
  <si>
    <t>EDSON</t>
  </si>
  <si>
    <t>Edson Fernando Diniz ...</t>
  </si>
  <si>
    <t>Gabriel</t>
  </si>
  <si>
    <t>Carlos Gabriel Gonca ...</t>
  </si>
  <si>
    <t>MARCOS</t>
  </si>
  <si>
    <t>Marcos Alexandre Oli ...</t>
  </si>
  <si>
    <t>LUCAS</t>
  </si>
  <si>
    <t>Lucas Faustino Campos</t>
  </si>
  <si>
    <t>Emerson Fr ...</t>
  </si>
  <si>
    <t>Emerson Freitas dos  ...</t>
  </si>
  <si>
    <t>Mikeias</t>
  </si>
  <si>
    <t>Mikeias Araujo Pache ...</t>
  </si>
  <si>
    <t>Diego Cant ...</t>
  </si>
  <si>
    <t>Diego Sousa Cantanhe ...</t>
  </si>
  <si>
    <r>
      <rPr>
        <sz val="8"/>
        <rFont val="Arial MT"/>
        <family val="2"/>
      </rPr>
      <t>05:00</t>
    </r>
  </si>
  <si>
    <t>Danilo Perassolli da Cruz Albuquerque</t>
  </si>
  <si>
    <t>Maranhão - MA</t>
  </si>
  <si>
    <t>14 - Julio Andre Avelino do Nasci...</t>
  </si>
  <si>
    <t>11 - Ryan Aparecido Lima Cassiano</t>
  </si>
  <si>
    <t>19 - Emerson Freitas dos Anjos</t>
  </si>
  <si>
    <t>10 - Jorge Wanderson da Silva Rocha</t>
  </si>
  <si>
    <t>18 - Lucas Faustino Campos</t>
  </si>
  <si>
    <t>8 - Railson Carvalho dos Santos</t>
  </si>
  <si>
    <t>20 - Mikeias Araujo Pacheco de Lima</t>
  </si>
  <si>
    <t>22 - Jerry dos Santos Venceslau</t>
  </si>
  <si>
    <t>23:00</t>
  </si>
  <si>
    <t>13 - Jose Igor Nunes Lima</t>
  </si>
  <si>
    <t>2 - Franklin Gomes de Sousa</t>
  </si>
  <si>
    <t>15:00</t>
  </si>
  <si>
    <t>Moto Club - MA</t>
  </si>
  <si>
    <t>19 - Warllem Mateus Gato de Azevedo</t>
  </si>
  <si>
    <t>10 - Danilo Pires Costa</t>
  </si>
  <si>
    <t>15 - Mauricio Gabriel Chaves dos ...</t>
  </si>
  <si>
    <t>9 - Willyan Diogo Silva</t>
  </si>
  <si>
    <t>20:00</t>
  </si>
  <si>
    <t>16 - Matheus dos Santos Silva</t>
  </si>
  <si>
    <t>6 - Gustavo Rodrigues dos Santos</t>
  </si>
  <si>
    <t>24:00</t>
  </si>
  <si>
    <t>17 - Wesley Aparecido de Souza</t>
  </si>
  <si>
    <t>3 - Yan Cristian Silva do Carmo</t>
  </si>
  <si>
    <t>20 - Paulo Renato Pereira Dias</t>
  </si>
  <si>
    <t>8 - Lucas Gomes Vieira</t>
  </si>
  <si>
    <t>Clessione Santos Silva</t>
  </si>
  <si>
    <r>
      <rPr>
        <sz val="8"/>
        <rFont val="Arial MT"/>
        <family val="2"/>
      </rPr>
      <t>28:00</t>
    </r>
  </si>
  <si>
    <r>
      <rPr>
        <sz val="8"/>
        <rFont val="Arial MT"/>
        <family val="2"/>
      </rPr>
      <t>43:00</t>
    </r>
  </si>
  <si>
    <r>
      <rPr>
        <sz val="8"/>
        <rFont val="Arial MT"/>
        <family val="2"/>
      </rPr>
      <t>26:00</t>
    </r>
  </si>
  <si>
    <r>
      <rPr>
        <sz val="8"/>
        <rFont val="Arial MT"/>
        <family val="2"/>
      </rPr>
      <t>22:00</t>
    </r>
  </si>
  <si>
    <r>
      <rPr>
        <sz val="8"/>
        <rFont val="Arial MT"/>
        <family val="2"/>
      </rPr>
      <t>29:00</t>
    </r>
  </si>
  <si>
    <t>Paulo Renato Pereira Dias</t>
  </si>
  <si>
    <t>Felipe dos Santos Dias</t>
  </si>
  <si>
    <t>Ryan Aparecido Lima Cassiano</t>
  </si>
  <si>
    <t>Franklin Gomes de Sousa</t>
  </si>
  <si>
    <t>Luis Fernando Nascimento Macedo</t>
  </si>
  <si>
    <t>PJ</t>
  </si>
  <si>
    <t>Rodrigo dos Santos Correia - Maranhão</t>
  </si>
  <si>
    <t>Edson Fernando Diniz Santos Junior - Maranhão</t>
  </si>
  <si>
    <t>Marcos Vinicius Muniz Teixeira</t>
  </si>
  <si>
    <t>Mateus</t>
  </si>
  <si>
    <t>Mateus Sousa Machado</t>
  </si>
  <si>
    <t>Italo</t>
  </si>
  <si>
    <t>Italo Roberto Sousa  ...</t>
  </si>
  <si>
    <t>Henrique</t>
  </si>
  <si>
    <t>Henrique Colombo Soa ...</t>
  </si>
  <si>
    <t>Rikelmmer</t>
  </si>
  <si>
    <t>Rikelmmer Willemen d ...</t>
  </si>
  <si>
    <t>Rayandeson</t>
  </si>
  <si>
    <t>Rayandeson Ribeiro F ...</t>
  </si>
  <si>
    <t>Gabriel da Silva Mat ...</t>
  </si>
  <si>
    <t>FRANCISCO</t>
  </si>
  <si>
    <t>Francisco Silva E Si ...</t>
  </si>
  <si>
    <t>Tulio</t>
  </si>
  <si>
    <t>Tulio Gabriel Teixei ...</t>
  </si>
  <si>
    <t>Cleber</t>
  </si>
  <si>
    <t>Cleber Nilson Pereir ...</t>
  </si>
  <si>
    <t>Neto</t>
  </si>
  <si>
    <t>Benony Ribeiro Neto</t>
  </si>
  <si>
    <t>Joao Pedro</t>
  </si>
  <si>
    <t>João Pedro de Sousa ...</t>
  </si>
  <si>
    <t>LUAN</t>
  </si>
  <si>
    <t>Luan Sousa Silva</t>
  </si>
  <si>
    <t>Aldomir</t>
  </si>
  <si>
    <t>Aldomir Carlos Sodre ...</t>
  </si>
  <si>
    <t>Igor Mineiro</t>
  </si>
  <si>
    <t>Igor Rangel Lima Min ...</t>
  </si>
  <si>
    <t>George</t>
  </si>
  <si>
    <t>George Miguel da Cos ...</t>
  </si>
  <si>
    <t>Jean Felipe Penha Si ...</t>
  </si>
  <si>
    <t>KAYKY</t>
  </si>
  <si>
    <t>Kayky Pereira dos Sa ...</t>
  </si>
  <si>
    <t>BASTICO</t>
  </si>
  <si>
    <t>Niemisson Mendonça  ...</t>
  </si>
  <si>
    <t>Saulo</t>
  </si>
  <si>
    <t>Saulo Araujo Fontes</t>
  </si>
  <si>
    <t>ARTHUR CAR</t>
  </si>
  <si>
    <t>Arthur Cardial Soares</t>
  </si>
  <si>
    <t>Brener Bessa</t>
  </si>
  <si>
    <t>Brener Bessa Bezerra ...</t>
  </si>
  <si>
    <t>LUIZ HENRIQ</t>
  </si>
  <si>
    <t>Luiz Henrique Macena ...</t>
  </si>
  <si>
    <t>RIQUELME</t>
  </si>
  <si>
    <t>Riquelme Gabriel Per ...</t>
  </si>
  <si>
    <t>Leleu</t>
  </si>
  <si>
    <t>Denilson Alves de Ol ...</t>
  </si>
  <si>
    <t>Thiago Pereira Magal ...</t>
  </si>
  <si>
    <t>Julio</t>
  </si>
  <si>
    <t>Julio Cesar do Nasci ...</t>
  </si>
  <si>
    <t>Lucas Ramos</t>
  </si>
  <si>
    <t>Lucas Correa Ramos</t>
  </si>
  <si>
    <t>Anderson Thiago Nune ...</t>
  </si>
  <si>
    <t>ARIEL</t>
  </si>
  <si>
    <t>Ariel Robert da Silv ...</t>
  </si>
  <si>
    <t>PAULO</t>
  </si>
  <si>
    <t>Paulo Guilherme Oliv ...</t>
  </si>
  <si>
    <t>38:00</t>
  </si>
  <si>
    <t>Gabriel da Silva Matias</t>
  </si>
  <si>
    <t>28:00</t>
  </si>
  <si>
    <t>Italo Roberto Sousa Soares</t>
  </si>
  <si>
    <t>14:00</t>
  </si>
  <si>
    <t>21:00</t>
  </si>
  <si>
    <t>Luiz Henrique Macena de Moura</t>
  </si>
  <si>
    <t>34:00</t>
  </si>
  <si>
    <t>Paulo Guilherme Oliveira Mouzinho</t>
  </si>
  <si>
    <t>Denilson Alves de Oliveira</t>
  </si>
  <si>
    <t>25:00</t>
  </si>
  <si>
    <t>Pinheiro - MA</t>
  </si>
  <si>
    <t>18 - Niemisson Mendonça Pinheiro</t>
  </si>
  <si>
    <t>11 - João Pedro de Sousa Fonseca...</t>
  </si>
  <si>
    <t>32:00</t>
  </si>
  <si>
    <t>13 - Aldomir Carlos Sodre Souza J...</t>
  </si>
  <si>
    <t>7 - Francisco Silva E Silva</t>
  </si>
  <si>
    <t>17 - Kayky Pereira dos Santos Gomes</t>
  </si>
  <si>
    <t>9 - Cleber Nilson Pereira Rodrig...</t>
  </si>
  <si>
    <t>15 - George Miguel da Costa Garcia</t>
  </si>
  <si>
    <t>6 - Gabriel da Silva Matias</t>
  </si>
  <si>
    <t>42:00</t>
  </si>
  <si>
    <t>14 - Igor Rangel Lima Mineiro</t>
  </si>
  <si>
    <t>2 - Italo Roberto Sousa Soares</t>
  </si>
  <si>
    <t>Viana - MA</t>
  </si>
  <si>
    <t>13 - Paulo Guilherme Oliveira Mou...</t>
  </si>
  <si>
    <t>8 - Julio Cesar do Nascimento Ol...</t>
  </si>
  <si>
    <t>Maykon Matos Nunes</t>
  </si>
  <si>
    <t>15.01.2025</t>
  </si>
  <si>
    <t>IAPE - MA</t>
  </si>
  <si>
    <t>Jose Henrique de Azevedo Junior</t>
  </si>
  <si>
    <t>Tuntum - MA</t>
  </si>
  <si>
    <t>Roberto Santos As</t>
  </si>
  <si>
    <t>DANILO</t>
  </si>
  <si>
    <t>Danilo Ramos Pereira</t>
  </si>
  <si>
    <t>ANDERSON</t>
  </si>
  <si>
    <t>Antonio Anderson Bri ...</t>
  </si>
  <si>
    <t>Vinicius</t>
  </si>
  <si>
    <t>Vinicius Torres dos  ...</t>
  </si>
  <si>
    <t>30:00</t>
  </si>
  <si>
    <t>Henrique Colombo Soares</t>
  </si>
  <si>
    <t>+01:00</t>
  </si>
  <si>
    <t>Niemisson Mendonça Pinheiro</t>
  </si>
  <si>
    <t>Mikeias Araujo Pacheco de Lima</t>
  </si>
  <si>
    <t>Emerson Freitas dos Anjos</t>
  </si>
  <si>
    <t>+03:00</t>
  </si>
  <si>
    <t>Jerry dos Santos Venceslau</t>
  </si>
  <si>
    <t>17:00</t>
  </si>
  <si>
    <t>10 - Benony Ribeiro Neto</t>
  </si>
  <si>
    <t>7 - Guilherme Anjos Melo</t>
  </si>
  <si>
    <t>18 - Jorge Wanderson da Silva Rocha</t>
  </si>
  <si>
    <t>8 - Lucas Faustino Campos</t>
  </si>
  <si>
    <t>4 - Maicon Martins Rodrigues</t>
  </si>
  <si>
    <t>19 - Diego Sousa Cantanhede</t>
  </si>
  <si>
    <t>10 - Emerson Freitas dos Anjos</t>
  </si>
  <si>
    <t>Iape - MA</t>
  </si>
  <si>
    <t>8 - George Maykon Loureiro Moraes</t>
  </si>
  <si>
    <t>11 - Gleyson da Conceição Silva</t>
  </si>
  <si>
    <t>14 - Victor Manoel Santos de Lima</t>
  </si>
  <si>
    <t>7 - Jhonnatan Guimaraes Saraiva ...</t>
  </si>
  <si>
    <t>10:00</t>
  </si>
  <si>
    <t>22 - Paulo Victor de Souza Ferreira</t>
  </si>
  <si>
    <t>25 - Cosmo Henrique Fonseca da Co...</t>
  </si>
  <si>
    <t>16:00</t>
  </si>
  <si>
    <t>17 - Joelberth Pereira Cruz</t>
  </si>
  <si>
    <t>9 - Erivelton Martins Silva dos ...</t>
  </si>
  <si>
    <t>20 - Paulo Victor Silva Monroe</t>
  </si>
  <si>
    <t>10 - Eloir Silva Moreira</t>
  </si>
  <si>
    <t>23 - Douglas Martins da Silva</t>
  </si>
  <si>
    <t>17 - Wendell Silva Santos dos San...</t>
  </si>
  <si>
    <t>11 - Anderson Wanderllan de Morae...</t>
  </si>
  <si>
    <t>7 - Thiago de Morais de Souza</t>
  </si>
  <si>
    <t>33:00</t>
  </si>
  <si>
    <t>8 - Isaias dos Santos Vieira</t>
  </si>
  <si>
    <t>19 - Lucas Guilherme Santana Silva</t>
  </si>
  <si>
    <t>Wenderson</t>
  </si>
  <si>
    <t>Wenderson Alves Mafra</t>
  </si>
  <si>
    <t>Patrick</t>
  </si>
  <si>
    <t>Patrick Gentil Sodre ...</t>
  </si>
  <si>
    <t>Denilson</t>
  </si>
  <si>
    <t>Denilson Santos Sousa</t>
  </si>
  <si>
    <t>Iuri</t>
  </si>
  <si>
    <t>Marcos Iuri Silva E  ...</t>
  </si>
  <si>
    <t>Carioca</t>
  </si>
  <si>
    <t>Romullo de Jesus Pen ...</t>
  </si>
  <si>
    <t>Jhonnatan</t>
  </si>
  <si>
    <t>Jhonnatan Guimaraes  ...</t>
  </si>
  <si>
    <t>Erivelton</t>
  </si>
  <si>
    <t>Erivelton Martins Si ...</t>
  </si>
  <si>
    <t>Eloir</t>
  </si>
  <si>
    <t>Eloir Silva Moreira</t>
  </si>
  <si>
    <t>Gleyson</t>
  </si>
  <si>
    <t>Gleyson da Conceiç? ...</t>
  </si>
  <si>
    <t>Guilherme</t>
  </si>
  <si>
    <t>Guilherme Souza Rocha</t>
  </si>
  <si>
    <t>Cosmo Henrique Fonse ...</t>
  </si>
  <si>
    <t>KENNEDY</t>
  </si>
  <si>
    <t>Claudyson Kennedy de ...</t>
  </si>
  <si>
    <t>Pablo</t>
  </si>
  <si>
    <t>Pablo Carlos da Silv ...</t>
  </si>
  <si>
    <t>Maykon</t>
  </si>
  <si>
    <t>George Maykon Lourei ...</t>
  </si>
  <si>
    <t>Emerson</t>
  </si>
  <si>
    <t>Emerson Renan Azeved ...</t>
  </si>
  <si>
    <t>VITAO</t>
  </si>
  <si>
    <t>Victor Manoel Santos ...</t>
  </si>
  <si>
    <t>Nathan</t>
  </si>
  <si>
    <t>Wilian Nathan Gaspar ...</t>
  </si>
  <si>
    <t>Jojo</t>
  </si>
  <si>
    <t>Joelberth Pereira Cr ...</t>
  </si>
  <si>
    <t>EDU</t>
  </si>
  <si>
    <t>Eduardo da Silva Fer ...</t>
  </si>
  <si>
    <t>ESQUERDIN</t>
  </si>
  <si>
    <t>Lawanderson Kawan Ri ...</t>
  </si>
  <si>
    <t>Paulo Victor</t>
  </si>
  <si>
    <t>Paulo Victor Silva M ...</t>
  </si>
  <si>
    <t>Kaio Camara</t>
  </si>
  <si>
    <t>Kaio Henrique Borges ...</t>
  </si>
  <si>
    <t>Paulo Victor de Souz ...</t>
  </si>
  <si>
    <t>Pimentinha</t>
  </si>
  <si>
    <t>Anderson Wanderllan  ...</t>
  </si>
  <si>
    <t>Elivelton</t>
  </si>
  <si>
    <t>Elivelton Semeao da  ...</t>
  </si>
  <si>
    <t>BACURAU</t>
  </si>
  <si>
    <t>Antonio de Jesus da  ...</t>
  </si>
  <si>
    <t>Dodô</t>
  </si>
  <si>
    <t>Douglas Martins da S ...</t>
  </si>
  <si>
    <t>26:00</t>
  </si>
  <si>
    <t>Paulo Victor de Souza Ferreira</t>
  </si>
  <si>
    <t>22:00</t>
  </si>
  <si>
    <t>12 - Carlos Daniel Mendes</t>
  </si>
  <si>
    <t>1 - Francisco das Chagas Sousa d...</t>
  </si>
  <si>
    <t>19 - Elias Carlos Silva E Silva</t>
  </si>
  <si>
    <t>9 - Nycollas Jammys Pereira Buce...</t>
  </si>
  <si>
    <t>20 - Renan Vieira da Silva</t>
  </si>
  <si>
    <t>8 - Victor Viana de Moraes</t>
  </si>
  <si>
    <t>13 - Gabriel de Freita dos Reis</t>
  </si>
  <si>
    <t>2 - Francisco Lima Silva</t>
  </si>
  <si>
    <t>21 - Wanderson Carlos de Sousa</t>
  </si>
  <si>
    <t>10 - Cassio Bruno Ibiapino Carvalho</t>
  </si>
  <si>
    <t>19 - Luis Felipe Firmino Antonio</t>
  </si>
  <si>
    <t>11 - Wyldson Mateus Araújo de Lima</t>
  </si>
  <si>
    <t>18 - Rafael Santiago Goncalves</t>
  </si>
  <si>
    <t>16 - Gleidson Henrique Soares Gomes</t>
  </si>
  <si>
    <t>8 - Felipe de Souza Macena</t>
  </si>
  <si>
    <t>15 - Carlos Henrique Santos da Si...</t>
  </si>
  <si>
    <t>Nycollas Jammys Pereira Buceles</t>
  </si>
  <si>
    <t>45:00</t>
  </si>
  <si>
    <t>Cassio Bruno Ibiapino Carvalho</t>
  </si>
  <si>
    <t>08:00</t>
  </si>
  <si>
    <t>Matheus Lima Martins</t>
  </si>
  <si>
    <t>Robson Mauricio Moura Ferreira</t>
  </si>
  <si>
    <t>Francisco Jeovane de Sousa Camelo</t>
  </si>
  <si>
    <t>Andre Lucas Matos Gama</t>
  </si>
  <si>
    <t>04:00</t>
  </si>
  <si>
    <t>Jose Henrique Nogueira da Silva</t>
  </si>
  <si>
    <t>Felipe de Souza Macena</t>
  </si>
  <si>
    <t>37:00</t>
  </si>
  <si>
    <t>Sandys Junior Coelho da Silva</t>
  </si>
  <si>
    <t>+02:00</t>
  </si>
  <si>
    <t>Paulo Cesar Ferreira de Brito Junior</t>
  </si>
  <si>
    <t>Carlos Henrique Santos da Silva</t>
  </si>
  <si>
    <t>Francisco  ...</t>
  </si>
  <si>
    <t>Francisco das Chagas ...</t>
  </si>
  <si>
    <t>Francisco</t>
  </si>
  <si>
    <t>Francisco Lima Silva</t>
  </si>
  <si>
    <t>João Victor</t>
  </si>
  <si>
    <t>João Victor do Nasc ...</t>
  </si>
  <si>
    <t>Robinho</t>
  </si>
  <si>
    <t>Robson Mauricio Mour ...</t>
  </si>
  <si>
    <t>LEANDRO</t>
  </si>
  <si>
    <t>Leandro Aguiar Araujo</t>
  </si>
  <si>
    <t>Matheus Lima</t>
  </si>
  <si>
    <t>Neto Maran ...</t>
  </si>
  <si>
    <t>Luis Ferreira Lima N ...</t>
  </si>
  <si>
    <t>VICTOR</t>
  </si>
  <si>
    <t>Victor Viana de Mora ...</t>
  </si>
  <si>
    <t>Nycollas</t>
  </si>
  <si>
    <t>Nycollas Jammys Pere ...</t>
  </si>
  <si>
    <t>Cassio</t>
  </si>
  <si>
    <t>Cassio Bruno Ibiapin ...</t>
  </si>
  <si>
    <t>Adrian</t>
  </si>
  <si>
    <t>Adrian de Sousa Silva</t>
  </si>
  <si>
    <t>DANIEL MEN</t>
  </si>
  <si>
    <t>Carlos Daniel Mendes</t>
  </si>
  <si>
    <t>PARÁ</t>
  </si>
  <si>
    <t>Gabriel de Freita do ...</t>
  </si>
  <si>
    <t>Mateus Magallanes de ...</t>
  </si>
  <si>
    <t>Leal</t>
  </si>
  <si>
    <t>Felipe Leal Tavares  ...</t>
  </si>
  <si>
    <t>GIULIEDSON</t>
  </si>
  <si>
    <t>Giuliedson Carvalho  ...</t>
  </si>
  <si>
    <t>Remerson</t>
  </si>
  <si>
    <t>Remerson Ribeiro Sou ...</t>
  </si>
  <si>
    <t>RUBENS RO</t>
  </si>
  <si>
    <t>Rubens Augusto Olive ...</t>
  </si>
  <si>
    <t>ELIAS</t>
  </si>
  <si>
    <t>Elias Carlos Silva E ...</t>
  </si>
  <si>
    <t>RENAN</t>
  </si>
  <si>
    <t>Renan Vieira da Silva</t>
  </si>
  <si>
    <t>Kio</t>
  </si>
  <si>
    <t>Wanderson Carlos de  ...</t>
  </si>
  <si>
    <t>ANTONIO</t>
  </si>
  <si>
    <t>Antonio Eduardo Sant ...</t>
  </si>
  <si>
    <t>Ceara</t>
  </si>
  <si>
    <t>Francisco Jeovane de ...</t>
  </si>
  <si>
    <t>José Lussandro Souza ...</t>
  </si>
  <si>
    <t>Wyldson Mateus Araúj ...</t>
  </si>
  <si>
    <t>Gleidson</t>
  </si>
  <si>
    <t>Gleidson Henrique So ...</t>
  </si>
  <si>
    <t>Rafael Gra ...</t>
  </si>
  <si>
    <t>Rafael Santiago Gonc ...</t>
  </si>
  <si>
    <t>WESLLEY</t>
  </si>
  <si>
    <t>Cicero Weslley Silva ...</t>
  </si>
  <si>
    <t>21 - Adrian Sousa Oliveira</t>
  </si>
  <si>
    <t>14 - Gleidson Henrique Soares Gomes</t>
  </si>
  <si>
    <t>13 - Raylson Ferreira Ribeiro</t>
  </si>
  <si>
    <t>3 - Andre Lucas Matos Gama</t>
  </si>
  <si>
    <t>18.01.2025</t>
  </si>
  <si>
    <t>Jose Marcos Rocha</t>
  </si>
  <si>
    <t>GUSTAVO LI</t>
  </si>
  <si>
    <t>Gustavo Nobre Lima</t>
  </si>
  <si>
    <t>Alexsander</t>
  </si>
  <si>
    <t>Alexsander Borges Sa ...</t>
  </si>
  <si>
    <t>João Pedro de Sousa  ...</t>
  </si>
  <si>
    <t>Niemisson Mendonça P ...</t>
  </si>
  <si>
    <t>José Lussandro Souza Pereira Filho</t>
  </si>
  <si>
    <t>29:00</t>
  </si>
  <si>
    <t>36:00</t>
  </si>
  <si>
    <t>Jeferson Daniel Prill Levkovisz</t>
  </si>
  <si>
    <t>06:00</t>
  </si>
  <si>
    <t>João Pedro de Sousa Fonseca Santana</t>
  </si>
  <si>
    <t>19.01.2025</t>
  </si>
  <si>
    <t>Ranilton Oliveira de Sousa</t>
  </si>
  <si>
    <t>15 - Denilson Alves de Oliveira</t>
  </si>
  <si>
    <t>10 - Ariel Robert da Silva Assuncao</t>
  </si>
  <si>
    <t>7 - Bruno dos Santos Raposo</t>
  </si>
  <si>
    <t>20 - Rodolfo Ribeiro Valadares Ne...</t>
  </si>
  <si>
    <t>9 - Lucas Guilherme Santana Silva</t>
  </si>
  <si>
    <t>16 - Adriano dos Santos Rodrigues</t>
  </si>
  <si>
    <t>5 - Jardson de Jesus Magalhaes</t>
  </si>
  <si>
    <t>15 - Antonio de Jesus da Silva Pe...</t>
  </si>
  <si>
    <t>8 - Jair da Cruz Pilar</t>
  </si>
  <si>
    <t>17 - João Henrique Lenger</t>
  </si>
  <si>
    <t>7 - Douglas Martins da Silva</t>
  </si>
  <si>
    <t>14 - Lucas Correa Ramos</t>
  </si>
  <si>
    <t>8 - Luanderson Correa Meireles</t>
  </si>
  <si>
    <t>JAMILSON</t>
  </si>
  <si>
    <t>Jamilson Trindade Si ...</t>
  </si>
  <si>
    <t>CAIO</t>
  </si>
  <si>
    <t>Caio Joserik Gaspar  ...</t>
  </si>
  <si>
    <t>Mateus Jesus Martins ...</t>
  </si>
  <si>
    <t>arisco</t>
  </si>
  <si>
    <t>Bruno dos Santos Rap ...</t>
  </si>
  <si>
    <t>LUANDERSO</t>
  </si>
  <si>
    <t>Luanderson Correa Me ...</t>
  </si>
  <si>
    <t>Lucas Vinicius Santo ...</t>
  </si>
  <si>
    <t>MATEUS OLI .</t>
  </si>
  <si>
    <t>Mateus Vinicius Sant ...</t>
  </si>
  <si>
    <t>Ruan Pablo de Sousa  ...</t>
  </si>
  <si>
    <t>Rodolfo</t>
  </si>
  <si>
    <t>Rodolfo Ribeiro Vala ...</t>
  </si>
  <si>
    <t>Bruno dos Santos Raposo</t>
  </si>
  <si>
    <t>Brener Bessa Bezerra dos Santos</t>
  </si>
  <si>
    <t>19:00</t>
  </si>
  <si>
    <t>25.01.2025</t>
  </si>
  <si>
    <r>
      <rPr>
        <sz val="8"/>
        <rFont val="Arial MT"/>
        <family val="2"/>
      </rPr>
      <t>2T</t>
    </r>
  </si>
  <si>
    <t>09:00</t>
  </si>
  <si>
    <t>21 - Eduardo da Silva Ferreira</t>
  </si>
  <si>
    <t>11 - Paulo Victor de Souza Ferreira</t>
  </si>
  <si>
    <t>22 - Gleyson da Conceição Silva</t>
  </si>
  <si>
    <t>18 - George Maykon Loureiro Moraes</t>
  </si>
  <si>
    <t>5 - Marcos Iuri Silva E Silva</t>
  </si>
  <si>
    <t>17 - Kaio Henrique Borges Camara</t>
  </si>
  <si>
    <t>2 - Pablo Carlos da Silva Souza</t>
  </si>
  <si>
    <t>3 - Patrick Gentil Sodre Costa</t>
  </si>
  <si>
    <t>20 - Felipe dos Santos Freitas</t>
  </si>
  <si>
    <t>17 - Felipe Rosa da Silva</t>
  </si>
  <si>
    <t>7 - Cicero Weslley Silva Santos</t>
  </si>
  <si>
    <t>Luann</t>
  </si>
  <si>
    <t>Luann Douglas Moraes ...</t>
  </si>
  <si>
    <t>Joao Felipe Costa Si ...</t>
  </si>
  <si>
    <t>Felipe Rosa da Silva</t>
  </si>
  <si>
    <t>18:00</t>
  </si>
  <si>
    <t>Victor Manoel Santos de Lima</t>
  </si>
  <si>
    <r>
      <rPr>
        <sz val="8"/>
        <rFont val="Arial MT"/>
        <family val="2"/>
      </rPr>
      <t>06:00</t>
    </r>
  </si>
  <si>
    <r>
      <rPr>
        <sz val="8"/>
        <rFont val="Arial MT"/>
        <family val="2"/>
      </rPr>
      <t>Robson Piedade de Jesus</t>
    </r>
  </si>
  <si>
    <r>
      <rPr>
        <sz val="8"/>
        <rFont val="Arial MT"/>
        <family val="2"/>
      </rPr>
      <t>+01:00</t>
    </r>
  </si>
  <si>
    <r>
      <rPr>
        <sz val="8"/>
        <rFont val="Arial MT"/>
        <family val="2"/>
      </rPr>
      <t>Jeferson Daniel Prill Levkovisz</t>
    </r>
  </si>
  <si>
    <t>26.01.2025</t>
  </si>
  <si>
    <t>Richard</t>
  </si>
  <si>
    <t>Francisco Richard do ...</t>
  </si>
  <si>
    <t>JOAO</t>
  </si>
  <si>
    <t>Joao Pedro Almeida d ...</t>
  </si>
  <si>
    <t>Igor</t>
  </si>
  <si>
    <t>Igor Oliveira da Sil ...</t>
  </si>
  <si>
    <t>Felipe Bahia</t>
  </si>
  <si>
    <t>Carlos Felipe Mota B ...</t>
  </si>
  <si>
    <t>MIKINHA</t>
  </si>
  <si>
    <t>Marcos Vinicius Sant ...</t>
  </si>
  <si>
    <t>Felipe Caua</t>
  </si>
  <si>
    <t>Felipe Caua Mafra Vi ...</t>
  </si>
  <si>
    <t>Lucas Kawan</t>
  </si>
  <si>
    <t>Lucas Kawan Lopes do ...</t>
  </si>
  <si>
    <t>Francisco Richard do Nascimento Tabosa</t>
  </si>
  <si>
    <t>Luis Ferreira Lima Neto</t>
  </si>
  <si>
    <t>Isaias dos Santos Vieira</t>
  </si>
  <si>
    <t>Wendell Silva Santos dos Santos</t>
  </si>
  <si>
    <t>05:00</t>
  </si>
  <si>
    <t>22 - Marcos Vinicius Santana Ramos</t>
  </si>
  <si>
    <t>5 - Francisco Richard do Nascime...</t>
  </si>
  <si>
    <t>12:00</t>
  </si>
  <si>
    <t>13 - Francisco Lima Silva</t>
  </si>
  <si>
    <t>2 - Gabriel de Freita dos Reis</t>
  </si>
  <si>
    <t>21 - Carlos Felipe Mota Bezerra</t>
  </si>
  <si>
    <t>20 - Jardson de Jesus Magalhaes</t>
  </si>
  <si>
    <t>11 - Adriano dos Santos Rodrigues</t>
  </si>
  <si>
    <t>19 - Igor Oliveira da Silva</t>
  </si>
  <si>
    <t>8 - Luis Ferreira Lima Neto</t>
  </si>
  <si>
    <t>19 - João Henrique Lenger</t>
  </si>
  <si>
    <t>16 - Lucas Kawan Lopes dos Santos</t>
  </si>
  <si>
    <t>18 - Lucas Guilherme Santana Silva</t>
  </si>
  <si>
    <t>9 - Rodolfo Ribeiro Valadares Ne...</t>
  </si>
  <si>
    <t>Wallas Martins Lopes</t>
  </si>
  <si>
    <t>ALEXANDRE</t>
  </si>
  <si>
    <t>Alexandre Eder Silva ...</t>
  </si>
  <si>
    <t>Ian</t>
  </si>
  <si>
    <t>Ian Deyvison dos Rei ...</t>
  </si>
  <si>
    <t>Yago</t>
  </si>
  <si>
    <t>Yago Ramon Souza Gom .</t>
  </si>
  <si>
    <t>Orleans</t>
  </si>
  <si>
    <t>Orleans Pedro Dias C ...</t>
  </si>
  <si>
    <t>Magno</t>
  </si>
  <si>
    <t>Magno Costa Fernandes</t>
  </si>
  <si>
    <t>FERNANDO</t>
  </si>
  <si>
    <t>Luis Fernando Rodrig ...</t>
  </si>
  <si>
    <t>wiliam bol ...</t>
  </si>
  <si>
    <t>Rayandeson Ribeiro Fonseca</t>
  </si>
  <si>
    <t>Alexandre Eder Silva Barros</t>
  </si>
  <si>
    <t>+04:00</t>
  </si>
  <si>
    <t>Aldomir Carlos Sodre Souza Junior</t>
  </si>
  <si>
    <t>Gustavo Rodrigues dos Santos</t>
  </si>
  <si>
    <t>Matheus dos Santos Silva</t>
  </si>
  <si>
    <t>15 - Alexandre Eder Silva Barros</t>
  </si>
  <si>
    <t>6 - George Miguel da Costa Garcia</t>
  </si>
  <si>
    <t>44:00</t>
  </si>
  <si>
    <t>18 - Willyan Diogo Silva</t>
  </si>
  <si>
    <t>2 - Ian Deyvison dos Reis Ribeiro</t>
  </si>
  <si>
    <t>8 - Orleans Pedro Dias Castro</t>
  </si>
  <si>
    <t>17 - Danilo Pires Costa</t>
  </si>
  <si>
    <t>5 - Felipe dos Santos Dias</t>
  </si>
  <si>
    <t>9 - Magno Costa Fernandes</t>
  </si>
  <si>
    <t>Kawa</t>
  </si>
  <si>
    <t>Victor Kawa Costa Sa ...</t>
  </si>
  <si>
    <t>Amilcar</t>
  </si>
  <si>
    <t>Amilcar Rosa Neto</t>
  </si>
  <si>
    <t>RICHARDSON</t>
  </si>
  <si>
    <t>Richardson Pinheiro  ...</t>
  </si>
  <si>
    <t>THIAGO</t>
  </si>
  <si>
    <t>Thiago Alexandro Soa ...</t>
  </si>
  <si>
    <t>Jefferson</t>
  </si>
  <si>
    <t>Jefferson Henrique d ...</t>
  </si>
  <si>
    <t>Almeida</t>
  </si>
  <si>
    <t>Luís Felipe Gabriel  ...</t>
  </si>
  <si>
    <t>Anderson Thiago Nunes Jardim</t>
  </si>
  <si>
    <t>Caio Joserik Gaspar Rabelo</t>
  </si>
  <si>
    <t>Thiago Pereira Magalhaes</t>
  </si>
  <si>
    <t>Victor Kawa Costa Sampaio</t>
  </si>
  <si>
    <t>Jorge Wanderson da Silva Rocha</t>
  </si>
  <si>
    <t>Diego Sousa Cantanhede</t>
  </si>
  <si>
    <t>Thiago Pereira Magalhaes - Viana</t>
  </si>
  <si>
    <t>18 - Thiago Pereira Magalhaes</t>
  </si>
  <si>
    <t>5 - Riquelme Gabriel Pereira</t>
  </si>
  <si>
    <t>17 - Luanderson Correa Meireles</t>
  </si>
  <si>
    <t>+05:00</t>
  </si>
  <si>
    <t>15 - Lucas Correa Ramos</t>
  </si>
  <si>
    <t>6 - Mateus Jesus Martins Lima</t>
  </si>
  <si>
    <t>16 - Carlos Gabriel Goncalves Car...</t>
  </si>
  <si>
    <t>6 - Andre Luiz da Conceicao Araujo</t>
  </si>
  <si>
    <t>21 - Diego Sousa Cantanhede</t>
  </si>
  <si>
    <t>18 - Railson Carvalho dos Santos</t>
  </si>
  <si>
    <t>8 - Emerson Freitas dos Anjos</t>
  </si>
  <si>
    <t>29.01.2025</t>
  </si>
  <si>
    <t>Adriano Barros Carneiro</t>
  </si>
  <si>
    <t>Mauricio Gabriel Chaves dos Anjos</t>
  </si>
  <si>
    <t>Orleans Pedro Dias Castro</t>
  </si>
  <si>
    <t>Felipe Leal Tavares dos Santos</t>
  </si>
  <si>
    <t>21 - Paulo Renato Pereira Dias</t>
  </si>
  <si>
    <t>7 - Willyan Diogo Silva</t>
  </si>
  <si>
    <t>10 - Danilo Perassolli da Cruz Al...</t>
  </si>
  <si>
    <t>15 - Felipe dos Santos Dias</t>
  </si>
  <si>
    <t>8 - Mauricio Gabriel Chaves dos ...</t>
  </si>
  <si>
    <t>11 - Luis Gustavo Santos</t>
  </si>
  <si>
    <t>18 - Victor Viana de Moraes</t>
  </si>
  <si>
    <t>7 - Felipe Leal Tavares dos Santos</t>
  </si>
  <si>
    <t>21 - Marcos Vinicius Santana Ramos</t>
  </si>
  <si>
    <t>14 - Gabriel de Freita dos Reis</t>
  </si>
  <si>
    <t>17 - Giuliedson Carvalho Santos</t>
  </si>
  <si>
    <t>Carlos Eduardo da Co ...</t>
  </si>
  <si>
    <t>Fonseca</t>
  </si>
  <si>
    <t>Kayo Victor Fonseca  ...</t>
  </si>
  <si>
    <t>Henrique C ...</t>
  </si>
  <si>
    <t>Henrique de Figueire ...</t>
  </si>
  <si>
    <t>01:00</t>
  </si>
  <si>
    <t>Alan James Lins Barbosa</t>
  </si>
  <si>
    <t>Tulio Gabriel Teixeira</t>
  </si>
  <si>
    <t>13 - Felipe Caua Mafra Vieira</t>
  </si>
  <si>
    <t>3 - Mateus Vieira Santos da Conc...</t>
  </si>
  <si>
    <t>16 - Dimas Rafael Sousa da Costa</t>
  </si>
  <si>
    <t>10 - Adriano dos Santos Rodrigues</t>
  </si>
  <si>
    <t>39:00</t>
  </si>
  <si>
    <t>17 - George Miguel da Costa Garcia</t>
  </si>
  <si>
    <t>20 - Kayky Pereira dos Santos Gomes</t>
  </si>
  <si>
    <t>16 - Henrique de Figueiredo Torre...</t>
  </si>
  <si>
    <t>8 - Tulio Gabriel Teixeira</t>
  </si>
  <si>
    <t xml:space="preserve">Ranilton Oliveira de Sousa </t>
  </si>
  <si>
    <t>Edil</t>
  </si>
  <si>
    <t>Edil Junior Silva de ...</t>
  </si>
  <si>
    <t>Romario</t>
  </si>
  <si>
    <t>Romario Souza Costa</t>
  </si>
  <si>
    <t>Luis Felipe Firmino Antonio</t>
  </si>
  <si>
    <t>Jamilson Trindade Silva</t>
  </si>
  <si>
    <t>Riquelme Gabriel Pereira</t>
  </si>
  <si>
    <t>8 - Wyldson Mateus Araújo de Lima</t>
  </si>
  <si>
    <t>11:00</t>
  </si>
  <si>
    <t>1 - Saulo Araujo Fontes</t>
  </si>
  <si>
    <t>12 - Lucas Vinicius Santos de Oli...</t>
  </si>
  <si>
    <t>2 - Jamilson Trindade Silva</t>
  </si>
  <si>
    <t>19 - Edil Junior Silva de Pinho</t>
  </si>
  <si>
    <t>11 - Ariel Robert da Silva Assuncao</t>
  </si>
  <si>
    <t>03:00</t>
  </si>
  <si>
    <t>3 - Brener Bessa Bezerra dos San...</t>
  </si>
  <si>
    <t>18 - Thiago Alexandro Soares Santos</t>
  </si>
  <si>
    <t>6 - Denilson Alves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</si>
</sst>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</font>
    <font>
      <sz val="8"/>
      <name val="Arial"/>
      <family val="2"/>
    </font>
    <font>
      <b/>
      <sz val="7"/>
      <name val="Arial"/>
    </font>
    <font>
      <b/>
      <sz val="7"/>
      <name val="Arial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Arial MT"/>
      <family val="2"/>
    </font>
  </fonts>
  <fills count="7">
    <fill>
      <patternFill patternType="none"/>
    </fill>
    <fill>
      <patternFill patternType="gray125"/>
    </fill>
    <fill>
      <patternFill patternType="solid">
        <fgColor rgb="FFB3E6B3"/>
        <bgColor rgb="FFFFFFFF"/>
      </patternFill>
    </fill>
    <fill>
      <patternFill patternType="solid">
        <fgColor rgb="FFA90F4A"/>
        <bgColor rgb="FFFFFFFF"/>
      </patternFill>
    </fill>
    <fill>
      <patternFill patternType="solid">
        <fgColor rgb="FFA90F4A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shrinkToFit="1"/>
    </xf>
    <xf numFmtId="1" fontId="1" fillId="0" borderId="4" xfId="0" applyNumberFormat="1" applyFont="1" applyBorder="1" applyAlignment="1">
      <alignment horizontal="center" vertical="top" shrinkToFi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0" xfId="0" applyFill="1"/>
    <xf numFmtId="0" fontId="5" fillId="3" borderId="2" xfId="0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0" xfId="0" applyNumberFormat="1" applyFill="1"/>
    <xf numFmtId="0" fontId="4" fillId="5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0" xfId="0" applyFill="1"/>
    <xf numFmtId="0" fontId="5" fillId="5" borderId="2" xfId="0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top" wrapText="1"/>
    </xf>
    <xf numFmtId="1" fontId="0" fillId="6" borderId="2" xfId="0" applyNumberFormat="1" applyFill="1" applyBorder="1" applyAlignment="1">
      <alignment horizontal="center" vertical="center"/>
    </xf>
    <xf numFmtId="0" fontId="0" fillId="6" borderId="2" xfId="0" applyFill="1" applyBorder="1"/>
    <xf numFmtId="1" fontId="0" fillId="6" borderId="2" xfId="0" applyNumberFormat="1" applyFill="1" applyBorder="1"/>
    <xf numFmtId="2" fontId="5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1" fontId="5" fillId="5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2" fontId="0" fillId="6" borderId="0" xfId="0" applyNumberFormat="1" applyFill="1"/>
    <xf numFmtId="1" fontId="0" fillId="6" borderId="0" xfId="0" applyNumberFormat="1" applyFill="1"/>
    <xf numFmtId="0" fontId="4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4" borderId="2" xfId="0" applyNumberFormat="1" applyFill="1" applyBorder="1" applyAlignment="1">
      <alignment horizontal="center" vertical="center"/>
    </xf>
    <xf numFmtId="49" fontId="0" fillId="4" borderId="0" xfId="0" applyNumberFormat="1" applyFill="1"/>
    <xf numFmtId="0" fontId="6" fillId="0" borderId="1" xfId="0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46" fontId="2" fillId="0" borderId="1" xfId="0" applyNumberFormat="1" applyFont="1" applyBorder="1" applyAlignment="1">
      <alignment horizontal="center" vertical="top" wrapText="1"/>
    </xf>
    <xf numFmtId="20" fontId="2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 indent="1"/>
    </xf>
    <xf numFmtId="1" fontId="8" fillId="0" borderId="1" xfId="0" applyNumberFormat="1" applyFont="1" applyBorder="1" applyAlignment="1">
      <alignment horizontal="left" vertical="top" indent="1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0F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EF09-01DF-41F4-A956-0179C3C5A7A5}">
  <dimension ref="A1:H17"/>
  <sheetViews>
    <sheetView showGridLines="0" tabSelected="1" topLeftCell="A4" workbookViewId="0">
      <selection activeCell="E20" sqref="E20"/>
    </sheetView>
  </sheetViews>
  <sheetFormatPr defaultRowHeight="14.4"/>
  <cols>
    <col min="1" max="1" width="11.88671875" style="15" bestFit="1" customWidth="1"/>
    <col min="2" max="2" width="13.77734375" style="15" bestFit="1" customWidth="1"/>
    <col min="3" max="3" width="18.5546875" style="15" bestFit="1" customWidth="1"/>
    <col min="4" max="5" width="3" style="20" bestFit="1" customWidth="1"/>
    <col min="6" max="6" width="22.109375" style="15" bestFit="1" customWidth="1"/>
    <col min="7" max="7" width="22.109375" style="44" customWidth="1"/>
    <col min="8" max="8" width="44.77734375" style="23" bestFit="1" customWidth="1"/>
  </cols>
  <sheetData>
    <row r="1" spans="1:8">
      <c r="A1" s="18" t="s">
        <v>134</v>
      </c>
      <c r="B1" s="18" t="s">
        <v>144</v>
      </c>
      <c r="C1" s="18" t="s">
        <v>145</v>
      </c>
      <c r="D1" s="19" t="s">
        <v>141</v>
      </c>
      <c r="E1" s="19" t="s">
        <v>111</v>
      </c>
      <c r="F1" s="18" t="s">
        <v>153</v>
      </c>
      <c r="G1" s="43" t="s">
        <v>165</v>
      </c>
      <c r="H1" s="22" t="s">
        <v>166</v>
      </c>
    </row>
    <row r="2" spans="1:8">
      <c r="A2" s="18">
        <v>1</v>
      </c>
      <c r="B2" s="18" t="s">
        <v>107</v>
      </c>
      <c r="C2" s="18" t="s">
        <v>122</v>
      </c>
      <c r="D2" s="19">
        <v>49</v>
      </c>
      <c r="E2" s="19">
        <v>50</v>
      </c>
      <c r="F2" s="18" t="s">
        <v>154</v>
      </c>
      <c r="G2" s="43" t="s">
        <v>167</v>
      </c>
      <c r="H2" s="28" t="str">
        <f t="shared" ref="H2:H16" si="0">G2&amp;" - "&amp;B2&amp;" x "&amp;C2</f>
        <v>11.01.2025 - Imperatriz - MA x Sampaio Corrêa - MA</v>
      </c>
    </row>
    <row r="3" spans="1:8">
      <c r="A3" s="18">
        <v>2</v>
      </c>
      <c r="B3" s="18" t="s">
        <v>273</v>
      </c>
      <c r="C3" s="18" t="s">
        <v>260</v>
      </c>
      <c r="D3" s="19">
        <v>47</v>
      </c>
      <c r="E3" s="19">
        <v>50</v>
      </c>
      <c r="F3" s="18" t="s">
        <v>170</v>
      </c>
      <c r="G3" s="43" t="s">
        <v>171</v>
      </c>
      <c r="H3" s="28" t="str">
        <f t="shared" si="0"/>
        <v>12.01.2025 - Moto Club - MA x Maranhão - MA</v>
      </c>
    </row>
    <row r="4" spans="1:8">
      <c r="A4" s="18">
        <v>3</v>
      </c>
      <c r="B4" s="18" t="s">
        <v>368</v>
      </c>
      <c r="C4" s="18" t="s">
        <v>381</v>
      </c>
      <c r="D4" s="19">
        <v>50</v>
      </c>
      <c r="E4" s="19">
        <v>47</v>
      </c>
      <c r="F4" s="18" t="s">
        <v>300</v>
      </c>
      <c r="G4" s="43" t="s">
        <v>171</v>
      </c>
      <c r="H4" s="28" t="str">
        <f t="shared" si="0"/>
        <v>12.01.2025 - Pinheiro - MA x Viana - MA</v>
      </c>
    </row>
    <row r="5" spans="1:8">
      <c r="A5" s="18">
        <v>4</v>
      </c>
      <c r="B5" s="18" t="s">
        <v>368</v>
      </c>
      <c r="C5" s="18" t="s">
        <v>260</v>
      </c>
      <c r="D5" s="19">
        <f>45+4</f>
        <v>49</v>
      </c>
      <c r="E5" s="19">
        <f>45+6</f>
        <v>51</v>
      </c>
      <c r="F5" s="18" t="s">
        <v>384</v>
      </c>
      <c r="G5" s="43" t="s">
        <v>385</v>
      </c>
      <c r="H5" s="28" t="str">
        <f t="shared" si="0"/>
        <v>15.01.2025 - Pinheiro - MA x Maranhão - MA</v>
      </c>
    </row>
    <row r="6" spans="1:8">
      <c r="A6" s="18">
        <v>5</v>
      </c>
      <c r="B6" s="18" t="s">
        <v>386</v>
      </c>
      <c r="C6" s="18" t="s">
        <v>122</v>
      </c>
      <c r="D6" s="19">
        <v>46</v>
      </c>
      <c r="E6" s="19">
        <f>45+3</f>
        <v>48</v>
      </c>
      <c r="F6" s="18" t="s">
        <v>387</v>
      </c>
      <c r="G6" s="43" t="s">
        <v>385</v>
      </c>
      <c r="H6" s="28" t="str">
        <f t="shared" si="0"/>
        <v>15.01.2025 - IAPE - MA x Sampaio Corrêa - MA</v>
      </c>
    </row>
    <row r="7" spans="1:8">
      <c r="A7" s="18">
        <v>6</v>
      </c>
      <c r="B7" s="18" t="s">
        <v>388</v>
      </c>
      <c r="C7" s="18" t="s">
        <v>107</v>
      </c>
      <c r="D7" s="19">
        <f>45+5</f>
        <v>50</v>
      </c>
      <c r="E7" s="19">
        <f>45+5</f>
        <v>50</v>
      </c>
      <c r="F7" s="18" t="s">
        <v>389</v>
      </c>
      <c r="G7" s="43" t="s">
        <v>385</v>
      </c>
      <c r="H7" s="28" t="str">
        <f t="shared" si="0"/>
        <v>15.01.2025 - Tuntum - MA x Imperatriz - MA</v>
      </c>
    </row>
    <row r="8" spans="1:8">
      <c r="A8" s="18">
        <v>7</v>
      </c>
      <c r="B8" s="18" t="s">
        <v>107</v>
      </c>
      <c r="C8" s="18" t="s">
        <v>368</v>
      </c>
      <c r="D8" s="19">
        <f>45+3</f>
        <v>48</v>
      </c>
      <c r="E8" s="19">
        <f>45+6</f>
        <v>51</v>
      </c>
      <c r="F8" s="18" t="s">
        <v>576</v>
      </c>
      <c r="G8" s="43" t="s">
        <v>575</v>
      </c>
      <c r="H8" s="28" t="str">
        <f t="shared" si="0"/>
        <v>18.01.2025 - Imperatriz - MA x Pinheiro - MA</v>
      </c>
    </row>
    <row r="9" spans="1:8">
      <c r="A9" s="18">
        <v>8</v>
      </c>
      <c r="B9" s="18" t="s">
        <v>381</v>
      </c>
      <c r="C9" s="18" t="s">
        <v>122</v>
      </c>
      <c r="D9" s="19">
        <f>45+5</f>
        <v>50</v>
      </c>
      <c r="E9" s="19">
        <f>45+8</f>
        <v>53</v>
      </c>
      <c r="F9" s="18" t="s">
        <v>590</v>
      </c>
      <c r="G9" s="43" t="s">
        <v>589</v>
      </c>
      <c r="H9" s="28" t="str">
        <f t="shared" si="0"/>
        <v>19.01.2025 - Viana - MA x Sampaio Corrêa - MA</v>
      </c>
    </row>
    <row r="10" spans="1:8">
      <c r="A10" s="18">
        <v>9</v>
      </c>
      <c r="B10" s="18" t="s">
        <v>386</v>
      </c>
      <c r="C10" s="18" t="s">
        <v>107</v>
      </c>
      <c r="D10" s="19">
        <f>45+3</f>
        <v>48</v>
      </c>
      <c r="E10" s="19">
        <f>45+4</f>
        <v>49</v>
      </c>
      <c r="F10" s="18" t="s">
        <v>384</v>
      </c>
      <c r="G10" s="43" t="s">
        <v>622</v>
      </c>
      <c r="H10" s="28" t="str">
        <f t="shared" si="0"/>
        <v>25.01.2025 - IAPE - MA x Imperatriz - MA</v>
      </c>
    </row>
    <row r="11" spans="1:8">
      <c r="A11" s="18">
        <v>10</v>
      </c>
      <c r="B11" s="18" t="s">
        <v>388</v>
      </c>
      <c r="C11" s="18" t="s">
        <v>122</v>
      </c>
      <c r="D11" s="19">
        <f>45+3</f>
        <v>48</v>
      </c>
      <c r="E11" s="19">
        <f>45+5</f>
        <v>50</v>
      </c>
      <c r="F11" s="18" t="s">
        <v>170</v>
      </c>
      <c r="G11" s="43" t="s">
        <v>646</v>
      </c>
      <c r="H11" s="28" t="str">
        <f t="shared" si="0"/>
        <v>26.01.2025 - Tuntum - MA x Sampaio Corrêa - MA</v>
      </c>
    </row>
    <row r="12" spans="1:8">
      <c r="A12" s="18">
        <v>11</v>
      </c>
      <c r="B12" s="18" t="s">
        <v>368</v>
      </c>
      <c r="C12" s="18" t="s">
        <v>273</v>
      </c>
      <c r="D12" s="19">
        <f>45+3</f>
        <v>48</v>
      </c>
      <c r="E12" s="19">
        <f>45+6</f>
        <v>51</v>
      </c>
      <c r="F12" s="18" t="s">
        <v>680</v>
      </c>
      <c r="G12" s="43" t="s">
        <v>646</v>
      </c>
      <c r="H12" s="28" t="str">
        <f t="shared" si="0"/>
        <v>26.01.2025 - Pinheiro - MA x Moto Club - MA</v>
      </c>
    </row>
    <row r="13" spans="1:8">
      <c r="A13" s="18">
        <v>12</v>
      </c>
      <c r="B13" s="18" t="s">
        <v>381</v>
      </c>
      <c r="C13" s="18" t="s">
        <v>260</v>
      </c>
      <c r="D13" s="19">
        <f>45+2</f>
        <v>47</v>
      </c>
      <c r="E13" s="19">
        <f>45+7</f>
        <v>52</v>
      </c>
      <c r="F13" s="18" t="s">
        <v>387</v>
      </c>
      <c r="G13" s="43" t="s">
        <v>646</v>
      </c>
      <c r="H13" s="28" t="str">
        <f t="shared" si="0"/>
        <v>26.01.2025 - Viana - MA x Maranhão - MA</v>
      </c>
    </row>
    <row r="14" spans="1:8">
      <c r="A14" s="18">
        <v>13</v>
      </c>
      <c r="B14" s="18" t="s">
        <v>388</v>
      </c>
      <c r="C14" s="18" t="s">
        <v>273</v>
      </c>
      <c r="D14" s="19">
        <f>45+5</f>
        <v>50</v>
      </c>
      <c r="E14" s="19">
        <f>45+6</f>
        <v>51</v>
      </c>
      <c r="F14" s="18" t="s">
        <v>740</v>
      </c>
      <c r="G14" s="43" t="s">
        <v>739</v>
      </c>
      <c r="H14" s="28" t="str">
        <f t="shared" si="0"/>
        <v>29.01.2025 - Tuntum - MA x Moto Club - MA</v>
      </c>
    </row>
    <row r="15" spans="1:8">
      <c r="A15" s="18">
        <v>14</v>
      </c>
      <c r="B15" s="18" t="s">
        <v>122</v>
      </c>
      <c r="C15" s="18" t="s">
        <v>368</v>
      </c>
      <c r="D15" s="19">
        <f>45+3</f>
        <v>48</v>
      </c>
      <c r="E15" s="19">
        <f>45+4</f>
        <v>49</v>
      </c>
      <c r="F15" s="18" t="s">
        <v>384</v>
      </c>
      <c r="G15" s="43" t="s">
        <v>739</v>
      </c>
      <c r="H15" s="28" t="str">
        <f t="shared" si="0"/>
        <v>29.01.2025 - Sampaio Corrêa - MA x Pinheiro - MA</v>
      </c>
    </row>
    <row r="16" spans="1:8">
      <c r="A16" s="18">
        <v>15</v>
      </c>
      <c r="B16" s="18" t="s">
        <v>107</v>
      </c>
      <c r="C16" s="18" t="s">
        <v>381</v>
      </c>
      <c r="D16" s="19">
        <f>45+6</f>
        <v>51</v>
      </c>
      <c r="E16" s="19">
        <v>45</v>
      </c>
      <c r="F16" s="18" t="s">
        <v>772</v>
      </c>
      <c r="G16" s="43" t="s">
        <v>739</v>
      </c>
      <c r="H16" s="28" t="str">
        <f t="shared" si="0"/>
        <v>29.01.2025 - Imperatriz - MA x Viana - MA</v>
      </c>
    </row>
    <row r="17" spans="1:8">
      <c r="A17" s="18"/>
      <c r="B17" s="18"/>
      <c r="C17" s="18"/>
      <c r="D17" s="19"/>
      <c r="E17" s="19"/>
      <c r="F17" s="18"/>
      <c r="G17" s="43"/>
      <c r="H17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54F-3F2D-4DC4-9242-0EAF8210CE31}">
  <sheetPr filterMode="1"/>
  <dimension ref="A1:R621"/>
  <sheetViews>
    <sheetView showGridLines="0" topLeftCell="D588" workbookViewId="0">
      <selection activeCell="I579" sqref="I579:R621"/>
    </sheetView>
  </sheetViews>
  <sheetFormatPr defaultRowHeight="14.4"/>
  <cols>
    <col min="1" max="1" width="8.88671875" style="15"/>
    <col min="2" max="2" width="8.88671875" style="5"/>
    <col min="3" max="3" width="8.77734375" bestFit="1" customWidth="1"/>
    <col min="8" max="8" width="15.109375" style="15" customWidth="1"/>
    <col min="9" max="10" width="8.88671875" style="28"/>
    <col min="11" max="12" width="21.6640625" style="27" bestFit="1" customWidth="1"/>
    <col min="13" max="13" width="11.77734375" style="28" bestFit="1" customWidth="1"/>
    <col min="14" max="14" width="8.88671875" style="29"/>
    <col min="15" max="17" width="8.88671875" style="28"/>
    <col min="18" max="18" width="44.33203125" style="28" bestFit="1" customWidth="1"/>
  </cols>
  <sheetData>
    <row r="1" spans="1:18" ht="19.2">
      <c r="A1" s="16" t="s">
        <v>134</v>
      </c>
      <c r="B1" s="10" t="s">
        <v>16</v>
      </c>
      <c r="C1" s="11" t="s">
        <v>17</v>
      </c>
      <c r="D1" s="11" t="s">
        <v>18</v>
      </c>
      <c r="E1" s="12" t="s">
        <v>19</v>
      </c>
      <c r="F1" s="12" t="s">
        <v>20</v>
      </c>
      <c r="G1" s="13" t="s">
        <v>0</v>
      </c>
      <c r="H1" s="16" t="s">
        <v>98</v>
      </c>
      <c r="I1" s="24" t="s">
        <v>162</v>
      </c>
      <c r="J1" s="24" t="s">
        <v>137</v>
      </c>
      <c r="K1" s="25" t="s">
        <v>151</v>
      </c>
      <c r="L1" s="25" t="s">
        <v>152</v>
      </c>
      <c r="M1" s="24" t="s">
        <v>99</v>
      </c>
      <c r="N1" s="25" t="s">
        <v>135</v>
      </c>
      <c r="O1" s="24" t="s">
        <v>136</v>
      </c>
      <c r="P1" s="24" t="s">
        <v>163</v>
      </c>
      <c r="Q1" s="24" t="s">
        <v>164</v>
      </c>
      <c r="R1" s="24" t="s">
        <v>166</v>
      </c>
    </row>
    <row r="2" spans="1:18" ht="20.399999999999999" hidden="1">
      <c r="A2" s="17">
        <v>1</v>
      </c>
      <c r="B2" s="1">
        <v>1</v>
      </c>
      <c r="C2" s="2" t="s">
        <v>21</v>
      </c>
      <c r="D2" s="2" t="s">
        <v>22</v>
      </c>
      <c r="E2" s="3" t="s">
        <v>23</v>
      </c>
      <c r="F2" s="3" t="s">
        <v>24</v>
      </c>
      <c r="G2" s="9">
        <v>459328</v>
      </c>
      <c r="H2" s="17" t="s">
        <v>107</v>
      </c>
      <c r="I2" s="26" t="str">
        <f>C2</f>
        <v>Jr Conceiç ...</v>
      </c>
      <c r="J2" s="26" t="str">
        <f>A2&amp;H2&amp;B2</f>
        <v>1Imperatriz - MA1</v>
      </c>
      <c r="K2" s="27" t="str">
        <f>IFERROR(VLOOKUP(J2,Substituicoes!J:J,1,0),"SS")</f>
        <v>SS</v>
      </c>
      <c r="L2" s="27" t="str">
        <f>IFERROR(VLOOKUP(J2,Substituicoes!K:K,1,0),"SS")</f>
        <v>SS</v>
      </c>
      <c r="M2" s="28" t="b">
        <f>K2=L2</f>
        <v>1</v>
      </c>
      <c r="N2" s="29">
        <f>IF(AND(K2=L2,LEFT(E2,1)="T"),VLOOKUP(A2,'JOGOS BASE'!A:E,4,0),IF(K2=J2,VLOOKUP(J2,Substituicoes!J:R,6,0),IF(L2=J2,VLOOKUP(Escalacao!J2,Substituicoes!K:R,7,0),0)))</f>
        <v>49</v>
      </c>
      <c r="O2" s="28">
        <f>IF(AND(K2=L2,LEFT(E2,1)="T"),VLOOKUP(A2,'JOGOS BASE'!A:E,5,0),IF(K2=J2,VLOOKUP(J2,Substituicoes!J:R,7,0),IF(L2=J2,VLOOKUP(Escalacao!J2,Substituicoes!K:R,8,0),0)))</f>
        <v>50</v>
      </c>
      <c r="P2" s="29">
        <f>N2+O2</f>
        <v>99</v>
      </c>
      <c r="Q2" s="28" t="str">
        <f>A2&amp;B2&amp;H2</f>
        <v>11Imperatriz - MA</v>
      </c>
      <c r="R2" s="28" t="str">
        <f>VLOOKUP(A2,'JOGOS BASE'!A:H,8)</f>
        <v>11.01.2025 - Imperatriz - MA x Sampaio Corrêa - MA</v>
      </c>
    </row>
    <row r="3" spans="1:18" ht="30.6" hidden="1">
      <c r="A3" s="17">
        <v>1</v>
      </c>
      <c r="B3" s="1">
        <v>2</v>
      </c>
      <c r="C3" s="2" t="s">
        <v>1</v>
      </c>
      <c r="D3" s="2" t="s">
        <v>25</v>
      </c>
      <c r="E3" s="3" t="s">
        <v>26</v>
      </c>
      <c r="F3" s="3" t="s">
        <v>24</v>
      </c>
      <c r="G3" s="9">
        <v>451402</v>
      </c>
      <c r="H3" s="17" t="s">
        <v>107</v>
      </c>
      <c r="I3" s="26" t="str">
        <f t="shared" ref="I3:I44" si="0">C3</f>
        <v>Fabricio</v>
      </c>
      <c r="J3" s="26" t="str">
        <f t="shared" ref="J3:J44" si="1">A3&amp;H3&amp;B3</f>
        <v>1Imperatriz - MA2</v>
      </c>
      <c r="K3" s="27" t="str">
        <f>IFERROR(VLOOKUP(J3,Substituicoes!J:J,1,0),"SS")</f>
        <v>SS</v>
      </c>
      <c r="L3" s="27" t="str">
        <f>IFERROR(VLOOKUP(J3,Substituicoes!K:K,1,0),"SS")</f>
        <v>SS</v>
      </c>
      <c r="M3" s="28" t="b">
        <f t="shared" ref="M3:M44" si="2">K3=L3</f>
        <v>1</v>
      </c>
      <c r="N3" s="29">
        <f>IF(AND(K3=L3,LEFT(E3,1)="T"),VLOOKUP(A3,'JOGOS BASE'!A:E,4,0),IF(K3=J3,VLOOKUP(J3,Substituicoes!J:R,6,0),IF(L3=J3,VLOOKUP(Escalacao!J3,Substituicoes!K:R,7,0),0)))</f>
        <v>49</v>
      </c>
      <c r="O3" s="28">
        <f>IF(AND(K3=L3,LEFT(E3,1)="T"),VLOOKUP(A3,'JOGOS BASE'!A:E,5,0),IF(K3=J3,VLOOKUP(J3,Substituicoes!J:R,7,0),IF(L3=J3,VLOOKUP(Escalacao!J3,Substituicoes!K:R,8,0),0)))</f>
        <v>50</v>
      </c>
      <c r="P3" s="28">
        <f t="shared" ref="P3:P44" si="3">N3+O3</f>
        <v>99</v>
      </c>
      <c r="Q3" s="28" t="str">
        <f t="shared" ref="Q3:Q44" si="4">A3&amp;B3&amp;H3</f>
        <v>12Imperatriz - MA</v>
      </c>
      <c r="R3" s="28" t="str">
        <f>VLOOKUP(A3,'JOGOS BASE'!A:H,8)</f>
        <v>11.01.2025 - Imperatriz - MA x Sampaio Corrêa - MA</v>
      </c>
    </row>
    <row r="4" spans="1:18" ht="20.399999999999999" hidden="1">
      <c r="A4" s="17">
        <v>1</v>
      </c>
      <c r="B4" s="1">
        <v>3</v>
      </c>
      <c r="C4" s="2" t="s">
        <v>2</v>
      </c>
      <c r="D4" s="2" t="s">
        <v>27</v>
      </c>
      <c r="E4" s="3" t="s">
        <v>26</v>
      </c>
      <c r="F4" s="3" t="s">
        <v>24</v>
      </c>
      <c r="G4" s="9">
        <v>393115</v>
      </c>
      <c r="H4" s="17" t="s">
        <v>107</v>
      </c>
      <c r="I4" s="26" t="str">
        <f t="shared" si="0"/>
        <v>Andre Penalva</v>
      </c>
      <c r="J4" s="26" t="str">
        <f t="shared" si="1"/>
        <v>1Imperatriz - MA3</v>
      </c>
      <c r="K4" s="27" t="str">
        <f>IFERROR(VLOOKUP(J4,Substituicoes!J:J,1,0),"SS")</f>
        <v>SS</v>
      </c>
      <c r="L4" s="27" t="str">
        <f>IFERROR(VLOOKUP(J4,Substituicoes!K:K,1,0),"SS")</f>
        <v>SS</v>
      </c>
      <c r="M4" s="28" t="b">
        <f t="shared" si="2"/>
        <v>1</v>
      </c>
      <c r="N4" s="29">
        <f>IF(AND(K4=L4,LEFT(E4,1)="T"),VLOOKUP(A4,'JOGOS BASE'!A:E,4,0),IF(K4=J4,VLOOKUP(J4,Substituicoes!J:R,6,0),IF(L4=J4,VLOOKUP(Escalacao!J4,Substituicoes!K:R,7,0),0)))</f>
        <v>49</v>
      </c>
      <c r="O4" s="28">
        <f>IF(AND(K4=L4,LEFT(E4,1)="T"),VLOOKUP(A4,'JOGOS BASE'!A:E,5,0),IF(K4=J4,VLOOKUP(J4,Substituicoes!J:R,7,0),IF(L4=J4,VLOOKUP(Escalacao!J4,Substituicoes!K:R,8,0),0)))</f>
        <v>50</v>
      </c>
      <c r="P4" s="28">
        <f t="shared" si="3"/>
        <v>99</v>
      </c>
      <c r="Q4" s="28" t="str">
        <f t="shared" si="4"/>
        <v>13Imperatriz - MA</v>
      </c>
      <c r="R4" s="28" t="str">
        <f>VLOOKUP(A4,'JOGOS BASE'!A:H,8)</f>
        <v>11.01.2025 - Imperatriz - MA x Sampaio Corrêa - MA</v>
      </c>
    </row>
    <row r="5" spans="1:18" ht="20.399999999999999" hidden="1">
      <c r="A5" s="17">
        <v>1</v>
      </c>
      <c r="B5" s="1">
        <v>4</v>
      </c>
      <c r="C5" s="2" t="s">
        <v>28</v>
      </c>
      <c r="D5" s="2" t="s">
        <v>29</v>
      </c>
      <c r="E5" s="3" t="s">
        <v>26</v>
      </c>
      <c r="F5" s="3" t="s">
        <v>24</v>
      </c>
      <c r="G5" s="9">
        <v>373479</v>
      </c>
      <c r="H5" s="17" t="s">
        <v>107</v>
      </c>
      <c r="I5" s="26" t="str">
        <f t="shared" si="0"/>
        <v>FELIPE</v>
      </c>
      <c r="J5" s="26" t="str">
        <f t="shared" si="1"/>
        <v>1Imperatriz - MA4</v>
      </c>
      <c r="K5" s="27" t="str">
        <f>IFERROR(VLOOKUP(J5,Substituicoes!J:J,1,0),"SS")</f>
        <v>SS</v>
      </c>
      <c r="L5" s="27" t="str">
        <f>IFERROR(VLOOKUP(J5,Substituicoes!K:K,1,0),"SS")</f>
        <v>SS</v>
      </c>
      <c r="M5" s="28" t="b">
        <f t="shared" si="2"/>
        <v>1</v>
      </c>
      <c r="N5" s="29">
        <f>IF(AND(K5=L5,LEFT(E5,1)="T"),VLOOKUP(A5,'JOGOS BASE'!A:E,4,0),IF(K5=J5,VLOOKUP(J5,Substituicoes!J:R,6,0),IF(L5=J5,VLOOKUP(Escalacao!J5,Substituicoes!K:R,7,0),0)))</f>
        <v>49</v>
      </c>
      <c r="O5" s="28">
        <f>IF(AND(K5=L5,LEFT(E5,1)="T"),VLOOKUP(A5,'JOGOS BASE'!A:E,5,0),IF(K5=J5,VLOOKUP(J5,Substituicoes!J:R,7,0),IF(L5=J5,VLOOKUP(Escalacao!J5,Substituicoes!K:R,8,0),0)))</f>
        <v>50</v>
      </c>
      <c r="P5" s="28">
        <f t="shared" si="3"/>
        <v>99</v>
      </c>
      <c r="Q5" s="28" t="str">
        <f t="shared" si="4"/>
        <v>14Imperatriz - MA</v>
      </c>
      <c r="R5" s="28" t="str">
        <f>VLOOKUP(A5,'JOGOS BASE'!A:H,8)</f>
        <v>11.01.2025 - Imperatriz - MA x Sampaio Corrêa - MA</v>
      </c>
    </row>
    <row r="6" spans="1:18" ht="30.6" hidden="1">
      <c r="A6" s="17">
        <v>1</v>
      </c>
      <c r="B6" s="1">
        <v>5</v>
      </c>
      <c r="C6" s="2" t="s">
        <v>30</v>
      </c>
      <c r="D6" s="2" t="s">
        <v>31</v>
      </c>
      <c r="E6" s="3" t="s">
        <v>26</v>
      </c>
      <c r="F6" s="3" t="s">
        <v>24</v>
      </c>
      <c r="G6" s="9">
        <v>345029</v>
      </c>
      <c r="H6" s="17" t="s">
        <v>107</v>
      </c>
      <c r="I6" s="26" t="str">
        <f t="shared" si="0"/>
        <v>Jeferson P ...</v>
      </c>
      <c r="J6" s="26" t="str">
        <f t="shared" si="1"/>
        <v>1Imperatriz - MA5</v>
      </c>
      <c r="K6" s="27" t="str">
        <f>IFERROR(VLOOKUP(J6,Substituicoes!J:J,1,0),"SS")</f>
        <v>SS</v>
      </c>
      <c r="L6" s="27" t="str">
        <f>IFERROR(VLOOKUP(J6,Substituicoes!K:K,1,0),"SS")</f>
        <v>1Imperatriz - MA5</v>
      </c>
      <c r="M6" s="28" t="b">
        <f t="shared" si="2"/>
        <v>0</v>
      </c>
      <c r="N6" s="29">
        <f>IF(AND(K6=L6,LEFT(E6,1)="T"),VLOOKUP(A6,'JOGOS BASE'!A:E,4,0),IF(K6=J6,VLOOKUP(J6,Substituicoes!J:R,6,0),IF(L6=J6,VLOOKUP(Escalacao!J6,Substituicoes!K:R,7,0),0)))</f>
        <v>49</v>
      </c>
      <c r="O6" s="28">
        <f>IF(AND(K6=L6,LEFT(E6,1)="T"),VLOOKUP(A6,'JOGOS BASE'!A:E,5,0),IF(K6=J6,VLOOKUP(J6,Substituicoes!J:R,7,0),IF(L6=J6,VLOOKUP(Escalacao!J6,Substituicoes!K:R,8,0),0)))</f>
        <v>27</v>
      </c>
      <c r="P6" s="28">
        <f t="shared" si="3"/>
        <v>76</v>
      </c>
      <c r="Q6" s="28" t="str">
        <f t="shared" si="4"/>
        <v>15Imperatriz - MA</v>
      </c>
      <c r="R6" s="28" t="str">
        <f>VLOOKUP(A6,'JOGOS BASE'!A:H,8)</f>
        <v>11.01.2025 - Imperatriz - MA x Sampaio Corrêa - MA</v>
      </c>
    </row>
    <row r="7" spans="1:18" ht="30.6" hidden="1">
      <c r="A7" s="17">
        <v>1</v>
      </c>
      <c r="B7" s="1">
        <v>6</v>
      </c>
      <c r="C7" s="2" t="s">
        <v>3</v>
      </c>
      <c r="D7" s="2" t="s">
        <v>32</v>
      </c>
      <c r="E7" s="3" t="s">
        <v>26</v>
      </c>
      <c r="F7" s="3" t="s">
        <v>24</v>
      </c>
      <c r="G7" s="9">
        <v>634279</v>
      </c>
      <c r="H7" s="17" t="s">
        <v>107</v>
      </c>
      <c r="I7" s="26" t="str">
        <f t="shared" si="0"/>
        <v>Negueba</v>
      </c>
      <c r="J7" s="26" t="str">
        <f t="shared" si="1"/>
        <v>1Imperatriz - MA6</v>
      </c>
      <c r="K7" s="27" t="str">
        <f>IFERROR(VLOOKUP(J7,Substituicoes!J:J,1,0),"SS")</f>
        <v>SS</v>
      </c>
      <c r="L7" s="27" t="str">
        <f>IFERROR(VLOOKUP(J7,Substituicoes!K:K,1,0),"SS")</f>
        <v>SS</v>
      </c>
      <c r="M7" s="28" t="b">
        <f t="shared" si="2"/>
        <v>1</v>
      </c>
      <c r="N7" s="29">
        <f>IF(AND(K7=L7,LEFT(E7,1)="T"),VLOOKUP(A7,'JOGOS BASE'!A:E,4,0),IF(K7=J7,VLOOKUP(J7,Substituicoes!J:R,6,0),IF(L7=J7,VLOOKUP(Escalacao!J7,Substituicoes!K:R,7,0),0)))</f>
        <v>49</v>
      </c>
      <c r="O7" s="28">
        <f>IF(AND(K7=L7,LEFT(E7,1)="T"),VLOOKUP(A7,'JOGOS BASE'!A:E,5,0),IF(K7=J7,VLOOKUP(J7,Substituicoes!J:R,7,0),IF(L7=J7,VLOOKUP(Escalacao!J7,Substituicoes!K:R,8,0),0)))</f>
        <v>50</v>
      </c>
      <c r="P7" s="28">
        <f t="shared" si="3"/>
        <v>99</v>
      </c>
      <c r="Q7" s="28" t="str">
        <f t="shared" si="4"/>
        <v>16Imperatriz - MA</v>
      </c>
      <c r="R7" s="28" t="str">
        <f>VLOOKUP(A7,'JOGOS BASE'!A:H,8)</f>
        <v>11.01.2025 - Imperatriz - MA x Sampaio Corrêa - MA</v>
      </c>
    </row>
    <row r="8" spans="1:18" ht="20.399999999999999" hidden="1">
      <c r="A8" s="17">
        <v>1</v>
      </c>
      <c r="B8" s="1">
        <v>7</v>
      </c>
      <c r="C8" s="2" t="s">
        <v>4</v>
      </c>
      <c r="D8" s="2" t="s">
        <v>33</v>
      </c>
      <c r="E8" s="3" t="s">
        <v>26</v>
      </c>
      <c r="F8" s="3" t="s">
        <v>24</v>
      </c>
      <c r="G8" s="9">
        <v>546130</v>
      </c>
      <c r="H8" s="17" t="s">
        <v>107</v>
      </c>
      <c r="I8" s="26" t="str">
        <f t="shared" si="0"/>
        <v>Felipinho</v>
      </c>
      <c r="J8" s="26" t="str">
        <f t="shared" si="1"/>
        <v>1Imperatriz - MA7</v>
      </c>
      <c r="K8" s="27" t="str">
        <f>IFERROR(VLOOKUP(J8,Substituicoes!J:J,1,0),"SS")</f>
        <v>SS</v>
      </c>
      <c r="L8" s="27" t="str">
        <f>IFERROR(VLOOKUP(J8,Substituicoes!K:K,1,0),"SS")</f>
        <v>1Imperatriz - MA7</v>
      </c>
      <c r="M8" s="28" t="b">
        <f t="shared" si="2"/>
        <v>0</v>
      </c>
      <c r="N8" s="29">
        <f>IF(AND(K8=L8,LEFT(E8,1)="T"),VLOOKUP(A8,'JOGOS BASE'!A:E,4,0),IF(K8=J8,VLOOKUP(J8,Substituicoes!J:R,6,0),IF(L8=J8,VLOOKUP(Escalacao!J8,Substituicoes!K:R,7,0),0)))</f>
        <v>49</v>
      </c>
      <c r="O8" s="28">
        <f>IF(AND(K8=L8,LEFT(E8,1)="T"),VLOOKUP(A8,'JOGOS BASE'!A:E,5,0),IF(K8=J8,VLOOKUP(J8,Substituicoes!J:R,7,0),IF(L8=J8,VLOOKUP(Escalacao!J8,Substituicoes!K:R,8,0),0)))</f>
        <v>40</v>
      </c>
      <c r="P8" s="28">
        <f t="shared" si="3"/>
        <v>89</v>
      </c>
      <c r="Q8" s="28" t="str">
        <f t="shared" si="4"/>
        <v>17Imperatriz - MA</v>
      </c>
      <c r="R8" s="28" t="str">
        <f>VLOOKUP(A8,'JOGOS BASE'!A:H,8)</f>
        <v>11.01.2025 - Imperatriz - MA x Sampaio Corrêa - MA</v>
      </c>
    </row>
    <row r="9" spans="1:18" ht="30.6" hidden="1">
      <c r="A9" s="17">
        <v>1</v>
      </c>
      <c r="B9" s="1">
        <v>8</v>
      </c>
      <c r="C9" s="2" t="s">
        <v>5</v>
      </c>
      <c r="D9" s="2" t="s">
        <v>34</v>
      </c>
      <c r="E9" s="3" t="s">
        <v>26</v>
      </c>
      <c r="F9" s="3" t="s">
        <v>24</v>
      </c>
      <c r="G9" s="9">
        <v>348355</v>
      </c>
      <c r="H9" s="17" t="s">
        <v>107</v>
      </c>
      <c r="I9" s="26" t="str">
        <f t="shared" si="0"/>
        <v>Felipe Macena</v>
      </c>
      <c r="J9" s="26" t="str">
        <f t="shared" si="1"/>
        <v>1Imperatriz - MA8</v>
      </c>
      <c r="K9" s="27" t="str">
        <f>IFERROR(VLOOKUP(J9,Substituicoes!J:J,1,0),"SS")</f>
        <v>SS</v>
      </c>
      <c r="L9" s="27" t="str">
        <f>IFERROR(VLOOKUP(J9,Substituicoes!K:K,1,0),"SS")</f>
        <v>SS</v>
      </c>
      <c r="M9" s="28" t="b">
        <f t="shared" si="2"/>
        <v>1</v>
      </c>
      <c r="N9" s="29">
        <f>IF(AND(K9=L9,LEFT(E9,1)="T"),VLOOKUP(A9,'JOGOS BASE'!A:E,4,0),IF(K9=J9,VLOOKUP(J9,Substituicoes!J:R,6,0),IF(L9=J9,VLOOKUP(Escalacao!J9,Substituicoes!K:R,7,0),0)))</f>
        <v>49</v>
      </c>
      <c r="O9" s="28">
        <f>IF(AND(K9=L9,LEFT(E9,1)="T"),VLOOKUP(A9,'JOGOS BASE'!A:E,5,0),IF(K9=J9,VLOOKUP(J9,Substituicoes!J:R,7,0),IF(L9=J9,VLOOKUP(Escalacao!J9,Substituicoes!K:R,8,0),0)))</f>
        <v>50</v>
      </c>
      <c r="P9" s="28">
        <f t="shared" si="3"/>
        <v>99</v>
      </c>
      <c r="Q9" s="28" t="str">
        <f t="shared" si="4"/>
        <v>18Imperatriz - MA</v>
      </c>
      <c r="R9" s="28" t="str">
        <f>VLOOKUP(A9,'JOGOS BASE'!A:H,8)</f>
        <v>11.01.2025 - Imperatriz - MA x Sampaio Corrêa - MA</v>
      </c>
    </row>
    <row r="10" spans="1:18" ht="30.6" hidden="1">
      <c r="A10" s="17">
        <v>1</v>
      </c>
      <c r="B10" s="1">
        <v>9</v>
      </c>
      <c r="C10" s="2" t="s">
        <v>6</v>
      </c>
      <c r="D10" s="2" t="s">
        <v>35</v>
      </c>
      <c r="E10" s="3" t="s">
        <v>26</v>
      </c>
      <c r="F10" s="3" t="s">
        <v>24</v>
      </c>
      <c r="G10" s="9">
        <v>637641</v>
      </c>
      <c r="H10" s="17" t="s">
        <v>107</v>
      </c>
      <c r="I10" s="26" t="str">
        <f t="shared" si="0"/>
        <v>Lussandro</v>
      </c>
      <c r="J10" s="26" t="str">
        <f t="shared" si="1"/>
        <v>1Imperatriz - MA9</v>
      </c>
      <c r="K10" s="27" t="str">
        <f>IFERROR(VLOOKUP(J10,Substituicoes!J:J,1,0),"SS")</f>
        <v>SS</v>
      </c>
      <c r="L10" s="27" t="str">
        <f>IFERROR(VLOOKUP(J10,Substituicoes!K:K,1,0),"SS")</f>
        <v>1Imperatriz - MA9</v>
      </c>
      <c r="M10" s="28" t="b">
        <f t="shared" si="2"/>
        <v>0</v>
      </c>
      <c r="N10" s="29">
        <f>IF(AND(K10=L10,LEFT(E10,1)="T"),VLOOKUP(A10,'JOGOS BASE'!A:E,4,0),IF(K10=J10,VLOOKUP(J10,Substituicoes!J:R,6,0),IF(L10=J10,VLOOKUP(Escalacao!J10,Substituicoes!K:R,7,0),0)))</f>
        <v>49</v>
      </c>
      <c r="O10" s="28">
        <f>IF(AND(K10=L10,LEFT(E10,1)="T"),VLOOKUP(A10,'JOGOS BASE'!A:E,5,0),IF(K10=J10,VLOOKUP(J10,Substituicoes!J:R,7,0),IF(L10=J10,VLOOKUP(Escalacao!J10,Substituicoes!K:R,8,0),0)))</f>
        <v>27</v>
      </c>
      <c r="P10" s="28">
        <f t="shared" si="3"/>
        <v>76</v>
      </c>
      <c r="Q10" s="28" t="str">
        <f t="shared" si="4"/>
        <v>19Imperatriz - MA</v>
      </c>
      <c r="R10" s="28" t="str">
        <f>VLOOKUP(A10,'JOGOS BASE'!A:H,8)</f>
        <v>11.01.2025 - Imperatriz - MA x Sampaio Corrêa - MA</v>
      </c>
    </row>
    <row r="11" spans="1:18" ht="30.6" hidden="1">
      <c r="A11" s="17">
        <v>1</v>
      </c>
      <c r="B11" s="1">
        <v>10</v>
      </c>
      <c r="C11" s="2" t="s">
        <v>36</v>
      </c>
      <c r="D11" s="2" t="s">
        <v>37</v>
      </c>
      <c r="E11" s="3" t="s">
        <v>26</v>
      </c>
      <c r="F11" s="3" t="s">
        <v>24</v>
      </c>
      <c r="G11" s="9">
        <v>293426</v>
      </c>
      <c r="H11" s="17" t="s">
        <v>107</v>
      </c>
      <c r="I11" s="26" t="str">
        <f t="shared" si="0"/>
        <v>Henrique S ...</v>
      </c>
      <c r="J11" s="26" t="str">
        <f t="shared" si="1"/>
        <v>1Imperatriz - MA10</v>
      </c>
      <c r="K11" s="27" t="str">
        <f>IFERROR(VLOOKUP(J11,Substituicoes!J:J,1,0),"SS")</f>
        <v>SS</v>
      </c>
      <c r="L11" s="27" t="str">
        <f>IFERROR(VLOOKUP(J11,Substituicoes!K:K,1,0),"SS")</f>
        <v>1Imperatriz - MA10</v>
      </c>
      <c r="M11" s="28" t="b">
        <f t="shared" si="2"/>
        <v>0</v>
      </c>
      <c r="N11" s="29">
        <f>IF(AND(K11=L11,LEFT(E11,1)="T"),VLOOKUP(A11,'JOGOS BASE'!A:E,4,0),IF(K11=J11,VLOOKUP(J11,Substituicoes!J:R,6,0),IF(L11=J11,VLOOKUP(Escalacao!J11,Substituicoes!K:R,7,0),0)))</f>
        <v>49</v>
      </c>
      <c r="O11" s="28">
        <f>IF(AND(K11=L11,LEFT(E11,1)="T"),VLOOKUP(A11,'JOGOS BASE'!A:E,5,0),IF(K11=J11,VLOOKUP(J11,Substituicoes!J:R,7,0),IF(L11=J11,VLOOKUP(Escalacao!J11,Substituicoes!K:R,8,0),0)))</f>
        <v>0</v>
      </c>
      <c r="P11" s="28">
        <f t="shared" si="3"/>
        <v>49</v>
      </c>
      <c r="Q11" s="28" t="str">
        <f t="shared" si="4"/>
        <v>110Imperatriz - MA</v>
      </c>
      <c r="R11" s="28" t="str">
        <f>VLOOKUP(A11,'JOGOS BASE'!A:H,8)</f>
        <v>11.01.2025 - Imperatriz - MA x Sampaio Corrêa - MA</v>
      </c>
    </row>
    <row r="12" spans="1:18" ht="20.399999999999999" hidden="1">
      <c r="A12" s="17">
        <v>1</v>
      </c>
      <c r="B12" s="1">
        <v>11</v>
      </c>
      <c r="C12" s="2" t="s">
        <v>7</v>
      </c>
      <c r="D12" s="2" t="s">
        <v>38</v>
      </c>
      <c r="E12" s="3" t="s">
        <v>26</v>
      </c>
      <c r="F12" s="3" t="s">
        <v>24</v>
      </c>
      <c r="G12" s="9">
        <v>386286</v>
      </c>
      <c r="H12" s="17" t="s">
        <v>107</v>
      </c>
      <c r="I12" s="26" t="str">
        <f t="shared" si="0"/>
        <v>Café</v>
      </c>
      <c r="J12" s="26" t="str">
        <f t="shared" si="1"/>
        <v>1Imperatriz - MA11</v>
      </c>
      <c r="K12" s="27" t="str">
        <f>IFERROR(VLOOKUP(J12,Substituicoes!J:J,1,0),"SS")</f>
        <v>SS</v>
      </c>
      <c r="L12" s="27" t="str">
        <f>IFERROR(VLOOKUP(J12,Substituicoes!K:K,1,0),"SS")</f>
        <v>1Imperatriz - MA11</v>
      </c>
      <c r="M12" s="28" t="b">
        <f t="shared" si="2"/>
        <v>0</v>
      </c>
      <c r="N12" s="29">
        <f>IF(AND(K12=L12,LEFT(E12,1)="T"),VLOOKUP(A12,'JOGOS BASE'!A:E,4,0),IF(K12=J12,VLOOKUP(J12,Substituicoes!J:R,6,0),IF(L12=J12,VLOOKUP(Escalacao!J12,Substituicoes!K:R,7,0),0)))</f>
        <v>49</v>
      </c>
      <c r="O12" s="28">
        <f>IF(AND(K12=L12,LEFT(E12,1)="T"),VLOOKUP(A12,'JOGOS BASE'!A:E,5,0),IF(K12=J12,VLOOKUP(J12,Substituicoes!J:R,7,0),IF(L12=J12,VLOOKUP(Escalacao!J12,Substituicoes!K:R,8,0),0)))</f>
        <v>13</v>
      </c>
      <c r="P12" s="28">
        <f t="shared" si="3"/>
        <v>62</v>
      </c>
      <c r="Q12" s="28" t="str">
        <f t="shared" si="4"/>
        <v>111Imperatriz - MA</v>
      </c>
      <c r="R12" s="28" t="str">
        <f>VLOOKUP(A12,'JOGOS BASE'!A:H,8)</f>
        <v>11.01.2025 - Imperatriz - MA x Sampaio Corrêa - MA</v>
      </c>
    </row>
    <row r="13" spans="1:18" ht="30.6" hidden="1">
      <c r="A13" s="17">
        <v>1</v>
      </c>
      <c r="B13" s="1">
        <v>12</v>
      </c>
      <c r="C13" s="2" t="s">
        <v>8</v>
      </c>
      <c r="D13" s="2" t="s">
        <v>39</v>
      </c>
      <c r="E13" s="3" t="s">
        <v>40</v>
      </c>
      <c r="F13" s="3" t="s">
        <v>24</v>
      </c>
      <c r="G13" s="9">
        <v>426518</v>
      </c>
      <c r="H13" s="17" t="s">
        <v>107</v>
      </c>
      <c r="I13" s="26" t="str">
        <f t="shared" si="0"/>
        <v>Redson</v>
      </c>
      <c r="J13" s="26" t="str">
        <f t="shared" si="1"/>
        <v>1Imperatriz - MA12</v>
      </c>
      <c r="K13" s="27" t="str">
        <f>IFERROR(VLOOKUP(J13,Substituicoes!J:J,1,0),"SS")</f>
        <v>SS</v>
      </c>
      <c r="L13" s="27" t="str">
        <f>IFERROR(VLOOKUP(J13,Substituicoes!K:K,1,0),"SS")</f>
        <v>SS</v>
      </c>
      <c r="M13" s="28" t="b">
        <f t="shared" si="2"/>
        <v>1</v>
      </c>
      <c r="N13" s="29">
        <f>IF(AND(K13=L13,LEFT(E13,1)="T"),VLOOKUP(A13,'JOGOS BASE'!A:E,4,0),IF(K13=J13,VLOOKUP(J13,Substituicoes!J:R,6,0),IF(L13=J13,VLOOKUP(Escalacao!J13,Substituicoes!K:R,7,0),0)))</f>
        <v>0</v>
      </c>
      <c r="O13" s="28">
        <f>IF(AND(K13=L13,LEFT(E13,1)="T"),VLOOKUP(A13,'JOGOS BASE'!A:E,5,0),IF(K13=J13,VLOOKUP(J13,Substituicoes!J:R,7,0),IF(L13=J13,VLOOKUP(Escalacao!J13,Substituicoes!K:R,8,0),0)))</f>
        <v>0</v>
      </c>
      <c r="P13" s="28">
        <f t="shared" si="3"/>
        <v>0</v>
      </c>
      <c r="Q13" s="28" t="str">
        <f t="shared" si="4"/>
        <v>112Imperatriz - MA</v>
      </c>
      <c r="R13" s="28" t="str">
        <f>VLOOKUP(A13,'JOGOS BASE'!A:H,8)</f>
        <v>11.01.2025 - Imperatriz - MA x Sampaio Corrêa - MA</v>
      </c>
    </row>
    <row r="14" spans="1:18" ht="30.6" hidden="1">
      <c r="A14" s="17">
        <v>1</v>
      </c>
      <c r="B14" s="1">
        <v>13</v>
      </c>
      <c r="C14" s="2" t="s">
        <v>9</v>
      </c>
      <c r="D14" s="2" t="s">
        <v>41</v>
      </c>
      <c r="E14" s="3" t="s">
        <v>42</v>
      </c>
      <c r="F14" s="3" t="s">
        <v>24</v>
      </c>
      <c r="G14" s="9">
        <v>460285</v>
      </c>
      <c r="H14" s="17" t="s">
        <v>107</v>
      </c>
      <c r="I14" s="26" t="str">
        <f t="shared" si="0"/>
        <v>Max Maraba</v>
      </c>
      <c r="J14" s="26" t="str">
        <f t="shared" si="1"/>
        <v>1Imperatriz - MA13</v>
      </c>
      <c r="K14" s="27" t="str">
        <f>IFERROR(VLOOKUP(J14,Substituicoes!J:J,1,0),"SS")</f>
        <v>SS</v>
      </c>
      <c r="L14" s="27" t="str">
        <f>IFERROR(VLOOKUP(J14,Substituicoes!K:K,1,0),"SS")</f>
        <v>SS</v>
      </c>
      <c r="M14" s="28" t="b">
        <f t="shared" si="2"/>
        <v>1</v>
      </c>
      <c r="N14" s="29">
        <f>IF(AND(K14=L14,LEFT(E14,1)="T"),VLOOKUP(A14,'JOGOS BASE'!A:E,4,0),IF(K14=J14,VLOOKUP(J14,Substituicoes!J:R,6,0),IF(L14=J14,VLOOKUP(Escalacao!J14,Substituicoes!K:R,7,0),0)))</f>
        <v>0</v>
      </c>
      <c r="O14" s="28">
        <f>IF(AND(K14=L14,LEFT(E14,1)="T"),VLOOKUP(A14,'JOGOS BASE'!A:E,5,0),IF(K14=J14,VLOOKUP(J14,Substituicoes!J:R,7,0),IF(L14=J14,VLOOKUP(Escalacao!J14,Substituicoes!K:R,8,0),0)))</f>
        <v>0</v>
      </c>
      <c r="P14" s="28">
        <f t="shared" si="3"/>
        <v>0</v>
      </c>
      <c r="Q14" s="28" t="str">
        <f t="shared" si="4"/>
        <v>113Imperatriz - MA</v>
      </c>
      <c r="R14" s="28" t="str">
        <f>VLOOKUP(A14,'JOGOS BASE'!A:H,8)</f>
        <v>11.01.2025 - Imperatriz - MA x Sampaio Corrêa - MA</v>
      </c>
    </row>
    <row r="15" spans="1:18" ht="30.6" hidden="1">
      <c r="A15" s="17">
        <v>1</v>
      </c>
      <c r="B15" s="1">
        <v>14</v>
      </c>
      <c r="C15" s="2" t="s">
        <v>43</v>
      </c>
      <c r="D15" s="2" t="s">
        <v>44</v>
      </c>
      <c r="E15" s="3" t="s">
        <v>42</v>
      </c>
      <c r="F15" s="3" t="s">
        <v>24</v>
      </c>
      <c r="G15" s="9">
        <v>782606</v>
      </c>
      <c r="H15" s="17" t="s">
        <v>107</v>
      </c>
      <c r="I15" s="26" t="str">
        <f t="shared" si="0"/>
        <v>Raylson</v>
      </c>
      <c r="J15" s="26" t="str">
        <f t="shared" si="1"/>
        <v>1Imperatriz - MA14</v>
      </c>
      <c r="K15" s="27" t="str">
        <f>IFERROR(VLOOKUP(J15,Substituicoes!J:J,1,0),"SS")</f>
        <v>SS</v>
      </c>
      <c r="L15" s="27" t="str">
        <f>IFERROR(VLOOKUP(J15,Substituicoes!K:K,1,0),"SS")</f>
        <v>SS</v>
      </c>
      <c r="M15" s="28" t="b">
        <f t="shared" si="2"/>
        <v>1</v>
      </c>
      <c r="N15" s="29">
        <f>IF(AND(K15=L15,LEFT(E15,1)="T"),VLOOKUP(A15,'JOGOS BASE'!A:E,4,0),IF(K15=J15,VLOOKUP(J15,Substituicoes!J:R,6,0),IF(L15=J15,VLOOKUP(Escalacao!J15,Substituicoes!K:R,7,0),0)))</f>
        <v>0</v>
      </c>
      <c r="O15" s="28">
        <f>IF(AND(K15=L15,LEFT(E15,1)="T"),VLOOKUP(A15,'JOGOS BASE'!A:E,5,0),IF(K15=J15,VLOOKUP(J15,Substituicoes!J:R,7,0),IF(L15=J15,VLOOKUP(Escalacao!J15,Substituicoes!K:R,8,0),0)))</f>
        <v>0</v>
      </c>
      <c r="P15" s="28">
        <f t="shared" si="3"/>
        <v>0</v>
      </c>
      <c r="Q15" s="28" t="str">
        <f t="shared" si="4"/>
        <v>114Imperatriz - MA</v>
      </c>
      <c r="R15" s="28" t="str">
        <f>VLOOKUP(A15,'JOGOS BASE'!A:H,8)</f>
        <v>11.01.2025 - Imperatriz - MA x Sampaio Corrêa - MA</v>
      </c>
    </row>
    <row r="16" spans="1:18" ht="30.6" hidden="1">
      <c r="A16" s="17">
        <v>1</v>
      </c>
      <c r="B16" s="1">
        <v>15</v>
      </c>
      <c r="C16" s="2" t="s">
        <v>45</v>
      </c>
      <c r="D16" s="2" t="s">
        <v>46</v>
      </c>
      <c r="E16" s="3" t="s">
        <v>42</v>
      </c>
      <c r="F16" s="3" t="s">
        <v>24</v>
      </c>
      <c r="G16" s="9">
        <v>500483</v>
      </c>
      <c r="H16" s="17" t="s">
        <v>107</v>
      </c>
      <c r="I16" s="26" t="str">
        <f t="shared" si="0"/>
        <v>CARLOS</v>
      </c>
      <c r="J16" s="26" t="str">
        <f t="shared" si="1"/>
        <v>1Imperatriz - MA15</v>
      </c>
      <c r="K16" s="27" t="str">
        <f>IFERROR(VLOOKUP(J16,Substituicoes!J:J,1,0),"SS")</f>
        <v>SS</v>
      </c>
      <c r="L16" s="27" t="str">
        <f>IFERROR(VLOOKUP(J16,Substituicoes!K:K,1,0),"SS")</f>
        <v>SS</v>
      </c>
      <c r="M16" s="28" t="b">
        <f t="shared" si="2"/>
        <v>1</v>
      </c>
      <c r="N16" s="29">
        <f>IF(AND(K16=L16,LEFT(E16,1)="T"),VLOOKUP(A16,'JOGOS BASE'!A:E,4,0),IF(K16=J16,VLOOKUP(J16,Substituicoes!J:R,6,0),IF(L16=J16,VLOOKUP(Escalacao!J16,Substituicoes!K:R,7,0),0)))</f>
        <v>0</v>
      </c>
      <c r="O16" s="28">
        <f>IF(AND(K16=L16,LEFT(E16,1)="T"),VLOOKUP(A16,'JOGOS BASE'!A:E,5,0),IF(K16=J16,VLOOKUP(J16,Substituicoes!J:R,7,0),IF(L16=J16,VLOOKUP(Escalacao!J16,Substituicoes!K:R,8,0),0)))</f>
        <v>0</v>
      </c>
      <c r="P16" s="28">
        <f t="shared" si="3"/>
        <v>0</v>
      </c>
      <c r="Q16" s="28" t="str">
        <f t="shared" si="4"/>
        <v>115Imperatriz - MA</v>
      </c>
      <c r="R16" s="28" t="str">
        <f>VLOOKUP(A16,'JOGOS BASE'!A:H,8)</f>
        <v>11.01.2025 - Imperatriz - MA x Sampaio Corrêa - MA</v>
      </c>
    </row>
    <row r="17" spans="1:18" ht="30.6" hidden="1">
      <c r="A17" s="17">
        <v>1</v>
      </c>
      <c r="B17" s="1">
        <v>16</v>
      </c>
      <c r="C17" s="2" t="s">
        <v>47</v>
      </c>
      <c r="D17" s="2" t="s">
        <v>48</v>
      </c>
      <c r="E17" s="3" t="s">
        <v>42</v>
      </c>
      <c r="F17" s="3" t="s">
        <v>24</v>
      </c>
      <c r="G17" s="9">
        <v>762553</v>
      </c>
      <c r="H17" s="17" t="s">
        <v>107</v>
      </c>
      <c r="I17" s="26" t="str">
        <f t="shared" si="0"/>
        <v>ADRIAN</v>
      </c>
      <c r="J17" s="26" t="str">
        <f t="shared" si="1"/>
        <v>1Imperatriz - MA16</v>
      </c>
      <c r="K17" s="27" t="str">
        <f>IFERROR(VLOOKUP(J17,Substituicoes!J:J,1,0),"SS")</f>
        <v>SS</v>
      </c>
      <c r="L17" s="27" t="str">
        <f>IFERROR(VLOOKUP(J17,Substituicoes!K:K,1,0),"SS")</f>
        <v>SS</v>
      </c>
      <c r="M17" s="28" t="b">
        <f t="shared" si="2"/>
        <v>1</v>
      </c>
      <c r="N17" s="29">
        <f>IF(AND(K17=L17,LEFT(E17,1)="T"),VLOOKUP(A17,'JOGOS BASE'!A:E,4,0),IF(K17=J17,VLOOKUP(J17,Substituicoes!J:R,6,0),IF(L17=J17,VLOOKUP(Escalacao!J17,Substituicoes!K:R,7,0),0)))</f>
        <v>0</v>
      </c>
      <c r="O17" s="28">
        <f>IF(AND(K17=L17,LEFT(E17,1)="T"),VLOOKUP(A17,'JOGOS BASE'!A:E,5,0),IF(K17=J17,VLOOKUP(J17,Substituicoes!J:R,7,0),IF(L17=J17,VLOOKUP(Escalacao!J17,Substituicoes!K:R,8,0),0)))</f>
        <v>0</v>
      </c>
      <c r="P17" s="28">
        <f t="shared" si="3"/>
        <v>0</v>
      </c>
      <c r="Q17" s="28" t="str">
        <f t="shared" si="4"/>
        <v>116Imperatriz - MA</v>
      </c>
      <c r="R17" s="28" t="str">
        <f>VLOOKUP(A17,'JOGOS BASE'!A:H,8)</f>
        <v>11.01.2025 - Imperatriz - MA x Sampaio Corrêa - MA</v>
      </c>
    </row>
    <row r="18" spans="1:18" ht="30.6" hidden="1">
      <c r="A18" s="17">
        <v>1</v>
      </c>
      <c r="B18" s="1">
        <v>17</v>
      </c>
      <c r="C18" s="2" t="s">
        <v>10</v>
      </c>
      <c r="D18" s="2" t="s">
        <v>49</v>
      </c>
      <c r="E18" s="3" t="s">
        <v>42</v>
      </c>
      <c r="F18" s="3" t="s">
        <v>24</v>
      </c>
      <c r="G18" s="9">
        <v>647823</v>
      </c>
      <c r="H18" s="17" t="s">
        <v>107</v>
      </c>
      <c r="I18" s="26" t="str">
        <f t="shared" si="0"/>
        <v>Pedro Zuccolo</v>
      </c>
      <c r="J18" s="26" t="str">
        <f t="shared" si="1"/>
        <v>1Imperatriz - MA17</v>
      </c>
      <c r="K18" s="27" t="str">
        <f>IFERROR(VLOOKUP(J18,Substituicoes!J:J,1,0),"SS")</f>
        <v>1Imperatriz - MA17</v>
      </c>
      <c r="L18" s="27" t="str">
        <f>IFERROR(VLOOKUP(J18,Substituicoes!K:K,1,0),"SS")</f>
        <v>SS</v>
      </c>
      <c r="M18" s="28" t="b">
        <f t="shared" si="2"/>
        <v>0</v>
      </c>
      <c r="N18" s="29">
        <f>IF(AND(K18=L18,LEFT(E18,1)="T"),VLOOKUP(A18,'JOGOS BASE'!A:E,4,0),IF(K18=J18,VLOOKUP(J18,Substituicoes!J:R,6,0),IF(L18=J18,VLOOKUP(Escalacao!J18,Substituicoes!K:R,7,0),0)))</f>
        <v>0</v>
      </c>
      <c r="O18" s="28">
        <f>IF(AND(K18=L18,LEFT(E18,1)="T"),VLOOKUP(A18,'JOGOS BASE'!A:E,5,0),IF(K18=J18,VLOOKUP(J18,Substituicoes!J:R,7,0),IF(L18=J18,VLOOKUP(Escalacao!J18,Substituicoes!K:R,8,0),0)))</f>
        <v>23</v>
      </c>
      <c r="P18" s="28">
        <f t="shared" si="3"/>
        <v>23</v>
      </c>
      <c r="Q18" s="28" t="str">
        <f t="shared" si="4"/>
        <v>117Imperatriz - MA</v>
      </c>
      <c r="R18" s="28" t="str">
        <f>VLOOKUP(A18,'JOGOS BASE'!A:H,8)</f>
        <v>11.01.2025 - Imperatriz - MA x Sampaio Corrêa - MA</v>
      </c>
    </row>
    <row r="19" spans="1:18" ht="30.6" hidden="1">
      <c r="A19" s="17">
        <v>1</v>
      </c>
      <c r="B19" s="1">
        <v>18</v>
      </c>
      <c r="C19" s="2" t="s">
        <v>11</v>
      </c>
      <c r="D19" s="2" t="s">
        <v>50</v>
      </c>
      <c r="E19" s="3" t="s">
        <v>42</v>
      </c>
      <c r="F19" s="3" t="s">
        <v>24</v>
      </c>
      <c r="G19" s="9">
        <v>753179</v>
      </c>
      <c r="H19" s="17" t="s">
        <v>107</v>
      </c>
      <c r="I19" s="26" t="str">
        <f t="shared" si="0"/>
        <v>Xinayder</v>
      </c>
      <c r="J19" s="26" t="str">
        <f t="shared" si="1"/>
        <v>1Imperatriz - MA18</v>
      </c>
      <c r="K19" s="27" t="str">
        <f>IFERROR(VLOOKUP(J19,Substituicoes!J:J,1,0),"SS")</f>
        <v>SS</v>
      </c>
      <c r="L19" s="27" t="str">
        <f>IFERROR(VLOOKUP(J19,Substituicoes!K:K,1,0),"SS")</f>
        <v>SS</v>
      </c>
      <c r="M19" s="28" t="b">
        <f t="shared" si="2"/>
        <v>1</v>
      </c>
      <c r="N19" s="29">
        <f>IF(AND(K19=L19,LEFT(E19,1)="T"),VLOOKUP(A19,'JOGOS BASE'!A:E,4,0),IF(K19=J19,VLOOKUP(J19,Substituicoes!J:R,6,0),IF(L19=J19,VLOOKUP(Escalacao!J19,Substituicoes!K:R,7,0),0)))</f>
        <v>0</v>
      </c>
      <c r="O19" s="28">
        <f>IF(AND(K19=L19,LEFT(E19,1)="T"),VLOOKUP(A19,'JOGOS BASE'!A:E,5,0),IF(K19=J19,VLOOKUP(J19,Substituicoes!J:R,7,0),IF(L19=J19,VLOOKUP(Escalacao!J19,Substituicoes!K:R,8,0),0)))</f>
        <v>0</v>
      </c>
      <c r="P19" s="28">
        <f t="shared" si="3"/>
        <v>0</v>
      </c>
      <c r="Q19" s="28" t="str">
        <f t="shared" si="4"/>
        <v>118Imperatriz - MA</v>
      </c>
      <c r="R19" s="28" t="str">
        <f>VLOOKUP(A19,'JOGOS BASE'!A:H,8)</f>
        <v>11.01.2025 - Imperatriz - MA x Sampaio Corrêa - MA</v>
      </c>
    </row>
    <row r="20" spans="1:18" ht="30.6" hidden="1">
      <c r="A20" s="17">
        <v>1</v>
      </c>
      <c r="B20" s="1">
        <v>19</v>
      </c>
      <c r="C20" s="2" t="s">
        <v>51</v>
      </c>
      <c r="D20" s="2" t="s">
        <v>52</v>
      </c>
      <c r="E20" s="3" t="s">
        <v>42</v>
      </c>
      <c r="F20" s="3" t="s">
        <v>24</v>
      </c>
      <c r="G20" s="9">
        <v>611147</v>
      </c>
      <c r="H20" s="17" t="s">
        <v>107</v>
      </c>
      <c r="I20" s="26" t="str">
        <f t="shared" si="0"/>
        <v>WYLDSON</v>
      </c>
      <c r="J20" s="26" t="str">
        <f t="shared" si="1"/>
        <v>1Imperatriz - MA19</v>
      </c>
      <c r="K20" s="27" t="str">
        <f>IFERROR(VLOOKUP(J20,Substituicoes!J:J,1,0),"SS")</f>
        <v>1Imperatriz - MA19</v>
      </c>
      <c r="L20" s="27" t="str">
        <f>IFERROR(VLOOKUP(J20,Substituicoes!K:K,1,0),"SS")</f>
        <v>SS</v>
      </c>
      <c r="M20" s="28" t="b">
        <f t="shared" si="2"/>
        <v>0</v>
      </c>
      <c r="N20" s="29">
        <f>IF(AND(K20=L20,LEFT(E20,1)="T"),VLOOKUP(A20,'JOGOS BASE'!A:E,4,0),IF(K20=J20,VLOOKUP(J20,Substituicoes!J:R,6,0),IF(L20=J20,VLOOKUP(Escalacao!J20,Substituicoes!K:R,7,0),0)))</f>
        <v>0</v>
      </c>
      <c r="O20" s="28">
        <f>IF(AND(K20=L20,LEFT(E20,1)="T"),VLOOKUP(A20,'JOGOS BASE'!A:E,5,0),IF(K20=J20,VLOOKUP(J20,Substituicoes!J:R,7,0),IF(L20=J20,VLOOKUP(Escalacao!J20,Substituicoes!K:R,8,0),0)))</f>
        <v>50</v>
      </c>
      <c r="P20" s="28">
        <f t="shared" si="3"/>
        <v>50</v>
      </c>
      <c r="Q20" s="28" t="str">
        <f t="shared" si="4"/>
        <v>119Imperatriz - MA</v>
      </c>
      <c r="R20" s="28" t="str">
        <f>VLOOKUP(A20,'JOGOS BASE'!A:H,8)</f>
        <v>11.01.2025 - Imperatriz - MA x Sampaio Corrêa - MA</v>
      </c>
    </row>
    <row r="21" spans="1:18" ht="20.399999999999999" hidden="1">
      <c r="A21" s="17">
        <v>1</v>
      </c>
      <c r="B21" s="1">
        <v>20</v>
      </c>
      <c r="C21" s="2" t="s">
        <v>12</v>
      </c>
      <c r="D21" s="2" t="s">
        <v>53</v>
      </c>
      <c r="E21" s="3" t="s">
        <v>42</v>
      </c>
      <c r="F21" s="3" t="s">
        <v>24</v>
      </c>
      <c r="G21" s="9">
        <v>582303</v>
      </c>
      <c r="H21" s="17" t="s">
        <v>107</v>
      </c>
      <c r="I21" s="26" t="str">
        <f t="shared" si="0"/>
        <v>Ruan</v>
      </c>
      <c r="J21" s="26" t="str">
        <f t="shared" si="1"/>
        <v>1Imperatriz - MA20</v>
      </c>
      <c r="K21" s="27" t="str">
        <f>IFERROR(VLOOKUP(J21,Substituicoes!J:J,1,0),"SS")</f>
        <v>1Imperatriz - MA20</v>
      </c>
      <c r="L21" s="27" t="str">
        <f>IFERROR(VLOOKUP(J21,Substituicoes!K:K,1,0),"SS")</f>
        <v>SS</v>
      </c>
      <c r="M21" s="28" t="b">
        <f t="shared" si="2"/>
        <v>0</v>
      </c>
      <c r="N21" s="29">
        <f>IF(AND(K21=L21,LEFT(E21,1)="T"),VLOOKUP(A21,'JOGOS BASE'!A:E,4,0),IF(K21=J21,VLOOKUP(J21,Substituicoes!J:R,6,0),IF(L21=J21,VLOOKUP(Escalacao!J21,Substituicoes!K:R,7,0),0)))</f>
        <v>0</v>
      </c>
      <c r="O21" s="28">
        <f>IF(AND(K21=L21,LEFT(E21,1)="T"),VLOOKUP(A21,'JOGOS BASE'!A:E,5,0),IF(K21=J21,VLOOKUP(J21,Substituicoes!J:R,7,0),IF(L21=J21,VLOOKUP(Escalacao!J21,Substituicoes!K:R,8,0),0)))</f>
        <v>10</v>
      </c>
      <c r="P21" s="28">
        <f t="shared" si="3"/>
        <v>10</v>
      </c>
      <c r="Q21" s="28" t="str">
        <f t="shared" si="4"/>
        <v>120Imperatriz - MA</v>
      </c>
      <c r="R21" s="28" t="str">
        <f>VLOOKUP(A21,'JOGOS BASE'!A:H,8)</f>
        <v>11.01.2025 - Imperatriz - MA x Sampaio Corrêa - MA</v>
      </c>
    </row>
    <row r="22" spans="1:18" ht="30.6" hidden="1">
      <c r="A22" s="17">
        <v>1</v>
      </c>
      <c r="B22" s="1">
        <v>21</v>
      </c>
      <c r="C22" s="2" t="s">
        <v>54</v>
      </c>
      <c r="D22" s="2" t="s">
        <v>55</v>
      </c>
      <c r="E22" s="3" t="s">
        <v>42</v>
      </c>
      <c r="F22" s="3" t="s">
        <v>56</v>
      </c>
      <c r="G22" s="9">
        <v>688309</v>
      </c>
      <c r="H22" s="17" t="s">
        <v>107</v>
      </c>
      <c r="I22" s="26" t="str">
        <f t="shared" si="0"/>
        <v>WESLEY CO</v>
      </c>
      <c r="J22" s="26" t="str">
        <f t="shared" si="1"/>
        <v>1Imperatriz - MA21</v>
      </c>
      <c r="K22" s="27" t="str">
        <f>IFERROR(VLOOKUP(J22,Substituicoes!J:J,1,0),"SS")</f>
        <v>1Imperatriz - MA21</v>
      </c>
      <c r="L22" s="27" t="str">
        <f>IFERROR(VLOOKUP(J22,Substituicoes!K:K,1,0),"SS")</f>
        <v>SS</v>
      </c>
      <c r="M22" s="28" t="b">
        <f t="shared" si="2"/>
        <v>0</v>
      </c>
      <c r="N22" s="29">
        <f>IF(AND(K22=L22,LEFT(E22,1)="T"),VLOOKUP(A22,'JOGOS BASE'!A:E,4,0),IF(K22=J22,VLOOKUP(J22,Substituicoes!J:R,6,0),IF(L22=J22,VLOOKUP(Escalacao!J22,Substituicoes!K:R,7,0),0)))</f>
        <v>0</v>
      </c>
      <c r="O22" s="28">
        <f>IF(AND(K22=L22,LEFT(E22,1)="T"),VLOOKUP(A22,'JOGOS BASE'!A:E,5,0),IF(K22=J22,VLOOKUP(J22,Substituicoes!J:R,7,0),IF(L22=J22,VLOOKUP(Escalacao!J22,Substituicoes!K:R,8,0),0)))</f>
        <v>37</v>
      </c>
      <c r="P22" s="28">
        <f t="shared" si="3"/>
        <v>37</v>
      </c>
      <c r="Q22" s="28" t="str">
        <f t="shared" si="4"/>
        <v>121Imperatriz - MA</v>
      </c>
      <c r="R22" s="28" t="str">
        <f>VLOOKUP(A22,'JOGOS BASE'!A:H,8)</f>
        <v>11.01.2025 - Imperatriz - MA x Sampaio Corrêa - MA</v>
      </c>
    </row>
    <row r="23" spans="1:18" ht="30.6" hidden="1">
      <c r="A23" s="17">
        <v>1</v>
      </c>
      <c r="B23" s="1">
        <v>22</v>
      </c>
      <c r="C23" s="2" t="s">
        <v>57</v>
      </c>
      <c r="D23" s="2" t="s">
        <v>58</v>
      </c>
      <c r="E23" s="3" t="s">
        <v>42</v>
      </c>
      <c r="F23" s="3" t="s">
        <v>24</v>
      </c>
      <c r="G23" s="9">
        <v>762150</v>
      </c>
      <c r="H23" s="17" t="s">
        <v>107</v>
      </c>
      <c r="I23" s="26" t="str">
        <f t="shared" si="0"/>
        <v>Junior</v>
      </c>
      <c r="J23" s="26" t="str">
        <f t="shared" si="1"/>
        <v>1Imperatriz - MA22</v>
      </c>
      <c r="K23" s="27" t="str">
        <f>IFERROR(VLOOKUP(J23,Substituicoes!J:J,1,0),"SS")</f>
        <v>1Imperatriz - MA22</v>
      </c>
      <c r="L23" s="27" t="str">
        <f>IFERROR(VLOOKUP(J23,Substituicoes!K:K,1,0),"SS")</f>
        <v>SS</v>
      </c>
      <c r="M23" s="28" t="b">
        <f t="shared" si="2"/>
        <v>0</v>
      </c>
      <c r="N23" s="29">
        <f>IF(AND(K23=L23,LEFT(E23,1)="T"),VLOOKUP(A23,'JOGOS BASE'!A:E,4,0),IF(K23=J23,VLOOKUP(J23,Substituicoes!J:R,6,0),IF(L23=J23,VLOOKUP(Escalacao!J23,Substituicoes!K:R,7,0),0)))</f>
        <v>0</v>
      </c>
      <c r="O23" s="28">
        <f>IF(AND(K23=L23,LEFT(E23,1)="T"),VLOOKUP(A23,'JOGOS BASE'!A:E,5,0),IF(K23=J23,VLOOKUP(J23,Substituicoes!J:R,7,0),IF(L23=J23,VLOOKUP(Escalacao!J23,Substituicoes!K:R,8,0),0)))</f>
        <v>23</v>
      </c>
      <c r="P23" s="28">
        <f t="shared" si="3"/>
        <v>23</v>
      </c>
      <c r="Q23" s="28" t="str">
        <f t="shared" si="4"/>
        <v>122Imperatriz - MA</v>
      </c>
      <c r="R23" s="28" t="str">
        <f>VLOOKUP(A23,'JOGOS BASE'!A:H,8)</f>
        <v>11.01.2025 - Imperatriz - MA x Sampaio Corrêa - MA</v>
      </c>
    </row>
    <row r="24" spans="1:18" ht="30.6" hidden="1">
      <c r="A24" s="17">
        <v>1</v>
      </c>
      <c r="B24" s="1">
        <v>1</v>
      </c>
      <c r="C24" s="2" t="s">
        <v>59</v>
      </c>
      <c r="D24" s="2" t="s">
        <v>60</v>
      </c>
      <c r="E24" s="3" t="s">
        <v>23</v>
      </c>
      <c r="F24" s="3" t="s">
        <v>24</v>
      </c>
      <c r="G24" s="9">
        <v>639922</v>
      </c>
      <c r="H24" s="17" t="s">
        <v>122</v>
      </c>
      <c r="I24" s="26" t="str">
        <f t="shared" si="0"/>
        <v>ALAN</v>
      </c>
      <c r="J24" s="26" t="str">
        <f t="shared" si="1"/>
        <v>1Sampaio Corrêa - MA1</v>
      </c>
      <c r="K24" s="27" t="str">
        <f>IFERROR(VLOOKUP(J24,Substituicoes!J:J,1,0),"SS")</f>
        <v>SS</v>
      </c>
      <c r="L24" s="27" t="str">
        <f>IFERROR(VLOOKUP(J24,Substituicoes!K:K,1,0),"SS")</f>
        <v>SS</v>
      </c>
      <c r="M24" s="28" t="b">
        <f t="shared" si="2"/>
        <v>1</v>
      </c>
      <c r="N24" s="29">
        <f>IF(AND(K24=L24,LEFT(E24,1)="T"),VLOOKUP(A24,'JOGOS BASE'!A:E,4,0),IF(K24=J24,VLOOKUP(J24,Substituicoes!J:R,6,0),IF(L24=J24,VLOOKUP(Escalacao!J24,Substituicoes!K:R,7,0),0)))</f>
        <v>49</v>
      </c>
      <c r="O24" s="28">
        <f>IF(AND(K24=L24,LEFT(E24,1)="T"),VLOOKUP(A24,'JOGOS BASE'!A:E,5,0),IF(K24=J24,VLOOKUP(J24,Substituicoes!J:R,7,0),IF(L24=J24,VLOOKUP(Escalacao!J24,Substituicoes!K:R,8,0),0)))</f>
        <v>50</v>
      </c>
      <c r="P24" s="28">
        <f t="shared" si="3"/>
        <v>99</v>
      </c>
      <c r="Q24" s="28" t="str">
        <f t="shared" si="4"/>
        <v>11Sampaio Corrêa - MA</v>
      </c>
      <c r="R24" s="28" t="str">
        <f>VLOOKUP(A24,'JOGOS BASE'!A:H,8)</f>
        <v>11.01.2025 - Imperatriz - MA x Sampaio Corrêa - MA</v>
      </c>
    </row>
    <row r="25" spans="1:18" ht="30.6" hidden="1">
      <c r="A25" s="17">
        <v>1</v>
      </c>
      <c r="B25" s="1">
        <v>2</v>
      </c>
      <c r="C25" s="2" t="s">
        <v>61</v>
      </c>
      <c r="D25" s="2" t="s">
        <v>62</v>
      </c>
      <c r="E25" s="3" t="s">
        <v>26</v>
      </c>
      <c r="F25" s="3" t="s">
        <v>24</v>
      </c>
      <c r="G25" s="9">
        <v>400878</v>
      </c>
      <c r="H25" s="17" t="s">
        <v>122</v>
      </c>
      <c r="I25" s="26" t="str">
        <f t="shared" si="0"/>
        <v>JÔ</v>
      </c>
      <c r="J25" s="26" t="str">
        <f t="shared" si="1"/>
        <v>1Sampaio Corrêa - MA2</v>
      </c>
      <c r="K25" s="27" t="str">
        <f>IFERROR(VLOOKUP(J25,Substituicoes!J:J,1,0),"SS")</f>
        <v>SS</v>
      </c>
      <c r="L25" s="27" t="str">
        <f>IFERROR(VLOOKUP(J25,Substituicoes!K:K,1,0),"SS")</f>
        <v>SS</v>
      </c>
      <c r="M25" s="28" t="b">
        <f t="shared" si="2"/>
        <v>1</v>
      </c>
      <c r="N25" s="29">
        <f>IF(AND(K25=L25,LEFT(E25,1)="T"),VLOOKUP(A25,'JOGOS BASE'!A:E,4,0),IF(K25=J25,VLOOKUP(J25,Substituicoes!J:R,6,0),IF(L25=J25,VLOOKUP(Escalacao!J25,Substituicoes!K:R,7,0),0)))</f>
        <v>49</v>
      </c>
      <c r="O25" s="28">
        <f>IF(AND(K25=L25,LEFT(E25,1)="T"),VLOOKUP(A25,'JOGOS BASE'!A:E,5,0),IF(K25=J25,VLOOKUP(J25,Substituicoes!J:R,7,0),IF(L25=J25,VLOOKUP(Escalacao!J25,Substituicoes!K:R,8,0),0)))</f>
        <v>50</v>
      </c>
      <c r="P25" s="28">
        <f t="shared" si="3"/>
        <v>99</v>
      </c>
      <c r="Q25" s="28" t="str">
        <f t="shared" si="4"/>
        <v>12Sampaio Corrêa - MA</v>
      </c>
      <c r="R25" s="28" t="str">
        <f>VLOOKUP(A25,'JOGOS BASE'!A:H,8)</f>
        <v>11.01.2025 - Imperatriz - MA x Sampaio Corrêa - MA</v>
      </c>
    </row>
    <row r="26" spans="1:18" ht="30.6" hidden="1">
      <c r="A26" s="17">
        <v>1</v>
      </c>
      <c r="B26" s="1">
        <v>3</v>
      </c>
      <c r="C26" s="2" t="s">
        <v>13</v>
      </c>
      <c r="D26" s="2" t="s">
        <v>63</v>
      </c>
      <c r="E26" s="3" t="s">
        <v>26</v>
      </c>
      <c r="F26" s="3" t="s">
        <v>24</v>
      </c>
      <c r="G26" s="9">
        <v>657429</v>
      </c>
      <c r="H26" s="17" t="s">
        <v>122</v>
      </c>
      <c r="I26" s="26" t="str">
        <f t="shared" si="0"/>
        <v>Eduardo</v>
      </c>
      <c r="J26" s="26" t="str">
        <f t="shared" si="1"/>
        <v>1Sampaio Corrêa - MA3</v>
      </c>
      <c r="K26" s="27" t="str">
        <f>IFERROR(VLOOKUP(J26,Substituicoes!J:J,1,0),"SS")</f>
        <v>SS</v>
      </c>
      <c r="L26" s="27" t="str">
        <f>IFERROR(VLOOKUP(J26,Substituicoes!K:K,1,0),"SS")</f>
        <v>SS</v>
      </c>
      <c r="M26" s="28" t="b">
        <f t="shared" si="2"/>
        <v>1</v>
      </c>
      <c r="N26" s="29">
        <f>IF(AND(K26=L26,LEFT(E26,1)="T"),VLOOKUP(A26,'JOGOS BASE'!A:E,4,0),IF(K26=J26,VLOOKUP(J26,Substituicoes!J:R,6,0),IF(L26=J26,VLOOKUP(Escalacao!J26,Substituicoes!K:R,7,0),0)))</f>
        <v>49</v>
      </c>
      <c r="O26" s="28">
        <f>IF(AND(K26=L26,LEFT(E26,1)="T"),VLOOKUP(A26,'JOGOS BASE'!A:E,5,0),IF(K26=J26,VLOOKUP(J26,Substituicoes!J:R,7,0),IF(L26=J26,VLOOKUP(Escalacao!J26,Substituicoes!K:R,8,0),0)))</f>
        <v>50</v>
      </c>
      <c r="P26" s="28">
        <f t="shared" si="3"/>
        <v>99</v>
      </c>
      <c r="Q26" s="28" t="str">
        <f t="shared" si="4"/>
        <v>13Sampaio Corrêa - MA</v>
      </c>
      <c r="R26" s="28" t="str">
        <f>VLOOKUP(A26,'JOGOS BASE'!A:H,8)</f>
        <v>11.01.2025 - Imperatriz - MA x Sampaio Corrêa - MA</v>
      </c>
    </row>
    <row r="27" spans="1:18" ht="30.6" hidden="1">
      <c r="A27" s="17">
        <v>1</v>
      </c>
      <c r="B27" s="1">
        <v>4</v>
      </c>
      <c r="C27" s="2" t="s">
        <v>14</v>
      </c>
      <c r="D27" s="2" t="s">
        <v>64</v>
      </c>
      <c r="E27" s="3" t="s">
        <v>26</v>
      </c>
      <c r="F27" s="3" t="s">
        <v>24</v>
      </c>
      <c r="G27" s="9">
        <v>298371</v>
      </c>
      <c r="H27" s="17" t="s">
        <v>122</v>
      </c>
      <c r="I27" s="26" t="str">
        <f t="shared" si="0"/>
        <v>Fabio</v>
      </c>
      <c r="J27" s="26" t="str">
        <f t="shared" si="1"/>
        <v>1Sampaio Corrêa - MA4</v>
      </c>
      <c r="K27" s="27" t="str">
        <f>IFERROR(VLOOKUP(J27,Substituicoes!J:J,1,0),"SS")</f>
        <v>SS</v>
      </c>
      <c r="L27" s="27" t="str">
        <f>IFERROR(VLOOKUP(J27,Substituicoes!K:K,1,0),"SS")</f>
        <v>SS</v>
      </c>
      <c r="M27" s="28" t="b">
        <f t="shared" si="2"/>
        <v>1</v>
      </c>
      <c r="N27" s="29">
        <f>IF(AND(K27=L27,LEFT(E27,1)="T"),VLOOKUP(A27,'JOGOS BASE'!A:E,4,0),IF(K27=J27,VLOOKUP(J27,Substituicoes!J:R,6,0),IF(L27=J27,VLOOKUP(Escalacao!J27,Substituicoes!K:R,7,0),0)))</f>
        <v>49</v>
      </c>
      <c r="O27" s="28">
        <f>IF(AND(K27=L27,LEFT(E27,1)="T"),VLOOKUP(A27,'JOGOS BASE'!A:E,5,0),IF(K27=J27,VLOOKUP(J27,Substituicoes!J:R,7,0),IF(L27=J27,VLOOKUP(Escalacao!J27,Substituicoes!K:R,8,0),0)))</f>
        <v>50</v>
      </c>
      <c r="P27" s="28">
        <f t="shared" si="3"/>
        <v>99</v>
      </c>
      <c r="Q27" s="28" t="str">
        <f t="shared" si="4"/>
        <v>14Sampaio Corrêa - MA</v>
      </c>
      <c r="R27" s="28" t="str">
        <f>VLOOKUP(A27,'JOGOS BASE'!A:H,8)</f>
        <v>11.01.2025 - Imperatriz - MA x Sampaio Corrêa - MA</v>
      </c>
    </row>
    <row r="28" spans="1:18" ht="30.6" hidden="1">
      <c r="A28" s="17">
        <v>1</v>
      </c>
      <c r="B28" s="1">
        <v>5</v>
      </c>
      <c r="C28" s="2" t="s">
        <v>15</v>
      </c>
      <c r="D28" s="2" t="s">
        <v>65</v>
      </c>
      <c r="E28" s="3" t="s">
        <v>26</v>
      </c>
      <c r="F28" s="3" t="s">
        <v>24</v>
      </c>
      <c r="G28" s="9">
        <v>509723</v>
      </c>
      <c r="H28" s="17" t="s">
        <v>122</v>
      </c>
      <c r="I28" s="26" t="str">
        <f t="shared" si="0"/>
        <v>Cavi</v>
      </c>
      <c r="J28" s="26" t="str">
        <f t="shared" si="1"/>
        <v>1Sampaio Corrêa - MA5</v>
      </c>
      <c r="K28" s="27" t="str">
        <f>IFERROR(VLOOKUP(J28,Substituicoes!J:J,1,0),"SS")</f>
        <v>SS</v>
      </c>
      <c r="L28" s="27" t="str">
        <f>IFERROR(VLOOKUP(J28,Substituicoes!K:K,1,0),"SS")</f>
        <v>SS</v>
      </c>
      <c r="M28" s="28" t="b">
        <f t="shared" si="2"/>
        <v>1</v>
      </c>
      <c r="N28" s="29">
        <f>IF(AND(K28=L28,LEFT(E28,1)="T"),VLOOKUP(A28,'JOGOS BASE'!A:E,4,0),IF(K28=J28,VLOOKUP(J28,Substituicoes!J:R,6,0),IF(L28=J28,VLOOKUP(Escalacao!J28,Substituicoes!K:R,7,0),0)))</f>
        <v>49</v>
      </c>
      <c r="O28" s="28">
        <f>IF(AND(K28=L28,LEFT(E28,1)="T"),VLOOKUP(A28,'JOGOS BASE'!A:E,5,0),IF(K28=J28,VLOOKUP(J28,Substituicoes!J:R,7,0),IF(L28=J28,VLOOKUP(Escalacao!J28,Substituicoes!K:R,8,0),0)))</f>
        <v>50</v>
      </c>
      <c r="P28" s="28">
        <f t="shared" si="3"/>
        <v>99</v>
      </c>
      <c r="Q28" s="28" t="str">
        <f t="shared" si="4"/>
        <v>15Sampaio Corrêa - MA</v>
      </c>
      <c r="R28" s="28" t="str">
        <f>VLOOKUP(A28,'JOGOS BASE'!A:H,8)</f>
        <v>11.01.2025 - Imperatriz - MA x Sampaio Corrêa - MA</v>
      </c>
    </row>
    <row r="29" spans="1:18" ht="30.6" hidden="1">
      <c r="A29" s="17">
        <v>1</v>
      </c>
      <c r="B29" s="1">
        <v>6</v>
      </c>
      <c r="C29" s="2" t="s">
        <v>66</v>
      </c>
      <c r="D29" s="2" t="s">
        <v>67</v>
      </c>
      <c r="E29" s="3" t="s">
        <v>26</v>
      </c>
      <c r="F29" s="3" t="s">
        <v>24</v>
      </c>
      <c r="G29" s="9">
        <v>520878</v>
      </c>
      <c r="H29" s="17" t="s">
        <v>122</v>
      </c>
      <c r="I29" s="26" t="str">
        <f t="shared" si="0"/>
        <v>Thiago Rosa</v>
      </c>
      <c r="J29" s="26" t="str">
        <f t="shared" si="1"/>
        <v>1Sampaio Corrêa - MA6</v>
      </c>
      <c r="K29" s="27" t="str">
        <f>IFERROR(VLOOKUP(J29,Substituicoes!J:J,1,0),"SS")</f>
        <v>SS</v>
      </c>
      <c r="L29" s="27" t="str">
        <f>IFERROR(VLOOKUP(J29,Substituicoes!K:K,1,0),"SS")</f>
        <v>1Sampaio Corrêa - MA6</v>
      </c>
      <c r="M29" s="28" t="b">
        <f t="shared" si="2"/>
        <v>0</v>
      </c>
      <c r="N29" s="29">
        <f>IF(AND(K29=L29,LEFT(E29,1)="T"),VLOOKUP(A29,'JOGOS BASE'!A:E,4,0),IF(K29=J29,VLOOKUP(J29,Substituicoes!J:R,6,0),IF(L29=J29,VLOOKUP(Escalacao!J29,Substituicoes!K:R,7,0),0)))</f>
        <v>49</v>
      </c>
      <c r="O29" s="28">
        <f>IF(AND(K29=L29,LEFT(E29,1)="T"),VLOOKUP(A29,'JOGOS BASE'!A:E,5,0),IF(K29=J29,VLOOKUP(J29,Substituicoes!J:R,7,0),IF(L29=J29,VLOOKUP(Escalacao!J29,Substituicoes!K:R,8,0),0)))</f>
        <v>13</v>
      </c>
      <c r="P29" s="28">
        <f t="shared" si="3"/>
        <v>62</v>
      </c>
      <c r="Q29" s="28" t="str">
        <f t="shared" si="4"/>
        <v>16Sampaio Corrêa - MA</v>
      </c>
      <c r="R29" s="28" t="str">
        <f>VLOOKUP(A29,'JOGOS BASE'!A:H,8)</f>
        <v>11.01.2025 - Imperatriz - MA x Sampaio Corrêa - MA</v>
      </c>
    </row>
    <row r="30" spans="1:18" ht="30.6" hidden="1">
      <c r="A30" s="17">
        <v>1</v>
      </c>
      <c r="B30" s="1">
        <v>7</v>
      </c>
      <c r="C30" s="2" t="s">
        <v>68</v>
      </c>
      <c r="D30" s="2" t="s">
        <v>69</v>
      </c>
      <c r="E30" s="3" t="s">
        <v>26</v>
      </c>
      <c r="F30" s="3" t="s">
        <v>24</v>
      </c>
      <c r="G30" s="9">
        <v>725771</v>
      </c>
      <c r="H30" s="17" t="s">
        <v>122</v>
      </c>
      <c r="I30" s="26" t="str">
        <f t="shared" si="0"/>
        <v>JOÃO LENGE</v>
      </c>
      <c r="J30" s="26" t="str">
        <f t="shared" si="1"/>
        <v>1Sampaio Corrêa - MA7</v>
      </c>
      <c r="K30" s="27" t="str">
        <f>IFERROR(VLOOKUP(J30,Substituicoes!J:J,1,0),"SS")</f>
        <v>SS</v>
      </c>
      <c r="L30" s="27" t="str">
        <f>IFERROR(VLOOKUP(J30,Substituicoes!K:K,1,0),"SS")</f>
        <v>1Sampaio Corrêa - MA7</v>
      </c>
      <c r="M30" s="28" t="b">
        <f t="shared" si="2"/>
        <v>0</v>
      </c>
      <c r="N30" s="29">
        <f>IF(AND(K30=L30,LEFT(E30,1)="T"),VLOOKUP(A30,'JOGOS BASE'!A:E,4,0),IF(K30=J30,VLOOKUP(J30,Substituicoes!J:R,6,0),IF(L30=J30,VLOOKUP(Escalacao!J30,Substituicoes!K:R,7,0),0)))</f>
        <v>49</v>
      </c>
      <c r="O30" s="28">
        <f>IF(AND(K30=L30,LEFT(E30,1)="T"),VLOOKUP(A30,'JOGOS BASE'!A:E,5,0),IF(K30=J30,VLOOKUP(J30,Substituicoes!J:R,7,0),IF(L30=J30,VLOOKUP(Escalacao!J30,Substituicoes!K:R,8,0),0)))</f>
        <v>0</v>
      </c>
      <c r="P30" s="28">
        <f t="shared" si="3"/>
        <v>49</v>
      </c>
      <c r="Q30" s="28" t="str">
        <f t="shared" si="4"/>
        <v>17Sampaio Corrêa - MA</v>
      </c>
      <c r="R30" s="28" t="str">
        <f>VLOOKUP(A30,'JOGOS BASE'!A:H,8)</f>
        <v>11.01.2025 - Imperatriz - MA x Sampaio Corrêa - MA</v>
      </c>
    </row>
    <row r="31" spans="1:18" ht="30.6" hidden="1">
      <c r="A31" s="17">
        <v>1</v>
      </c>
      <c r="B31" s="1">
        <v>8</v>
      </c>
      <c r="C31" s="2" t="s">
        <v>70</v>
      </c>
      <c r="D31" s="2" t="s">
        <v>71</v>
      </c>
      <c r="E31" s="3" t="s">
        <v>26</v>
      </c>
      <c r="F31" s="3" t="s">
        <v>24</v>
      </c>
      <c r="G31" s="9">
        <v>525569</v>
      </c>
      <c r="H31" s="17" t="s">
        <v>122</v>
      </c>
      <c r="I31" s="26" t="str">
        <f t="shared" si="0"/>
        <v>Isaias</v>
      </c>
      <c r="J31" s="26" t="str">
        <f t="shared" si="1"/>
        <v>1Sampaio Corrêa - MA8</v>
      </c>
      <c r="K31" s="27" t="str">
        <f>IFERROR(VLOOKUP(J31,Substituicoes!J:J,1,0),"SS")</f>
        <v>SS</v>
      </c>
      <c r="L31" s="27" t="str">
        <f>IFERROR(VLOOKUP(J31,Substituicoes!K:K,1,0),"SS")</f>
        <v>SS</v>
      </c>
      <c r="M31" s="28" t="b">
        <f t="shared" si="2"/>
        <v>1</v>
      </c>
      <c r="N31" s="29">
        <f>IF(AND(K31=L31,LEFT(E31,1)="T"),VLOOKUP(A31,'JOGOS BASE'!A:E,4,0),IF(K31=J31,VLOOKUP(J31,Substituicoes!J:R,6,0),IF(L31=J31,VLOOKUP(Escalacao!J31,Substituicoes!K:R,7,0),0)))</f>
        <v>49</v>
      </c>
      <c r="O31" s="28">
        <f>IF(AND(K31=L31,LEFT(E31,1)="T"),VLOOKUP(A31,'JOGOS BASE'!A:E,5,0),IF(K31=J31,VLOOKUP(J31,Substituicoes!J:R,7,0),IF(L31=J31,VLOOKUP(Escalacao!J31,Substituicoes!K:R,8,0),0)))</f>
        <v>50</v>
      </c>
      <c r="P31" s="28">
        <f t="shared" si="3"/>
        <v>99</v>
      </c>
      <c r="Q31" s="28" t="str">
        <f t="shared" si="4"/>
        <v>18Sampaio Corrêa - MA</v>
      </c>
      <c r="R31" s="28" t="str">
        <f>VLOOKUP(A31,'JOGOS BASE'!A:H,8)</f>
        <v>11.01.2025 - Imperatriz - MA x Sampaio Corrêa - MA</v>
      </c>
    </row>
    <row r="32" spans="1:18" ht="30.6" hidden="1">
      <c r="A32" s="17">
        <v>1</v>
      </c>
      <c r="B32" s="1">
        <v>9</v>
      </c>
      <c r="C32" s="2" t="s">
        <v>72</v>
      </c>
      <c r="D32" s="2" t="s">
        <v>73</v>
      </c>
      <c r="E32" s="3" t="s">
        <v>26</v>
      </c>
      <c r="F32" s="3" t="s">
        <v>24</v>
      </c>
      <c r="G32" s="9">
        <v>436356</v>
      </c>
      <c r="H32" s="17" t="s">
        <v>122</v>
      </c>
      <c r="I32" s="26" t="str">
        <f t="shared" si="0"/>
        <v>Alan James</v>
      </c>
      <c r="J32" s="26" t="str">
        <f t="shared" si="1"/>
        <v>1Sampaio Corrêa - MA9</v>
      </c>
      <c r="K32" s="27" t="str">
        <f>IFERROR(VLOOKUP(J32,Substituicoes!J:J,1,0),"SS")</f>
        <v>SS</v>
      </c>
      <c r="L32" s="27" t="str">
        <f>IFERROR(VLOOKUP(J32,Substituicoes!K:K,1,0),"SS")</f>
        <v>1Sampaio Corrêa - MA9</v>
      </c>
      <c r="M32" s="28" t="b">
        <f t="shared" si="2"/>
        <v>0</v>
      </c>
      <c r="N32" s="29">
        <f>IF(AND(K32=L32,LEFT(E32,1)="T"),VLOOKUP(A32,'JOGOS BASE'!A:E,4,0),IF(K32=J32,VLOOKUP(J32,Substituicoes!J:R,6,0),IF(L32=J32,VLOOKUP(Escalacao!J32,Substituicoes!K:R,7,0),0)))</f>
        <v>49</v>
      </c>
      <c r="O32" s="28">
        <f>IF(AND(K32=L32,LEFT(E32,1)="T"),VLOOKUP(A32,'JOGOS BASE'!A:E,5,0),IF(K32=J32,VLOOKUP(J32,Substituicoes!J:R,7,0),IF(L32=J32,VLOOKUP(Escalacao!J32,Substituicoes!K:R,8,0),0)))</f>
        <v>41</v>
      </c>
      <c r="P32" s="28">
        <f t="shared" si="3"/>
        <v>90</v>
      </c>
      <c r="Q32" s="28" t="str">
        <f t="shared" si="4"/>
        <v>19Sampaio Corrêa - MA</v>
      </c>
      <c r="R32" s="28" t="str">
        <f>VLOOKUP(A32,'JOGOS BASE'!A:H,8)</f>
        <v>11.01.2025 - Imperatriz - MA x Sampaio Corrêa - MA</v>
      </c>
    </row>
    <row r="33" spans="1:18" ht="30.6" hidden="1">
      <c r="A33" s="17">
        <v>1</v>
      </c>
      <c r="B33" s="1">
        <v>10</v>
      </c>
      <c r="C33" s="2" t="s">
        <v>74</v>
      </c>
      <c r="D33" s="2" t="s">
        <v>75</v>
      </c>
      <c r="E33" s="3" t="s">
        <v>26</v>
      </c>
      <c r="F33" s="3" t="s">
        <v>24</v>
      </c>
      <c r="G33" s="9">
        <v>668800</v>
      </c>
      <c r="H33" s="17" t="s">
        <v>122</v>
      </c>
      <c r="I33" s="26" t="str">
        <f t="shared" si="0"/>
        <v>STENCE</v>
      </c>
      <c r="J33" s="26" t="str">
        <f t="shared" si="1"/>
        <v>1Sampaio Corrêa - MA10</v>
      </c>
      <c r="K33" s="27" t="str">
        <f>IFERROR(VLOOKUP(J33,Substituicoes!J:J,1,0),"SS")</f>
        <v>SS</v>
      </c>
      <c r="L33" s="27" t="str">
        <f>IFERROR(VLOOKUP(J33,Substituicoes!K:K,1,0),"SS")</f>
        <v>1Sampaio Corrêa - MA10</v>
      </c>
      <c r="M33" s="28" t="b">
        <f t="shared" si="2"/>
        <v>0</v>
      </c>
      <c r="N33" s="29">
        <f>IF(AND(K33=L33,LEFT(E33,1)="T"),VLOOKUP(A33,'JOGOS BASE'!A:E,4,0),IF(K33=J33,VLOOKUP(J33,Substituicoes!J:R,6,0),IF(L33=J33,VLOOKUP(Escalacao!J33,Substituicoes!K:R,7,0),0)))</f>
        <v>49</v>
      </c>
      <c r="O33" s="28">
        <f>IF(AND(K33=L33,LEFT(E33,1)="T"),VLOOKUP(A33,'JOGOS BASE'!A:E,5,0),IF(K33=J33,VLOOKUP(J33,Substituicoes!J:R,7,0),IF(L33=J33,VLOOKUP(Escalacao!J33,Substituicoes!K:R,8,0),0)))</f>
        <v>13</v>
      </c>
      <c r="P33" s="28">
        <f t="shared" si="3"/>
        <v>62</v>
      </c>
      <c r="Q33" s="28" t="str">
        <f t="shared" si="4"/>
        <v>110Sampaio Corrêa - MA</v>
      </c>
      <c r="R33" s="28" t="str">
        <f>VLOOKUP(A33,'JOGOS BASE'!A:H,8)</f>
        <v>11.01.2025 - Imperatriz - MA x Sampaio Corrêa - MA</v>
      </c>
    </row>
    <row r="34" spans="1:18" ht="30.6" hidden="1">
      <c r="A34" s="17">
        <v>1</v>
      </c>
      <c r="B34" s="1">
        <v>11</v>
      </c>
      <c r="C34" s="2" t="s">
        <v>76</v>
      </c>
      <c r="D34" s="2" t="s">
        <v>77</v>
      </c>
      <c r="E34" s="3" t="s">
        <v>26</v>
      </c>
      <c r="F34" s="3" t="s">
        <v>24</v>
      </c>
      <c r="G34" s="9">
        <v>612220</v>
      </c>
      <c r="H34" s="17" t="s">
        <v>122</v>
      </c>
      <c r="I34" s="26" t="str">
        <f t="shared" si="0"/>
        <v>Wendell</v>
      </c>
      <c r="J34" s="26" t="str">
        <f t="shared" si="1"/>
        <v>1Sampaio Corrêa - MA11</v>
      </c>
      <c r="K34" s="27" t="str">
        <f>IFERROR(VLOOKUP(J34,Substituicoes!J:J,1,0),"SS")</f>
        <v>SS</v>
      </c>
      <c r="L34" s="27" t="str">
        <f>IFERROR(VLOOKUP(J34,Substituicoes!K:K,1,0),"SS")</f>
        <v>1Sampaio Corrêa - MA11</v>
      </c>
      <c r="M34" s="28" t="b">
        <f t="shared" si="2"/>
        <v>0</v>
      </c>
      <c r="N34" s="29">
        <f>IF(AND(K34=L34,LEFT(E34,1)="T"),VLOOKUP(A34,'JOGOS BASE'!A:E,4,0),IF(K34=J34,VLOOKUP(J34,Substituicoes!J:R,6,0),IF(L34=J34,VLOOKUP(Escalacao!J34,Substituicoes!K:R,7,0),0)))</f>
        <v>49</v>
      </c>
      <c r="O34" s="28">
        <f>IF(AND(K34=L34,LEFT(E34,1)="T"),VLOOKUP(A34,'JOGOS BASE'!A:E,5,0),IF(K34=J34,VLOOKUP(J34,Substituicoes!J:R,7,0),IF(L34=J34,VLOOKUP(Escalacao!J34,Substituicoes!K:R,8,0),0)))</f>
        <v>27</v>
      </c>
      <c r="P34" s="28">
        <f t="shared" si="3"/>
        <v>76</v>
      </c>
      <c r="Q34" s="28" t="str">
        <f t="shared" si="4"/>
        <v>111Sampaio Corrêa - MA</v>
      </c>
      <c r="R34" s="28" t="str">
        <f>VLOOKUP(A34,'JOGOS BASE'!A:H,8)</f>
        <v>11.01.2025 - Imperatriz - MA x Sampaio Corrêa - MA</v>
      </c>
    </row>
    <row r="35" spans="1:18" ht="30.6" hidden="1">
      <c r="A35" s="17">
        <v>1</v>
      </c>
      <c r="B35" s="1">
        <v>32</v>
      </c>
      <c r="C35" s="2" t="s">
        <v>78</v>
      </c>
      <c r="D35" s="2" t="s">
        <v>79</v>
      </c>
      <c r="E35" s="3" t="s">
        <v>40</v>
      </c>
      <c r="F35" s="3" t="s">
        <v>24</v>
      </c>
      <c r="G35" s="9">
        <v>387319</v>
      </c>
      <c r="H35" s="17" t="s">
        <v>122</v>
      </c>
      <c r="I35" s="26" t="str">
        <f t="shared" si="0"/>
        <v>Rhuan</v>
      </c>
      <c r="J35" s="26" t="str">
        <f t="shared" si="1"/>
        <v>1Sampaio Corrêa - MA32</v>
      </c>
      <c r="K35" s="27" t="str">
        <f>IFERROR(VLOOKUP(J35,Substituicoes!J:J,1,0),"SS")</f>
        <v>SS</v>
      </c>
      <c r="L35" s="27" t="str">
        <f>IFERROR(VLOOKUP(J35,Substituicoes!K:K,1,0),"SS")</f>
        <v>SS</v>
      </c>
      <c r="M35" s="28" t="b">
        <f t="shared" si="2"/>
        <v>1</v>
      </c>
      <c r="N35" s="29">
        <f>IF(AND(K35=L35,LEFT(E35,1)="T"),VLOOKUP(A35,'JOGOS BASE'!A:E,4,0),IF(K35=J35,VLOOKUP(J35,Substituicoes!J:R,6,0),IF(L35=J35,VLOOKUP(Escalacao!J35,Substituicoes!K:R,7,0),0)))</f>
        <v>0</v>
      </c>
      <c r="O35" s="28">
        <f>IF(AND(K35=L35,LEFT(E35,1)="T"),VLOOKUP(A35,'JOGOS BASE'!A:E,5,0),IF(K35=J35,VLOOKUP(J35,Substituicoes!J:R,7,0),IF(L35=J35,VLOOKUP(Escalacao!J35,Substituicoes!K:R,8,0),0)))</f>
        <v>0</v>
      </c>
      <c r="P35" s="28">
        <f t="shared" si="3"/>
        <v>0</v>
      </c>
      <c r="Q35" s="28" t="str">
        <f t="shared" si="4"/>
        <v>132Sampaio Corrêa - MA</v>
      </c>
      <c r="R35" s="28" t="str">
        <f>VLOOKUP(A35,'JOGOS BASE'!A:H,8)</f>
        <v>11.01.2025 - Imperatriz - MA x Sampaio Corrêa - MA</v>
      </c>
    </row>
    <row r="36" spans="1:18" ht="30.6" hidden="1">
      <c r="A36" s="17">
        <v>1</v>
      </c>
      <c r="B36" s="1">
        <v>13</v>
      </c>
      <c r="C36" s="2" t="s">
        <v>80</v>
      </c>
      <c r="D36" s="2" t="s">
        <v>81</v>
      </c>
      <c r="E36" s="3" t="s">
        <v>42</v>
      </c>
      <c r="F36" s="3" t="s">
        <v>24</v>
      </c>
      <c r="G36" s="9">
        <v>590518</v>
      </c>
      <c r="H36" s="17" t="s">
        <v>122</v>
      </c>
      <c r="I36" s="26" t="str">
        <f t="shared" si="0"/>
        <v>GALVÃO</v>
      </c>
      <c r="J36" s="26" t="str">
        <f t="shared" si="1"/>
        <v>1Sampaio Corrêa - MA13</v>
      </c>
      <c r="K36" s="27" t="str">
        <f>IFERROR(VLOOKUP(J36,Substituicoes!J:J,1,0),"SS")</f>
        <v>SS</v>
      </c>
      <c r="L36" s="27" t="str">
        <f>IFERROR(VLOOKUP(J36,Substituicoes!K:K,1,0),"SS")</f>
        <v>SS</v>
      </c>
      <c r="M36" s="28" t="b">
        <f t="shared" si="2"/>
        <v>1</v>
      </c>
      <c r="N36" s="29">
        <f>IF(AND(K36=L36,LEFT(E36,1)="T"),VLOOKUP(A36,'JOGOS BASE'!A:E,4,0),IF(K36=J36,VLOOKUP(J36,Substituicoes!J:R,6,0),IF(L36=J36,VLOOKUP(Escalacao!J36,Substituicoes!K:R,7,0),0)))</f>
        <v>0</v>
      </c>
      <c r="O36" s="28">
        <f>IF(AND(K36=L36,LEFT(E36,1)="T"),VLOOKUP(A36,'JOGOS BASE'!A:E,5,0),IF(K36=J36,VLOOKUP(J36,Substituicoes!J:R,7,0),IF(L36=J36,VLOOKUP(Escalacao!J36,Substituicoes!K:R,8,0),0)))</f>
        <v>0</v>
      </c>
      <c r="P36" s="28">
        <f t="shared" si="3"/>
        <v>0</v>
      </c>
      <c r="Q36" s="28" t="str">
        <f t="shared" si="4"/>
        <v>113Sampaio Corrêa - MA</v>
      </c>
      <c r="R36" s="28" t="str">
        <f>VLOOKUP(A36,'JOGOS BASE'!A:H,8)</f>
        <v>11.01.2025 - Imperatriz - MA x Sampaio Corrêa - MA</v>
      </c>
    </row>
    <row r="37" spans="1:18" ht="30.6" hidden="1">
      <c r="A37" s="17">
        <v>1</v>
      </c>
      <c r="B37" s="1">
        <v>14</v>
      </c>
      <c r="C37" s="2" t="s">
        <v>82</v>
      </c>
      <c r="D37" s="2" t="s">
        <v>83</v>
      </c>
      <c r="E37" s="3" t="s">
        <v>42</v>
      </c>
      <c r="F37" s="3" t="s">
        <v>24</v>
      </c>
      <c r="G37" s="9">
        <v>552526</v>
      </c>
      <c r="H37" s="17" t="s">
        <v>122</v>
      </c>
      <c r="I37" s="26" t="str">
        <f t="shared" si="0"/>
        <v>Ray</v>
      </c>
      <c r="J37" s="26" t="str">
        <f t="shared" si="1"/>
        <v>1Sampaio Corrêa - MA14</v>
      </c>
      <c r="K37" s="27" t="str">
        <f>IFERROR(VLOOKUP(J37,Substituicoes!J:J,1,0),"SS")</f>
        <v>SS</v>
      </c>
      <c r="L37" s="27" t="str">
        <f>IFERROR(VLOOKUP(J37,Substituicoes!K:K,1,0),"SS")</f>
        <v>SS</v>
      </c>
      <c r="M37" s="28" t="b">
        <f t="shared" si="2"/>
        <v>1</v>
      </c>
      <c r="N37" s="29">
        <f>IF(AND(K37=L37,LEFT(E37,1)="T"),VLOOKUP(A37,'JOGOS BASE'!A:E,4,0),IF(K37=J37,VLOOKUP(J37,Substituicoes!J:R,6,0),IF(L37=J37,VLOOKUP(Escalacao!J37,Substituicoes!K:R,7,0),0)))</f>
        <v>0</v>
      </c>
      <c r="O37" s="28">
        <f>IF(AND(K37=L37,LEFT(E37,1)="T"),VLOOKUP(A37,'JOGOS BASE'!A:E,5,0),IF(K37=J37,VLOOKUP(J37,Substituicoes!J:R,7,0),IF(L37=J37,VLOOKUP(Escalacao!J37,Substituicoes!K:R,8,0),0)))</f>
        <v>0</v>
      </c>
      <c r="P37" s="28">
        <f t="shared" si="3"/>
        <v>0</v>
      </c>
      <c r="Q37" s="28" t="str">
        <f t="shared" si="4"/>
        <v>114Sampaio Corrêa - MA</v>
      </c>
      <c r="R37" s="28" t="str">
        <f>VLOOKUP(A37,'JOGOS BASE'!A:H,8)</f>
        <v>11.01.2025 - Imperatriz - MA x Sampaio Corrêa - MA</v>
      </c>
    </row>
    <row r="38" spans="1:18" ht="30.6" hidden="1">
      <c r="A38" s="17">
        <v>1</v>
      </c>
      <c r="B38" s="1">
        <v>15</v>
      </c>
      <c r="C38" s="2" t="s">
        <v>84</v>
      </c>
      <c r="D38" s="2" t="s">
        <v>85</v>
      </c>
      <c r="E38" s="3" t="s">
        <v>42</v>
      </c>
      <c r="F38" s="3" t="s">
        <v>24</v>
      </c>
      <c r="G38" s="9">
        <v>523681</v>
      </c>
      <c r="H38" s="17" t="s">
        <v>122</v>
      </c>
      <c r="I38" s="26" t="str">
        <f t="shared" si="0"/>
        <v>Jairzinho</v>
      </c>
      <c r="J38" s="26" t="str">
        <f t="shared" si="1"/>
        <v>1Sampaio Corrêa - MA15</v>
      </c>
      <c r="K38" s="27" t="str">
        <f>IFERROR(VLOOKUP(J38,Substituicoes!J:J,1,0),"SS")</f>
        <v>1Sampaio Corrêa - MA15</v>
      </c>
      <c r="L38" s="27" t="str">
        <f>IFERROR(VLOOKUP(J38,Substituicoes!K:K,1,0),"SS")</f>
        <v>SS</v>
      </c>
      <c r="M38" s="28" t="b">
        <f t="shared" si="2"/>
        <v>0</v>
      </c>
      <c r="N38" s="29">
        <f>IF(AND(K38=L38,LEFT(E38,1)="T"),VLOOKUP(A38,'JOGOS BASE'!A:E,4,0),IF(K38=J38,VLOOKUP(J38,Substituicoes!J:R,6,0),IF(L38=J38,VLOOKUP(Escalacao!J38,Substituicoes!K:R,7,0),0)))</f>
        <v>0</v>
      </c>
      <c r="O38" s="28">
        <f>IF(AND(K38=L38,LEFT(E38,1)="T"),VLOOKUP(A38,'JOGOS BASE'!A:E,5,0),IF(K38=J38,VLOOKUP(J38,Substituicoes!J:R,7,0),IF(L38=J38,VLOOKUP(Escalacao!J38,Substituicoes!K:R,8,0),0)))</f>
        <v>37</v>
      </c>
      <c r="P38" s="28">
        <f t="shared" si="3"/>
        <v>37</v>
      </c>
      <c r="Q38" s="28" t="str">
        <f t="shared" si="4"/>
        <v>115Sampaio Corrêa - MA</v>
      </c>
      <c r="R38" s="28" t="str">
        <f>VLOOKUP(A38,'JOGOS BASE'!A:H,8)</f>
        <v>11.01.2025 - Imperatriz - MA x Sampaio Corrêa - MA</v>
      </c>
    </row>
    <row r="39" spans="1:18" ht="30.6" hidden="1">
      <c r="A39" s="17">
        <v>1</v>
      </c>
      <c r="B39" s="1">
        <v>16</v>
      </c>
      <c r="C39" s="2" t="s">
        <v>86</v>
      </c>
      <c r="D39" s="2" t="s">
        <v>87</v>
      </c>
      <c r="E39" s="3" t="s">
        <v>42</v>
      </c>
      <c r="F39" s="3" t="s">
        <v>24</v>
      </c>
      <c r="G39" s="9">
        <v>709331</v>
      </c>
      <c r="H39" s="17" t="s">
        <v>122</v>
      </c>
      <c r="I39" s="26" t="str">
        <f t="shared" si="0"/>
        <v>Dimas</v>
      </c>
      <c r="J39" s="26" t="str">
        <f t="shared" si="1"/>
        <v>1Sampaio Corrêa - MA16</v>
      </c>
      <c r="K39" s="27" t="str">
        <f>IFERROR(VLOOKUP(J39,Substituicoes!J:J,1,0),"SS")</f>
        <v>SS</v>
      </c>
      <c r="L39" s="27" t="str">
        <f>IFERROR(VLOOKUP(J39,Substituicoes!K:K,1,0),"SS")</f>
        <v>SS</v>
      </c>
      <c r="M39" s="28" t="b">
        <f t="shared" si="2"/>
        <v>1</v>
      </c>
      <c r="N39" s="29">
        <f>IF(AND(K39=L39,LEFT(E39,1)="T"),VLOOKUP(A39,'JOGOS BASE'!A:E,4,0),IF(K39=J39,VLOOKUP(J39,Substituicoes!J:R,6,0),IF(L39=J39,VLOOKUP(Escalacao!J39,Substituicoes!K:R,7,0),0)))</f>
        <v>0</v>
      </c>
      <c r="O39" s="28">
        <f>IF(AND(K39=L39,LEFT(E39,1)="T"),VLOOKUP(A39,'JOGOS BASE'!A:E,5,0),IF(K39=J39,VLOOKUP(J39,Substituicoes!J:R,7,0),IF(L39=J39,VLOOKUP(Escalacao!J39,Substituicoes!K:R,8,0),0)))</f>
        <v>0</v>
      </c>
      <c r="P39" s="28">
        <f t="shared" si="3"/>
        <v>0</v>
      </c>
      <c r="Q39" s="28" t="str">
        <f t="shared" si="4"/>
        <v>116Sampaio Corrêa - MA</v>
      </c>
      <c r="R39" s="28" t="str">
        <f>VLOOKUP(A39,'JOGOS BASE'!A:H,8)</f>
        <v>11.01.2025 - Imperatriz - MA x Sampaio Corrêa - MA</v>
      </c>
    </row>
    <row r="40" spans="1:18" ht="30.6" hidden="1">
      <c r="A40" s="17">
        <v>1</v>
      </c>
      <c r="B40" s="1">
        <v>17</v>
      </c>
      <c r="C40" s="2" t="s">
        <v>88</v>
      </c>
      <c r="D40" s="2" t="s">
        <v>89</v>
      </c>
      <c r="E40" s="3" t="s">
        <v>42</v>
      </c>
      <c r="F40" s="3" t="s">
        <v>24</v>
      </c>
      <c r="G40" s="9">
        <v>673834</v>
      </c>
      <c r="H40" s="17" t="s">
        <v>122</v>
      </c>
      <c r="I40" s="26" t="str">
        <f t="shared" si="0"/>
        <v>L7</v>
      </c>
      <c r="J40" s="26" t="str">
        <f t="shared" si="1"/>
        <v>1Sampaio Corrêa - MA17</v>
      </c>
      <c r="K40" s="27" t="str">
        <f>IFERROR(VLOOKUP(J40,Substituicoes!J:J,1,0),"SS")</f>
        <v>1Sampaio Corrêa - MA17</v>
      </c>
      <c r="L40" s="27" t="str">
        <f>IFERROR(VLOOKUP(J40,Substituicoes!K:K,1,0),"SS")</f>
        <v>SS</v>
      </c>
      <c r="M40" s="28" t="b">
        <f t="shared" si="2"/>
        <v>0</v>
      </c>
      <c r="N40" s="29">
        <f>IF(AND(K40=L40,LEFT(E40,1)="T"),VLOOKUP(A40,'JOGOS BASE'!A:E,4,0),IF(K40=J40,VLOOKUP(J40,Substituicoes!J:R,6,0),IF(L40=J40,VLOOKUP(Escalacao!J40,Substituicoes!K:R,7,0),0)))</f>
        <v>0</v>
      </c>
      <c r="O40" s="28">
        <f>IF(AND(K40=L40,LEFT(E40,1)="T"),VLOOKUP(A40,'JOGOS BASE'!A:E,5,0),IF(K40=J40,VLOOKUP(J40,Substituicoes!J:R,7,0),IF(L40=J40,VLOOKUP(Escalacao!J40,Substituicoes!K:R,8,0),0)))</f>
        <v>9</v>
      </c>
      <c r="P40" s="28">
        <f t="shared" si="3"/>
        <v>9</v>
      </c>
      <c r="Q40" s="28" t="str">
        <f t="shared" si="4"/>
        <v>117Sampaio Corrêa - MA</v>
      </c>
      <c r="R40" s="28" t="str">
        <f>VLOOKUP(A40,'JOGOS BASE'!A:H,8)</f>
        <v>11.01.2025 - Imperatriz - MA x Sampaio Corrêa - MA</v>
      </c>
    </row>
    <row r="41" spans="1:18" ht="30.6" hidden="1">
      <c r="A41" s="17">
        <v>1</v>
      </c>
      <c r="B41" s="1">
        <v>18</v>
      </c>
      <c r="C41" s="2" t="s">
        <v>90</v>
      </c>
      <c r="D41" s="2" t="s">
        <v>91</v>
      </c>
      <c r="E41" s="3" t="s">
        <v>42</v>
      </c>
      <c r="F41" s="3" t="s">
        <v>24</v>
      </c>
      <c r="G41" s="9">
        <v>335977</v>
      </c>
      <c r="H41" s="17" t="s">
        <v>122</v>
      </c>
      <c r="I41" s="26" t="str">
        <f t="shared" si="0"/>
        <v>Bruno Matos</v>
      </c>
      <c r="J41" s="26" t="str">
        <f t="shared" si="1"/>
        <v>1Sampaio Corrêa - MA18</v>
      </c>
      <c r="K41" s="27" t="str">
        <f>IFERROR(VLOOKUP(J41,Substituicoes!J:J,1,0),"SS")</f>
        <v>1Sampaio Corrêa - MA18</v>
      </c>
      <c r="L41" s="27" t="str">
        <f>IFERROR(VLOOKUP(J41,Substituicoes!K:K,1,0),"SS")</f>
        <v>SS</v>
      </c>
      <c r="M41" s="28" t="b">
        <f t="shared" si="2"/>
        <v>0</v>
      </c>
      <c r="N41" s="29">
        <f>IF(AND(K41=L41,LEFT(E41,1)="T"),VLOOKUP(A41,'JOGOS BASE'!A:E,4,0),IF(K41=J41,VLOOKUP(J41,Substituicoes!J:R,6,0),IF(L41=J41,VLOOKUP(Escalacao!J41,Substituicoes!K:R,7,0),0)))</f>
        <v>0</v>
      </c>
      <c r="O41" s="28">
        <f>IF(AND(K41=L41,LEFT(E41,1)="T"),VLOOKUP(A41,'JOGOS BASE'!A:E,5,0),IF(K41=J41,VLOOKUP(J41,Substituicoes!J:R,7,0),IF(L41=J41,VLOOKUP(Escalacao!J41,Substituicoes!K:R,8,0),0)))</f>
        <v>37</v>
      </c>
      <c r="P41" s="28">
        <f t="shared" si="3"/>
        <v>37</v>
      </c>
      <c r="Q41" s="28" t="str">
        <f t="shared" si="4"/>
        <v>118Sampaio Corrêa - MA</v>
      </c>
      <c r="R41" s="28" t="str">
        <f>VLOOKUP(A41,'JOGOS BASE'!A:H,8)</f>
        <v>11.01.2025 - Imperatriz - MA x Sampaio Corrêa - MA</v>
      </c>
    </row>
    <row r="42" spans="1:18" ht="30.6" hidden="1">
      <c r="A42" s="17">
        <v>1</v>
      </c>
      <c r="B42" s="1">
        <v>19</v>
      </c>
      <c r="C42" s="2" t="s">
        <v>92</v>
      </c>
      <c r="D42" s="2" t="s">
        <v>93</v>
      </c>
      <c r="E42" s="3" t="s">
        <v>42</v>
      </c>
      <c r="F42" s="3" t="s">
        <v>24</v>
      </c>
      <c r="G42" s="9">
        <v>432056</v>
      </c>
      <c r="H42" s="17" t="s">
        <v>122</v>
      </c>
      <c r="I42" s="26" t="str">
        <f t="shared" si="0"/>
        <v>Thiago</v>
      </c>
      <c r="J42" s="26" t="str">
        <f t="shared" si="1"/>
        <v>1Sampaio Corrêa - MA19</v>
      </c>
      <c r="K42" s="27" t="str">
        <f>IFERROR(VLOOKUP(J42,Substituicoes!J:J,1,0),"SS")</f>
        <v>1Sampaio Corrêa - MA19</v>
      </c>
      <c r="L42" s="27" t="str">
        <f>IFERROR(VLOOKUP(J42,Substituicoes!K:K,1,0),"SS")</f>
        <v>SS</v>
      </c>
      <c r="M42" s="28" t="b">
        <f t="shared" si="2"/>
        <v>0</v>
      </c>
      <c r="N42" s="29">
        <f>IF(AND(K42=L42,LEFT(E42,1)="T"),VLOOKUP(A42,'JOGOS BASE'!A:E,4,0),IF(K42=J42,VLOOKUP(J42,Substituicoes!J:R,6,0),IF(L42=J42,VLOOKUP(Escalacao!J42,Substituicoes!K:R,7,0),0)))</f>
        <v>0</v>
      </c>
      <c r="O42" s="28">
        <f>IF(AND(K42=L42,LEFT(E42,1)="T"),VLOOKUP(A42,'JOGOS BASE'!A:E,5,0),IF(K42=J42,VLOOKUP(J42,Substituicoes!J:R,7,0),IF(L42=J42,VLOOKUP(Escalacao!J42,Substituicoes!K:R,8,0),0)))</f>
        <v>50</v>
      </c>
      <c r="P42" s="28">
        <f t="shared" si="3"/>
        <v>50</v>
      </c>
      <c r="Q42" s="28" t="str">
        <f t="shared" si="4"/>
        <v>119Sampaio Corrêa - MA</v>
      </c>
      <c r="R42" s="28" t="str">
        <f>VLOOKUP(A42,'JOGOS BASE'!A:H,8)</f>
        <v>11.01.2025 - Imperatriz - MA x Sampaio Corrêa - MA</v>
      </c>
    </row>
    <row r="43" spans="1:18" ht="30.6" hidden="1">
      <c r="A43" s="17">
        <v>1</v>
      </c>
      <c r="B43" s="1">
        <v>20</v>
      </c>
      <c r="C43" s="2" t="s">
        <v>94</v>
      </c>
      <c r="D43" s="2" t="s">
        <v>95</v>
      </c>
      <c r="E43" s="3" t="s">
        <v>42</v>
      </c>
      <c r="F43" s="3" t="s">
        <v>24</v>
      </c>
      <c r="G43" s="9">
        <v>757475</v>
      </c>
      <c r="H43" s="17" t="s">
        <v>122</v>
      </c>
      <c r="I43" s="26" t="str">
        <f t="shared" si="0"/>
        <v>JARDSON</v>
      </c>
      <c r="J43" s="26" t="str">
        <f t="shared" si="1"/>
        <v>1Sampaio Corrêa - MA20</v>
      </c>
      <c r="K43" s="27" t="str">
        <f>IFERROR(VLOOKUP(J43,Substituicoes!J:J,1,0),"SS")</f>
        <v>SS</v>
      </c>
      <c r="L43" s="27" t="str">
        <f>IFERROR(VLOOKUP(J43,Substituicoes!K:K,1,0),"SS")</f>
        <v>SS</v>
      </c>
      <c r="M43" s="28" t="b">
        <f t="shared" si="2"/>
        <v>1</v>
      </c>
      <c r="N43" s="29">
        <f>IF(AND(K43=L43,LEFT(E43,1)="T"),VLOOKUP(A43,'JOGOS BASE'!A:E,4,0),IF(K43=J43,VLOOKUP(J43,Substituicoes!J:R,6,0),IF(L43=J43,VLOOKUP(Escalacao!J43,Substituicoes!K:R,7,0),0)))</f>
        <v>0</v>
      </c>
      <c r="O43" s="28">
        <f>IF(AND(K43=L43,LEFT(E43,1)="T"),VLOOKUP(A43,'JOGOS BASE'!A:E,5,0),IF(K43=J43,VLOOKUP(J43,Substituicoes!J:R,7,0),IF(L43=J43,VLOOKUP(Escalacao!J43,Substituicoes!K:R,8,0),0)))</f>
        <v>0</v>
      </c>
      <c r="P43" s="28">
        <f t="shared" si="3"/>
        <v>0</v>
      </c>
      <c r="Q43" s="28" t="str">
        <f t="shared" si="4"/>
        <v>120Sampaio Corrêa - MA</v>
      </c>
      <c r="R43" s="28" t="str">
        <f>VLOOKUP(A43,'JOGOS BASE'!A:H,8)</f>
        <v>11.01.2025 - Imperatriz - MA x Sampaio Corrêa - MA</v>
      </c>
    </row>
    <row r="44" spans="1:18" ht="30.6" hidden="1">
      <c r="A44" s="17">
        <v>1</v>
      </c>
      <c r="B44" s="1">
        <v>21</v>
      </c>
      <c r="C44" s="2" t="s">
        <v>96</v>
      </c>
      <c r="D44" s="2" t="s">
        <v>97</v>
      </c>
      <c r="E44" s="3" t="s">
        <v>42</v>
      </c>
      <c r="F44" s="3" t="s">
        <v>24</v>
      </c>
      <c r="G44" s="9">
        <v>748572</v>
      </c>
      <c r="H44" s="17" t="s">
        <v>122</v>
      </c>
      <c r="I44" s="26" t="str">
        <f t="shared" si="0"/>
        <v>ADRIANO</v>
      </c>
      <c r="J44" s="26" t="str">
        <f t="shared" si="1"/>
        <v>1Sampaio Corrêa - MA21</v>
      </c>
      <c r="K44" s="27" t="str">
        <f>IFERROR(VLOOKUP(J44,Substituicoes!J:J,1,0),"SS")</f>
        <v>1Sampaio Corrêa - MA21</v>
      </c>
      <c r="L44" s="27" t="str">
        <f>IFERROR(VLOOKUP(J44,Substituicoes!K:K,1,0),"SS")</f>
        <v>SS</v>
      </c>
      <c r="M44" s="28" t="b">
        <f t="shared" si="2"/>
        <v>0</v>
      </c>
      <c r="N44" s="29">
        <f>IF(AND(K44=L44,LEFT(E44,1)="T"),VLOOKUP(A44,'JOGOS BASE'!A:E,4,0),IF(K44=J44,VLOOKUP(J44,Substituicoes!J:R,6,0),IF(L44=J44,VLOOKUP(Escalacao!J44,Substituicoes!K:R,7,0),0)))</f>
        <v>0</v>
      </c>
      <c r="O44" s="28">
        <f>IF(AND(K44=L44,LEFT(E44,1)="T"),VLOOKUP(A44,'JOGOS BASE'!A:E,5,0),IF(K44=J44,VLOOKUP(J44,Substituicoes!J:R,7,0),IF(L44=J44,VLOOKUP(Escalacao!J44,Substituicoes!K:R,8,0),0)))</f>
        <v>23</v>
      </c>
      <c r="P44" s="28">
        <f t="shared" si="3"/>
        <v>23</v>
      </c>
      <c r="Q44" s="28" t="str">
        <f t="shared" si="4"/>
        <v>121Sampaio Corrêa - MA</v>
      </c>
      <c r="R44" s="28" t="str">
        <f>VLOOKUP(A44,'JOGOS BASE'!A:H,8)</f>
        <v>11.01.2025 - Imperatriz - MA x Sampaio Corrêa - MA</v>
      </c>
    </row>
    <row r="45" spans="1:18" ht="20.399999999999999" hidden="1">
      <c r="A45" s="15">
        <v>2</v>
      </c>
      <c r="B45" s="46">
        <v>1</v>
      </c>
      <c r="C45" s="45" t="s">
        <v>172</v>
      </c>
      <c r="D45" s="45" t="s">
        <v>173</v>
      </c>
      <c r="E45" s="47" t="s">
        <v>23</v>
      </c>
      <c r="F45" s="47" t="s">
        <v>24</v>
      </c>
      <c r="G45" s="46">
        <v>432643</v>
      </c>
      <c r="H45" s="15" t="s">
        <v>273</v>
      </c>
      <c r="I45" s="26" t="str">
        <f t="shared" ref="I45:I87" si="5">C45</f>
        <v>Allan</v>
      </c>
      <c r="J45" s="26" t="str">
        <f t="shared" ref="J45:J87" si="6">A45&amp;H45&amp;B45</f>
        <v>2Moto Club - MA1</v>
      </c>
      <c r="K45" s="27" t="str">
        <f>IFERROR(VLOOKUP(J45,Substituicoes!J:J,1,0),"SS")</f>
        <v>SS</v>
      </c>
      <c r="L45" s="27" t="str">
        <f>IFERROR(VLOOKUP(J45,Substituicoes!K:K,1,0),"SS")</f>
        <v>SS</v>
      </c>
      <c r="M45" s="28" t="b">
        <f t="shared" ref="M45:M87" si="7">K45=L45</f>
        <v>1</v>
      </c>
      <c r="N45" s="29">
        <f>IF(AND(K45=L45,LEFT(E45,1)="T"),VLOOKUP(A45,'JOGOS BASE'!A:E,4,0),IF(K45=J45,VLOOKUP(J45,Substituicoes!J:R,6,0),IF(L45=J45,VLOOKUP(Escalacao!J45,Substituicoes!K:R,7,0),0)))</f>
        <v>47</v>
      </c>
      <c r="O45" s="28">
        <f>IF(AND(K45=L45,LEFT(E45,1)="T"),VLOOKUP(A45,'JOGOS BASE'!A:E,5,0),IF(K45=J45,VLOOKUP(J45,Substituicoes!J:R,7,0),IF(L45=J45,VLOOKUP(Escalacao!J45,Substituicoes!K:R,8,0),0)))</f>
        <v>50</v>
      </c>
      <c r="P45" s="28">
        <f t="shared" ref="P45:P87" si="8">N45+O45</f>
        <v>97</v>
      </c>
      <c r="Q45" s="28" t="str">
        <f t="shared" ref="Q45:Q87" si="9">A45&amp;B45&amp;H45</f>
        <v>21Moto Club - MA</v>
      </c>
      <c r="R45" s="28" t="str">
        <f>VLOOKUP(A45,'JOGOS BASE'!A:H,8)</f>
        <v>12.01.2025 - Moto Club - MA x Maranhão - MA</v>
      </c>
    </row>
    <row r="46" spans="1:18" ht="30.6" hidden="1">
      <c r="A46" s="15">
        <v>2</v>
      </c>
      <c r="B46" s="46">
        <v>2</v>
      </c>
      <c r="C46" s="45" t="s">
        <v>174</v>
      </c>
      <c r="D46" s="45" t="s">
        <v>175</v>
      </c>
      <c r="E46" s="47" t="s">
        <v>26</v>
      </c>
      <c r="F46" s="47" t="s">
        <v>24</v>
      </c>
      <c r="G46" s="46">
        <v>320977</v>
      </c>
      <c r="H46" s="15" t="s">
        <v>273</v>
      </c>
      <c r="I46" s="26" t="str">
        <f t="shared" si="5"/>
        <v>Vitor</v>
      </c>
      <c r="J46" s="26" t="str">
        <f t="shared" si="6"/>
        <v>2Moto Club - MA2</v>
      </c>
      <c r="K46" s="27" t="str">
        <f>IFERROR(VLOOKUP(J46,Substituicoes!J:J,1,0),"SS")</f>
        <v>SS</v>
      </c>
      <c r="L46" s="27" t="str">
        <f>IFERROR(VLOOKUP(J46,Substituicoes!K:K,1,0),"SS")</f>
        <v>SS</v>
      </c>
      <c r="M46" s="28" t="b">
        <f t="shared" si="7"/>
        <v>1</v>
      </c>
      <c r="N46" s="29">
        <f>IF(AND(K46=L46,LEFT(E46,1)="T"),VLOOKUP(A46,'JOGOS BASE'!A:E,4,0),IF(K46=J46,VLOOKUP(J46,Substituicoes!J:R,6,0),IF(L46=J46,VLOOKUP(Escalacao!J46,Substituicoes!K:R,7,0),0)))</f>
        <v>47</v>
      </c>
      <c r="O46" s="28">
        <f>IF(AND(K46=L46,LEFT(E46,1)="T"),VLOOKUP(A46,'JOGOS BASE'!A:E,5,0),IF(K46=J46,VLOOKUP(J46,Substituicoes!J:R,7,0),IF(L46=J46,VLOOKUP(Escalacao!J46,Substituicoes!K:R,8,0),0)))</f>
        <v>50</v>
      </c>
      <c r="P46" s="28">
        <f t="shared" si="8"/>
        <v>97</v>
      </c>
      <c r="Q46" s="28" t="str">
        <f t="shared" si="9"/>
        <v>22Moto Club - MA</v>
      </c>
      <c r="R46" s="28" t="str">
        <f>VLOOKUP(A46,'JOGOS BASE'!A:H,8)</f>
        <v>12.01.2025 - Moto Club - MA x Maranhão - MA</v>
      </c>
    </row>
    <row r="47" spans="1:18" ht="20.399999999999999" hidden="1">
      <c r="A47" s="15">
        <v>2</v>
      </c>
      <c r="B47" s="46">
        <v>3</v>
      </c>
      <c r="C47" s="45" t="s">
        <v>176</v>
      </c>
      <c r="D47" s="45" t="s">
        <v>177</v>
      </c>
      <c r="E47" s="47" t="s">
        <v>26</v>
      </c>
      <c r="F47" s="47" t="s">
        <v>24</v>
      </c>
      <c r="G47" s="46">
        <v>552504</v>
      </c>
      <c r="H47" s="15" t="s">
        <v>273</v>
      </c>
      <c r="I47" s="26" t="str">
        <f t="shared" si="5"/>
        <v>Yan</v>
      </c>
      <c r="J47" s="26" t="str">
        <f t="shared" si="6"/>
        <v>2Moto Club - MA3</v>
      </c>
      <c r="K47" s="27" t="str">
        <f>IFERROR(VLOOKUP(J47,Substituicoes!J:J,1,0),"SS")</f>
        <v>SS</v>
      </c>
      <c r="L47" s="27" t="str">
        <f>IFERROR(VLOOKUP(J47,Substituicoes!K:K,1,0),"SS")</f>
        <v>2Moto Club - MA3</v>
      </c>
      <c r="M47" s="28" t="b">
        <f t="shared" si="7"/>
        <v>0</v>
      </c>
      <c r="N47" s="29">
        <f>IF(AND(K47=L47,LEFT(E47,1)="T"),VLOOKUP(A47,'JOGOS BASE'!A:E,4,0),IF(K47=J47,VLOOKUP(J47,Substituicoes!J:R,6,0),IF(L47=J47,VLOOKUP(Escalacao!J47,Substituicoes!K:R,7,0),0)))</f>
        <v>47</v>
      </c>
      <c r="O47" s="28">
        <f>IF(AND(K47=L47,LEFT(E47,1)="T"),VLOOKUP(A47,'JOGOS BASE'!A:E,5,0),IF(K47=J47,VLOOKUP(J47,Substituicoes!J:R,7,0),IF(L47=J47,VLOOKUP(Escalacao!J47,Substituicoes!K:R,8,0),0)))</f>
        <v>24</v>
      </c>
      <c r="P47" s="28">
        <f t="shared" si="8"/>
        <v>71</v>
      </c>
      <c r="Q47" s="28" t="str">
        <f t="shared" si="9"/>
        <v>23Moto Club - MA</v>
      </c>
      <c r="R47" s="28" t="str">
        <f>VLOOKUP(A47,'JOGOS BASE'!A:H,8)</f>
        <v>12.01.2025 - Moto Club - MA x Maranhão - MA</v>
      </c>
    </row>
    <row r="48" spans="1:18" ht="20.399999999999999" hidden="1">
      <c r="A48" s="15">
        <v>2</v>
      </c>
      <c r="B48" s="46">
        <v>4</v>
      </c>
      <c r="C48" s="45" t="s">
        <v>178</v>
      </c>
      <c r="D48" s="45" t="s">
        <v>179</v>
      </c>
      <c r="E48" s="47" t="s">
        <v>26</v>
      </c>
      <c r="F48" s="47" t="s">
        <v>24</v>
      </c>
      <c r="G48" s="46">
        <v>412439</v>
      </c>
      <c r="H48" s="15" t="s">
        <v>273</v>
      </c>
      <c r="I48" s="26" t="str">
        <f t="shared" si="5"/>
        <v>Mauricio</v>
      </c>
      <c r="J48" s="26" t="str">
        <f t="shared" si="6"/>
        <v>2Moto Club - MA4</v>
      </c>
      <c r="K48" s="27" t="str">
        <f>IFERROR(VLOOKUP(J48,Substituicoes!J:J,1,0),"SS")</f>
        <v>SS</v>
      </c>
      <c r="L48" s="27" t="str">
        <f>IFERROR(VLOOKUP(J48,Substituicoes!K:K,1,0),"SS")</f>
        <v>SS</v>
      </c>
      <c r="M48" s="28" t="b">
        <f t="shared" si="7"/>
        <v>1</v>
      </c>
      <c r="N48" s="29">
        <f>IF(AND(K48=L48,LEFT(E48,1)="T"),VLOOKUP(A48,'JOGOS BASE'!A:E,4,0),IF(K48=J48,VLOOKUP(J48,Substituicoes!J:R,6,0),IF(L48=J48,VLOOKUP(Escalacao!J48,Substituicoes!K:R,7,0),0)))</f>
        <v>47</v>
      </c>
      <c r="O48" s="28">
        <f>IF(AND(K48=L48,LEFT(E48,1)="T"),VLOOKUP(A48,'JOGOS BASE'!A:E,5,0),IF(K48=J48,VLOOKUP(J48,Substituicoes!J:R,7,0),IF(L48=J48,VLOOKUP(Escalacao!J48,Substituicoes!K:R,8,0),0)))</f>
        <v>50</v>
      </c>
      <c r="P48" s="28">
        <f t="shared" si="8"/>
        <v>97</v>
      </c>
      <c r="Q48" s="28" t="str">
        <f t="shared" si="9"/>
        <v>24Moto Club - MA</v>
      </c>
      <c r="R48" s="28" t="str">
        <f>VLOOKUP(A48,'JOGOS BASE'!A:H,8)</f>
        <v>12.01.2025 - Moto Club - MA x Maranhão - MA</v>
      </c>
    </row>
    <row r="49" spans="1:18" ht="20.399999999999999" hidden="1">
      <c r="A49" s="15">
        <v>2</v>
      </c>
      <c r="B49" s="46">
        <v>5</v>
      </c>
      <c r="C49" s="45" t="s">
        <v>180</v>
      </c>
      <c r="D49" s="45" t="s">
        <v>181</v>
      </c>
      <c r="E49" s="47" t="s">
        <v>26</v>
      </c>
      <c r="F49" s="47" t="s">
        <v>24</v>
      </c>
      <c r="G49" s="46">
        <v>343511</v>
      </c>
      <c r="H49" s="15" t="s">
        <v>273</v>
      </c>
      <c r="I49" s="26" t="str">
        <f t="shared" si="5"/>
        <v>Felipe Dias</v>
      </c>
      <c r="J49" s="26" t="str">
        <f t="shared" si="6"/>
        <v>2Moto Club - MA5</v>
      </c>
      <c r="K49" s="27" t="str">
        <f>IFERROR(VLOOKUP(J49,Substituicoes!J:J,1,0),"SS")</f>
        <v>SS</v>
      </c>
      <c r="L49" s="27" t="str">
        <f>IFERROR(VLOOKUP(J49,Substituicoes!K:K,1,0),"SS")</f>
        <v>SS</v>
      </c>
      <c r="M49" s="28" t="b">
        <f t="shared" si="7"/>
        <v>1</v>
      </c>
      <c r="N49" s="29">
        <f>IF(AND(K49=L49,LEFT(E49,1)="T"),VLOOKUP(A49,'JOGOS BASE'!A:E,4,0),IF(K49=J49,VLOOKUP(J49,Substituicoes!J:R,6,0),IF(L49=J49,VLOOKUP(Escalacao!J49,Substituicoes!K:R,7,0),0)))</f>
        <v>47</v>
      </c>
      <c r="O49" s="28">
        <f>IF(AND(K49=L49,LEFT(E49,1)="T"),VLOOKUP(A49,'JOGOS BASE'!A:E,5,0),IF(K49=J49,VLOOKUP(J49,Substituicoes!J:R,7,0),IF(L49=J49,VLOOKUP(Escalacao!J49,Substituicoes!K:R,8,0),0)))</f>
        <v>50</v>
      </c>
      <c r="P49" s="28">
        <f t="shared" si="8"/>
        <v>97</v>
      </c>
      <c r="Q49" s="28" t="str">
        <f t="shared" si="9"/>
        <v>25Moto Club - MA</v>
      </c>
      <c r="R49" s="28" t="str">
        <f>VLOOKUP(A49,'JOGOS BASE'!A:H,8)</f>
        <v>12.01.2025 - Moto Club - MA x Maranhão - MA</v>
      </c>
    </row>
    <row r="50" spans="1:18" ht="30.6" hidden="1">
      <c r="A50" s="15">
        <v>2</v>
      </c>
      <c r="B50" s="46">
        <v>6</v>
      </c>
      <c r="C50" s="45" t="s">
        <v>182</v>
      </c>
      <c r="D50" s="45" t="s">
        <v>183</v>
      </c>
      <c r="E50" s="47" t="s">
        <v>26</v>
      </c>
      <c r="F50" s="47" t="s">
        <v>24</v>
      </c>
      <c r="G50" s="46">
        <v>708589</v>
      </c>
      <c r="H50" s="15" t="s">
        <v>273</v>
      </c>
      <c r="I50" s="26" t="str">
        <f t="shared" si="5"/>
        <v>GUSTAVO</v>
      </c>
      <c r="J50" s="26" t="str">
        <f t="shared" si="6"/>
        <v>2Moto Club - MA6</v>
      </c>
      <c r="K50" s="27" t="str">
        <f>IFERROR(VLOOKUP(J50,Substituicoes!J:J,1,0),"SS")</f>
        <v>SS</v>
      </c>
      <c r="L50" s="27" t="str">
        <f>IFERROR(VLOOKUP(J50,Substituicoes!K:K,1,0),"SS")</f>
        <v>2Moto Club - MA6</v>
      </c>
      <c r="M50" s="28" t="b">
        <f t="shared" si="7"/>
        <v>0</v>
      </c>
      <c r="N50" s="29">
        <f>IF(AND(K50=L50,LEFT(E50,1)="T"),VLOOKUP(A50,'JOGOS BASE'!A:E,4,0),IF(K50=J50,VLOOKUP(J50,Substituicoes!J:R,6,0),IF(L50=J50,VLOOKUP(Escalacao!J50,Substituicoes!K:R,7,0),0)))</f>
        <v>47</v>
      </c>
      <c r="O50" s="28">
        <f>IF(AND(K50=L50,LEFT(E50,1)="T"),VLOOKUP(A50,'JOGOS BASE'!A:E,5,0),IF(K50=J50,VLOOKUP(J50,Substituicoes!J:R,7,0),IF(L50=J50,VLOOKUP(Escalacao!J50,Substituicoes!K:R,8,0),0)))</f>
        <v>20</v>
      </c>
      <c r="P50" s="28">
        <f t="shared" si="8"/>
        <v>67</v>
      </c>
      <c r="Q50" s="28" t="str">
        <f t="shared" si="9"/>
        <v>26Moto Club - MA</v>
      </c>
      <c r="R50" s="28" t="str">
        <f>VLOOKUP(A50,'JOGOS BASE'!A:H,8)</f>
        <v>12.01.2025 - Moto Club - MA x Maranhão - MA</v>
      </c>
    </row>
    <row r="51" spans="1:18" ht="30.6" hidden="1">
      <c r="A51" s="15">
        <v>2</v>
      </c>
      <c r="B51" s="46">
        <v>7</v>
      </c>
      <c r="C51" s="45" t="s">
        <v>184</v>
      </c>
      <c r="D51" s="45" t="s">
        <v>185</v>
      </c>
      <c r="E51" s="47" t="s">
        <v>26</v>
      </c>
      <c r="F51" s="47" t="s">
        <v>24</v>
      </c>
      <c r="G51" s="46">
        <v>562612</v>
      </c>
      <c r="H51" s="15" t="s">
        <v>273</v>
      </c>
      <c r="I51" s="26" t="str">
        <f t="shared" si="5"/>
        <v>Gustavo</v>
      </c>
      <c r="J51" s="26" t="str">
        <f t="shared" si="6"/>
        <v>2Moto Club - MA7</v>
      </c>
      <c r="K51" s="27" t="str">
        <f>IFERROR(VLOOKUP(J51,Substituicoes!J:J,1,0),"SS")</f>
        <v>SS</v>
      </c>
      <c r="L51" s="27" t="str">
        <f>IFERROR(VLOOKUP(J51,Substituicoes!K:K,1,0),"SS")</f>
        <v>SS</v>
      </c>
      <c r="M51" s="28" t="b">
        <f t="shared" si="7"/>
        <v>1</v>
      </c>
      <c r="N51" s="29">
        <f>IF(AND(K51=L51,LEFT(E51,1)="T"),VLOOKUP(A51,'JOGOS BASE'!A:E,4,0),IF(K51=J51,VLOOKUP(J51,Substituicoes!J:R,6,0),IF(L51=J51,VLOOKUP(Escalacao!J51,Substituicoes!K:R,7,0),0)))</f>
        <v>47</v>
      </c>
      <c r="O51" s="28">
        <f>IF(AND(K51=L51,LEFT(E51,1)="T"),VLOOKUP(A51,'JOGOS BASE'!A:E,5,0),IF(K51=J51,VLOOKUP(J51,Substituicoes!J:R,7,0),IF(L51=J51,VLOOKUP(Escalacao!J51,Substituicoes!K:R,8,0),0)))</f>
        <v>50</v>
      </c>
      <c r="P51" s="28">
        <f t="shared" si="8"/>
        <v>97</v>
      </c>
      <c r="Q51" s="28" t="str">
        <f t="shared" si="9"/>
        <v>27Moto Club - MA</v>
      </c>
      <c r="R51" s="28" t="str">
        <f>VLOOKUP(A51,'JOGOS BASE'!A:H,8)</f>
        <v>12.01.2025 - Moto Club - MA x Maranhão - MA</v>
      </c>
    </row>
    <row r="52" spans="1:18" ht="30.6" hidden="1">
      <c r="A52" s="15">
        <v>2</v>
      </c>
      <c r="B52" s="46">
        <v>8</v>
      </c>
      <c r="C52" s="45" t="s">
        <v>186</v>
      </c>
      <c r="D52" s="45" t="s">
        <v>187</v>
      </c>
      <c r="E52" s="47" t="s">
        <v>26</v>
      </c>
      <c r="F52" s="47" t="s">
        <v>24</v>
      </c>
      <c r="G52" s="46">
        <v>382358</v>
      </c>
      <c r="H52" s="15" t="s">
        <v>273</v>
      </c>
      <c r="I52" s="26" t="str">
        <f t="shared" si="5"/>
        <v>Lucas</v>
      </c>
      <c r="J52" s="26" t="str">
        <f t="shared" si="6"/>
        <v>2Moto Club - MA8</v>
      </c>
      <c r="K52" s="27" t="str">
        <f>IFERROR(VLOOKUP(J52,Substituicoes!J:J,1,0),"SS")</f>
        <v>SS</v>
      </c>
      <c r="L52" s="27" t="str">
        <f>IFERROR(VLOOKUP(J52,Substituicoes!K:K,1,0),"SS")</f>
        <v>2Moto Club - MA8</v>
      </c>
      <c r="M52" s="28" t="b">
        <f t="shared" si="7"/>
        <v>0</v>
      </c>
      <c r="N52" s="29">
        <f>IF(AND(K52=L52,LEFT(E52,1)="T"),VLOOKUP(A52,'JOGOS BASE'!A:E,4,0),IF(K52=J52,VLOOKUP(J52,Substituicoes!J:R,6,0),IF(L52=J52,VLOOKUP(Escalacao!J52,Substituicoes!K:R,7,0),0)))</f>
        <v>47</v>
      </c>
      <c r="O52" s="28">
        <f>IF(AND(K52=L52,LEFT(E52,1)="T"),VLOOKUP(A52,'JOGOS BASE'!A:E,5,0),IF(K52=J52,VLOOKUP(J52,Substituicoes!J:R,7,0),IF(L52=J52,VLOOKUP(Escalacao!J52,Substituicoes!K:R,8,0),0)))</f>
        <v>24</v>
      </c>
      <c r="P52" s="28">
        <f t="shared" si="8"/>
        <v>71</v>
      </c>
      <c r="Q52" s="28" t="str">
        <f t="shared" si="9"/>
        <v>28Moto Club - MA</v>
      </c>
      <c r="R52" s="28" t="str">
        <f>VLOOKUP(A52,'JOGOS BASE'!A:H,8)</f>
        <v>12.01.2025 - Moto Club - MA x Maranhão - MA</v>
      </c>
    </row>
    <row r="53" spans="1:18" ht="20.399999999999999" hidden="1">
      <c r="A53" s="15">
        <v>2</v>
      </c>
      <c r="B53" s="46">
        <v>9</v>
      </c>
      <c r="C53" s="45" t="s">
        <v>188</v>
      </c>
      <c r="D53" s="45" t="s">
        <v>189</v>
      </c>
      <c r="E53" s="47" t="s">
        <v>26</v>
      </c>
      <c r="F53" s="47" t="s">
        <v>24</v>
      </c>
      <c r="G53" s="46">
        <v>595794</v>
      </c>
      <c r="H53" s="15" t="s">
        <v>273</v>
      </c>
      <c r="I53" s="26" t="str">
        <f t="shared" si="5"/>
        <v>Bolinha</v>
      </c>
      <c r="J53" s="26" t="str">
        <f t="shared" si="6"/>
        <v>2Moto Club - MA9</v>
      </c>
      <c r="K53" s="27" t="str">
        <f>IFERROR(VLOOKUP(J53,Substituicoes!J:J,1,0),"SS")</f>
        <v>SS</v>
      </c>
      <c r="L53" s="27" t="str">
        <f>IFERROR(VLOOKUP(J53,Substituicoes!K:K,1,0),"SS")</f>
        <v>2Moto Club - MA9</v>
      </c>
      <c r="M53" s="28" t="b">
        <f t="shared" si="7"/>
        <v>0</v>
      </c>
      <c r="N53" s="29">
        <f>IF(AND(K53=L53,LEFT(E53,1)="T"),VLOOKUP(A53,'JOGOS BASE'!A:E,4,0),IF(K53=J53,VLOOKUP(J53,Substituicoes!J:R,6,0),IF(L53=J53,VLOOKUP(Escalacao!J53,Substituicoes!K:R,7,0),0)))</f>
        <v>47</v>
      </c>
      <c r="O53" s="28">
        <f>IF(AND(K53=L53,LEFT(E53,1)="T"),VLOOKUP(A53,'JOGOS BASE'!A:E,5,0),IF(K53=J53,VLOOKUP(J53,Substituicoes!J:R,7,0),IF(L53=J53,VLOOKUP(Escalacao!J53,Substituicoes!K:R,8,0),0)))</f>
        <v>15</v>
      </c>
      <c r="P53" s="28">
        <f t="shared" si="8"/>
        <v>62</v>
      </c>
      <c r="Q53" s="28" t="str">
        <f t="shared" si="9"/>
        <v>29Moto Club - MA</v>
      </c>
      <c r="R53" s="28" t="str">
        <f>VLOOKUP(A53,'JOGOS BASE'!A:H,8)</f>
        <v>12.01.2025 - Moto Club - MA x Maranhão - MA</v>
      </c>
    </row>
    <row r="54" spans="1:18" ht="20.399999999999999" hidden="1">
      <c r="A54" s="15">
        <v>2</v>
      </c>
      <c r="B54" s="46">
        <v>10</v>
      </c>
      <c r="C54" s="45" t="s">
        <v>190</v>
      </c>
      <c r="D54" s="45" t="s">
        <v>191</v>
      </c>
      <c r="E54" s="47" t="s">
        <v>26</v>
      </c>
      <c r="F54" s="47" t="s">
        <v>24</v>
      </c>
      <c r="G54" s="46">
        <v>302560</v>
      </c>
      <c r="H54" s="15" t="s">
        <v>273</v>
      </c>
      <c r="I54" s="26" t="str">
        <f t="shared" si="5"/>
        <v>DANILO PIRE</v>
      </c>
      <c r="J54" s="26" t="str">
        <f t="shared" si="6"/>
        <v>2Moto Club - MA10</v>
      </c>
      <c r="K54" s="27" t="str">
        <f>IFERROR(VLOOKUP(J54,Substituicoes!J:J,1,0),"SS")</f>
        <v>SS</v>
      </c>
      <c r="L54" s="27" t="str">
        <f>IFERROR(VLOOKUP(J54,Substituicoes!K:K,1,0),"SS")</f>
        <v>2Moto Club - MA10</v>
      </c>
      <c r="M54" s="28" t="b">
        <f t="shared" si="7"/>
        <v>0</v>
      </c>
      <c r="N54" s="29">
        <f>IF(AND(K54=L54,LEFT(E54,1)="T"),VLOOKUP(A54,'JOGOS BASE'!A:E,4,0),IF(K54=J54,VLOOKUP(J54,Substituicoes!J:R,6,0),IF(L54=J54,VLOOKUP(Escalacao!J54,Substituicoes!K:R,7,0),0)))</f>
        <v>47</v>
      </c>
      <c r="O54" s="28">
        <f>IF(AND(K54=L54,LEFT(E54,1)="T"),VLOOKUP(A54,'JOGOS BASE'!A:E,5,0),IF(K54=J54,VLOOKUP(J54,Substituicoes!J:R,7,0),IF(L54=J54,VLOOKUP(Escalacao!J54,Substituicoes!K:R,8,0),0)))</f>
        <v>15</v>
      </c>
      <c r="P54" s="28">
        <f t="shared" si="8"/>
        <v>62</v>
      </c>
      <c r="Q54" s="28" t="str">
        <f t="shared" si="9"/>
        <v>210Moto Club - MA</v>
      </c>
      <c r="R54" s="28" t="str">
        <f>VLOOKUP(A54,'JOGOS BASE'!A:H,8)</f>
        <v>12.01.2025 - Moto Club - MA x Maranhão - MA</v>
      </c>
    </row>
    <row r="55" spans="1:18" ht="30.6" hidden="1">
      <c r="A55" s="15">
        <v>2</v>
      </c>
      <c r="B55" s="46">
        <v>11</v>
      </c>
      <c r="C55" s="45" t="s">
        <v>192</v>
      </c>
      <c r="D55" s="45" t="s">
        <v>193</v>
      </c>
      <c r="E55" s="47" t="s">
        <v>26</v>
      </c>
      <c r="F55" s="47" t="s">
        <v>24</v>
      </c>
      <c r="G55" s="46">
        <v>438976</v>
      </c>
      <c r="H55" s="15" t="s">
        <v>273</v>
      </c>
      <c r="I55" s="26" t="str">
        <f t="shared" si="5"/>
        <v>Danilo</v>
      </c>
      <c r="J55" s="26" t="str">
        <f t="shared" si="6"/>
        <v>2Moto Club - MA11</v>
      </c>
      <c r="K55" s="27" t="str">
        <f>IFERROR(VLOOKUP(J55,Substituicoes!J:J,1,0),"SS")</f>
        <v>SS</v>
      </c>
      <c r="L55" s="27" t="str">
        <f>IFERROR(VLOOKUP(J55,Substituicoes!K:K,1,0),"SS")</f>
        <v>SS</v>
      </c>
      <c r="M55" s="28" t="b">
        <f t="shared" si="7"/>
        <v>1</v>
      </c>
      <c r="N55" s="29">
        <f>IF(AND(K55=L55,LEFT(E55,1)="T"),VLOOKUP(A55,'JOGOS BASE'!A:E,4,0),IF(K55=J55,VLOOKUP(J55,Substituicoes!J:R,6,0),IF(L55=J55,VLOOKUP(Escalacao!J55,Substituicoes!K:R,7,0),0)))</f>
        <v>47</v>
      </c>
      <c r="O55" s="28">
        <f>IF(AND(K55=L55,LEFT(E55,1)="T"),VLOOKUP(A55,'JOGOS BASE'!A:E,5,0),IF(K55=J55,VLOOKUP(J55,Substituicoes!J:R,7,0),IF(L55=J55,VLOOKUP(Escalacao!J55,Substituicoes!K:R,8,0),0)))</f>
        <v>50</v>
      </c>
      <c r="P55" s="28">
        <f t="shared" si="8"/>
        <v>97</v>
      </c>
      <c r="Q55" s="28" t="str">
        <f t="shared" si="9"/>
        <v>211Moto Club - MA</v>
      </c>
      <c r="R55" s="28" t="str">
        <f>VLOOKUP(A55,'JOGOS BASE'!A:H,8)</f>
        <v>12.01.2025 - Moto Club - MA x Maranhão - MA</v>
      </c>
    </row>
    <row r="56" spans="1:18" ht="30.6" hidden="1">
      <c r="A56" s="15">
        <v>2</v>
      </c>
      <c r="B56" s="46">
        <v>12</v>
      </c>
      <c r="C56" s="45" t="s">
        <v>194</v>
      </c>
      <c r="D56" s="45" t="s">
        <v>195</v>
      </c>
      <c r="E56" s="47" t="s">
        <v>40</v>
      </c>
      <c r="F56" s="47" t="s">
        <v>24</v>
      </c>
      <c r="G56" s="46">
        <v>307298</v>
      </c>
      <c r="H56" s="15" t="s">
        <v>273</v>
      </c>
      <c r="I56" s="26" t="str">
        <f t="shared" si="5"/>
        <v>Douglas</v>
      </c>
      <c r="J56" s="26" t="str">
        <f t="shared" si="6"/>
        <v>2Moto Club - MA12</v>
      </c>
      <c r="K56" s="27" t="str">
        <f>IFERROR(VLOOKUP(J56,Substituicoes!J:J,1,0),"SS")</f>
        <v>SS</v>
      </c>
      <c r="L56" s="27" t="str">
        <f>IFERROR(VLOOKUP(J56,Substituicoes!K:K,1,0),"SS")</f>
        <v>SS</v>
      </c>
      <c r="M56" s="28" t="b">
        <f t="shared" si="7"/>
        <v>1</v>
      </c>
      <c r="N56" s="29">
        <f>IF(AND(K56=L56,LEFT(E56,1)="T"),VLOOKUP(A56,'JOGOS BASE'!A:E,4,0),IF(K56=J56,VLOOKUP(J56,Substituicoes!J:R,6,0),IF(L56=J56,VLOOKUP(Escalacao!J56,Substituicoes!K:R,7,0),0)))</f>
        <v>0</v>
      </c>
      <c r="O56" s="28">
        <f>IF(AND(K56=L56,LEFT(E56,1)="T"),VLOOKUP(A56,'JOGOS BASE'!A:E,5,0),IF(K56=J56,VLOOKUP(J56,Substituicoes!J:R,7,0),IF(L56=J56,VLOOKUP(Escalacao!J56,Substituicoes!K:R,8,0),0)))</f>
        <v>0</v>
      </c>
      <c r="P56" s="28">
        <f t="shared" si="8"/>
        <v>0</v>
      </c>
      <c r="Q56" s="28" t="str">
        <f t="shared" si="9"/>
        <v>212Moto Club - MA</v>
      </c>
      <c r="R56" s="28" t="str">
        <f>VLOOKUP(A56,'JOGOS BASE'!A:H,8)</f>
        <v>12.01.2025 - Moto Club - MA x Maranhão - MA</v>
      </c>
    </row>
    <row r="57" spans="1:18" ht="30.6" hidden="1">
      <c r="A57" s="15">
        <v>2</v>
      </c>
      <c r="B57" s="46">
        <v>13</v>
      </c>
      <c r="C57" s="45" t="s">
        <v>196</v>
      </c>
      <c r="D57" s="45" t="s">
        <v>197</v>
      </c>
      <c r="E57" s="47" t="s">
        <v>42</v>
      </c>
      <c r="F57" s="47" t="s">
        <v>56</v>
      </c>
      <c r="G57" s="46">
        <v>752830</v>
      </c>
      <c r="H57" s="15" t="s">
        <v>273</v>
      </c>
      <c r="I57" s="26" t="str">
        <f t="shared" si="5"/>
        <v>Jeferson</v>
      </c>
      <c r="J57" s="26" t="str">
        <f t="shared" si="6"/>
        <v>2Moto Club - MA13</v>
      </c>
      <c r="K57" s="27" t="str">
        <f>IFERROR(VLOOKUP(J57,Substituicoes!J:J,1,0),"SS")</f>
        <v>SS</v>
      </c>
      <c r="L57" s="27" t="str">
        <f>IFERROR(VLOOKUP(J57,Substituicoes!K:K,1,0),"SS")</f>
        <v>SS</v>
      </c>
      <c r="M57" s="28" t="b">
        <f t="shared" si="7"/>
        <v>1</v>
      </c>
      <c r="N57" s="29">
        <f>IF(AND(K57=L57,LEFT(E57,1)="T"),VLOOKUP(A57,'JOGOS BASE'!A:E,4,0),IF(K57=J57,VLOOKUP(J57,Substituicoes!J:R,6,0),IF(L57=J57,VLOOKUP(Escalacao!J57,Substituicoes!K:R,7,0),0)))</f>
        <v>0</v>
      </c>
      <c r="O57" s="28">
        <f>IF(AND(K57=L57,LEFT(E57,1)="T"),VLOOKUP(A57,'JOGOS BASE'!A:E,5,0),IF(K57=J57,VLOOKUP(J57,Substituicoes!J:R,7,0),IF(L57=J57,VLOOKUP(Escalacao!J57,Substituicoes!K:R,8,0),0)))</f>
        <v>0</v>
      </c>
      <c r="P57" s="28">
        <f t="shared" si="8"/>
        <v>0</v>
      </c>
      <c r="Q57" s="28" t="str">
        <f t="shared" si="9"/>
        <v>213Moto Club - MA</v>
      </c>
      <c r="R57" s="28" t="str">
        <f>VLOOKUP(A57,'JOGOS BASE'!A:H,8)</f>
        <v>12.01.2025 - Moto Club - MA x Maranhão - MA</v>
      </c>
    </row>
    <row r="58" spans="1:18" ht="30.6" hidden="1">
      <c r="A58" s="15">
        <v>2</v>
      </c>
      <c r="B58" s="46">
        <v>15</v>
      </c>
      <c r="C58" s="45" t="s">
        <v>198</v>
      </c>
      <c r="D58" s="45" t="s">
        <v>199</v>
      </c>
      <c r="E58" s="47" t="s">
        <v>42</v>
      </c>
      <c r="F58" s="47" t="s">
        <v>24</v>
      </c>
      <c r="G58" s="46">
        <v>647538</v>
      </c>
      <c r="H58" s="15" t="s">
        <v>273</v>
      </c>
      <c r="I58" s="26" t="str">
        <f t="shared" si="5"/>
        <v>Mauricio G ...</v>
      </c>
      <c r="J58" s="26" t="str">
        <f t="shared" si="6"/>
        <v>2Moto Club - MA15</v>
      </c>
      <c r="K58" s="27" t="str">
        <f>IFERROR(VLOOKUP(J58,Substituicoes!J:J,1,0),"SS")</f>
        <v>2Moto Club - MA15</v>
      </c>
      <c r="L58" s="27" t="str">
        <f>IFERROR(VLOOKUP(J58,Substituicoes!K:K,1,0),"SS")</f>
        <v>SS</v>
      </c>
      <c r="M58" s="28" t="b">
        <f t="shared" si="7"/>
        <v>0</v>
      </c>
      <c r="N58" s="29">
        <f>IF(AND(K58=L58,LEFT(E58,1)="T"),VLOOKUP(A58,'JOGOS BASE'!A:E,4,0),IF(K58=J58,VLOOKUP(J58,Substituicoes!J:R,6,0),IF(L58=J58,VLOOKUP(Escalacao!J58,Substituicoes!K:R,7,0),0)))</f>
        <v>0</v>
      </c>
      <c r="O58" s="28">
        <f>IF(AND(K58=L58,LEFT(E58,1)="T"),VLOOKUP(A58,'JOGOS BASE'!A:E,5,0),IF(K58=J58,VLOOKUP(J58,Substituicoes!J:R,7,0),IF(L58=J58,VLOOKUP(Escalacao!J58,Substituicoes!K:R,8,0),0)))</f>
        <v>35</v>
      </c>
      <c r="P58" s="28">
        <f t="shared" si="8"/>
        <v>35</v>
      </c>
      <c r="Q58" s="28" t="str">
        <f t="shared" si="9"/>
        <v>215Moto Club - MA</v>
      </c>
      <c r="R58" s="28" t="str">
        <f>VLOOKUP(A58,'JOGOS BASE'!A:H,8)</f>
        <v>12.01.2025 - Moto Club - MA x Maranhão - MA</v>
      </c>
    </row>
    <row r="59" spans="1:18" ht="30.6" hidden="1">
      <c r="A59" s="15">
        <v>2</v>
      </c>
      <c r="B59" s="46">
        <v>16</v>
      </c>
      <c r="C59" s="45" t="s">
        <v>200</v>
      </c>
      <c r="D59" s="45" t="s">
        <v>201</v>
      </c>
      <c r="E59" s="47" t="s">
        <v>42</v>
      </c>
      <c r="F59" s="47" t="s">
        <v>24</v>
      </c>
      <c r="G59" s="46">
        <v>500772</v>
      </c>
      <c r="H59" s="15" t="s">
        <v>273</v>
      </c>
      <c r="I59" s="26" t="str">
        <f t="shared" si="5"/>
        <v>Matheus Silva</v>
      </c>
      <c r="J59" s="26" t="str">
        <f t="shared" si="6"/>
        <v>2Moto Club - MA16</v>
      </c>
      <c r="K59" s="27" t="str">
        <f>IFERROR(VLOOKUP(J59,Substituicoes!J:J,1,0),"SS")</f>
        <v>2Moto Club - MA16</v>
      </c>
      <c r="L59" s="27" t="str">
        <f>IFERROR(VLOOKUP(J59,Substituicoes!K:K,1,0),"SS")</f>
        <v>SS</v>
      </c>
      <c r="M59" s="28" t="b">
        <f t="shared" si="7"/>
        <v>0</v>
      </c>
      <c r="N59" s="29">
        <f>IF(AND(K59=L59,LEFT(E59,1)="T"),VLOOKUP(A59,'JOGOS BASE'!A:E,4,0),IF(K59=J59,VLOOKUP(J59,Substituicoes!J:R,6,0),IF(L59=J59,VLOOKUP(Escalacao!J59,Substituicoes!K:R,7,0),0)))</f>
        <v>0</v>
      </c>
      <c r="O59" s="28">
        <f>IF(AND(K59=L59,LEFT(E59,1)="T"),VLOOKUP(A59,'JOGOS BASE'!A:E,5,0),IF(K59=J59,VLOOKUP(J59,Substituicoes!J:R,7,0),IF(L59=J59,VLOOKUP(Escalacao!J59,Substituicoes!K:R,8,0),0)))</f>
        <v>30</v>
      </c>
      <c r="P59" s="28">
        <f t="shared" si="8"/>
        <v>30</v>
      </c>
      <c r="Q59" s="28" t="str">
        <f t="shared" si="9"/>
        <v>216Moto Club - MA</v>
      </c>
      <c r="R59" s="28" t="str">
        <f>VLOOKUP(A59,'JOGOS BASE'!A:H,8)</f>
        <v>12.01.2025 - Moto Club - MA x Maranhão - MA</v>
      </c>
    </row>
    <row r="60" spans="1:18" ht="30.6" hidden="1">
      <c r="A60" s="15">
        <v>2</v>
      </c>
      <c r="B60" s="46">
        <v>17</v>
      </c>
      <c r="C60" s="45" t="s">
        <v>202</v>
      </c>
      <c r="D60" s="45" t="s">
        <v>203</v>
      </c>
      <c r="E60" s="47" t="s">
        <v>42</v>
      </c>
      <c r="F60" s="47" t="s">
        <v>24</v>
      </c>
      <c r="G60" s="46">
        <v>408375</v>
      </c>
      <c r="H60" s="15" t="s">
        <v>273</v>
      </c>
      <c r="I60" s="26" t="str">
        <f t="shared" si="5"/>
        <v>Wesley</v>
      </c>
      <c r="J60" s="26" t="str">
        <f t="shared" si="6"/>
        <v>2Moto Club - MA17</v>
      </c>
      <c r="K60" s="27" t="str">
        <f>IFERROR(VLOOKUP(J60,Substituicoes!J:J,1,0),"SS")</f>
        <v>2Moto Club - MA17</v>
      </c>
      <c r="L60" s="27" t="str">
        <f>IFERROR(VLOOKUP(J60,Substituicoes!K:K,1,0),"SS")</f>
        <v>SS</v>
      </c>
      <c r="M60" s="28" t="b">
        <f t="shared" si="7"/>
        <v>0</v>
      </c>
      <c r="N60" s="29">
        <f>IF(AND(K60=L60,LEFT(E60,1)="T"),VLOOKUP(A60,'JOGOS BASE'!A:E,4,0),IF(K60=J60,VLOOKUP(J60,Substituicoes!J:R,6,0),IF(L60=J60,VLOOKUP(Escalacao!J60,Substituicoes!K:R,7,0),0)))</f>
        <v>0</v>
      </c>
      <c r="O60" s="28">
        <f>IF(AND(K60=L60,LEFT(E60,1)="T"),VLOOKUP(A60,'JOGOS BASE'!A:E,5,0),IF(K60=J60,VLOOKUP(J60,Substituicoes!J:R,7,0),IF(L60=J60,VLOOKUP(Escalacao!J60,Substituicoes!K:R,8,0),0)))</f>
        <v>26</v>
      </c>
      <c r="P60" s="28">
        <f t="shared" si="8"/>
        <v>26</v>
      </c>
      <c r="Q60" s="28" t="str">
        <f t="shared" si="9"/>
        <v>217Moto Club - MA</v>
      </c>
      <c r="R60" s="28" t="str">
        <f>VLOOKUP(A60,'JOGOS BASE'!A:H,8)</f>
        <v>12.01.2025 - Moto Club - MA x Maranhão - MA</v>
      </c>
    </row>
    <row r="61" spans="1:18" ht="20.399999999999999" hidden="1">
      <c r="A61" s="15">
        <v>2</v>
      </c>
      <c r="B61" s="46">
        <v>18</v>
      </c>
      <c r="C61" s="45" t="s">
        <v>204</v>
      </c>
      <c r="D61" s="45" t="s">
        <v>205</v>
      </c>
      <c r="E61" s="47" t="s">
        <v>42</v>
      </c>
      <c r="F61" s="47" t="s">
        <v>56</v>
      </c>
      <c r="G61" s="46">
        <v>790091</v>
      </c>
      <c r="H61" s="15" t="s">
        <v>273</v>
      </c>
      <c r="I61" s="26" t="str">
        <f t="shared" si="5"/>
        <v>LEANDERSO</v>
      </c>
      <c r="J61" s="26" t="str">
        <f t="shared" si="6"/>
        <v>2Moto Club - MA18</v>
      </c>
      <c r="K61" s="27" t="str">
        <f>IFERROR(VLOOKUP(J61,Substituicoes!J:J,1,0),"SS")</f>
        <v>SS</v>
      </c>
      <c r="L61" s="27" t="str">
        <f>IFERROR(VLOOKUP(J61,Substituicoes!K:K,1,0),"SS")</f>
        <v>SS</v>
      </c>
      <c r="M61" s="28" t="b">
        <f t="shared" si="7"/>
        <v>1</v>
      </c>
      <c r="N61" s="29">
        <f>IF(AND(K61=L61,LEFT(E61,1)="T"),VLOOKUP(A61,'JOGOS BASE'!A:E,4,0),IF(K61=J61,VLOOKUP(J61,Substituicoes!J:R,6,0),IF(L61=J61,VLOOKUP(Escalacao!J61,Substituicoes!K:R,7,0),0)))</f>
        <v>0</v>
      </c>
      <c r="O61" s="28">
        <f>IF(AND(K61=L61,LEFT(E61,1)="T"),VLOOKUP(A61,'JOGOS BASE'!A:E,5,0),IF(K61=J61,VLOOKUP(J61,Substituicoes!J:R,7,0),IF(L61=J61,VLOOKUP(Escalacao!J61,Substituicoes!K:R,8,0),0)))</f>
        <v>0</v>
      </c>
      <c r="P61" s="28">
        <f t="shared" si="8"/>
        <v>0</v>
      </c>
      <c r="Q61" s="28" t="str">
        <f t="shared" si="9"/>
        <v>218Moto Club - MA</v>
      </c>
      <c r="R61" s="28" t="str">
        <f>VLOOKUP(A61,'JOGOS BASE'!A:H,8)</f>
        <v>12.01.2025 - Moto Club - MA x Maranhão - MA</v>
      </c>
    </row>
    <row r="62" spans="1:18" ht="30.6" hidden="1">
      <c r="A62" s="15">
        <v>2</v>
      </c>
      <c r="B62" s="46">
        <v>19</v>
      </c>
      <c r="C62" s="45" t="s">
        <v>206</v>
      </c>
      <c r="D62" s="45" t="s">
        <v>207</v>
      </c>
      <c r="E62" s="47" t="s">
        <v>42</v>
      </c>
      <c r="F62" s="47" t="s">
        <v>24</v>
      </c>
      <c r="G62" s="46">
        <v>597469</v>
      </c>
      <c r="H62" s="15" t="s">
        <v>273</v>
      </c>
      <c r="I62" s="26" t="str">
        <f t="shared" si="5"/>
        <v>Warllem</v>
      </c>
      <c r="J62" s="26" t="str">
        <f>A62&amp;H62&amp;B62</f>
        <v>2Moto Club - MA19</v>
      </c>
      <c r="K62" s="27" t="str">
        <f>IFERROR(VLOOKUP(J62,Substituicoes!J:J,1,0),"SS")</f>
        <v>2Moto Club - MA19</v>
      </c>
      <c r="L62" s="27" t="str">
        <f>IFERROR(VLOOKUP(J62,Substituicoes!K:K,1,0),"SS")</f>
        <v>SS</v>
      </c>
      <c r="M62" s="28" t="b">
        <f t="shared" si="7"/>
        <v>0</v>
      </c>
      <c r="N62" s="29">
        <f>IF(AND(K62=L62,LEFT(E62,1)="T"),VLOOKUP(A62,'JOGOS BASE'!A:E,4,0),IF(K62=J62,VLOOKUP(J62,Substituicoes!J:R,6,0),IF(L62=J62,VLOOKUP(Escalacao!J62,Substituicoes!K:R,7,0),0)))</f>
        <v>0</v>
      </c>
      <c r="O62" s="28">
        <f>IF(AND(K62=L62,LEFT(E62,1)="T"),VLOOKUP(A62,'JOGOS BASE'!A:E,5,0),IF(K62=J62,VLOOKUP(J62,Substituicoes!J:R,7,0),IF(L62=J62,VLOOKUP(Escalacao!J62,Substituicoes!K:R,8,0),0)))</f>
        <v>35</v>
      </c>
      <c r="P62" s="28">
        <f t="shared" si="8"/>
        <v>35</v>
      </c>
      <c r="Q62" s="28" t="str">
        <f t="shared" si="9"/>
        <v>219Moto Club - MA</v>
      </c>
      <c r="R62" s="28" t="str">
        <f>VLOOKUP(A62,'JOGOS BASE'!A:H,8)</f>
        <v>12.01.2025 - Moto Club - MA x Maranhão - MA</v>
      </c>
    </row>
    <row r="63" spans="1:18" ht="30.6" hidden="1">
      <c r="A63" s="15">
        <v>2</v>
      </c>
      <c r="B63" s="46">
        <v>20</v>
      </c>
      <c r="C63" s="45" t="s">
        <v>208</v>
      </c>
      <c r="D63" s="45" t="s">
        <v>209</v>
      </c>
      <c r="E63" s="47" t="s">
        <v>42</v>
      </c>
      <c r="F63" s="47" t="s">
        <v>24</v>
      </c>
      <c r="G63" s="46">
        <v>610535</v>
      </c>
      <c r="H63" s="15" t="s">
        <v>273</v>
      </c>
      <c r="I63" s="26" t="str">
        <f t="shared" si="5"/>
        <v>Paulo Renato</v>
      </c>
      <c r="J63" s="26" t="str">
        <f t="shared" si="6"/>
        <v>2Moto Club - MA20</v>
      </c>
      <c r="K63" s="27" t="str">
        <f>IFERROR(VLOOKUP(J63,Substituicoes!J:J,1,0),"SS")</f>
        <v>2Moto Club - MA20</v>
      </c>
      <c r="L63" s="27" t="str">
        <f>IFERROR(VLOOKUP(J63,Substituicoes!K:K,1,0),"SS")</f>
        <v>SS</v>
      </c>
      <c r="M63" s="28" t="b">
        <f t="shared" si="7"/>
        <v>0</v>
      </c>
      <c r="N63" s="29">
        <f>IF(AND(K63=L63,LEFT(E63,1)="T"),VLOOKUP(A63,'JOGOS BASE'!A:E,4,0),IF(K63=J63,VLOOKUP(J63,Substituicoes!J:R,6,0),IF(L63=J63,VLOOKUP(Escalacao!J63,Substituicoes!K:R,7,0),0)))</f>
        <v>0</v>
      </c>
      <c r="O63" s="28">
        <f>IF(AND(K63=L63,LEFT(E63,1)="T"),VLOOKUP(A63,'JOGOS BASE'!A:E,5,0),IF(K63=J63,VLOOKUP(J63,Substituicoes!J:R,7,0),IF(L63=J63,VLOOKUP(Escalacao!J63,Substituicoes!K:R,8,0),0)))</f>
        <v>26</v>
      </c>
      <c r="P63" s="28">
        <f t="shared" si="8"/>
        <v>26</v>
      </c>
      <c r="Q63" s="28" t="str">
        <f t="shared" si="9"/>
        <v>220Moto Club - MA</v>
      </c>
      <c r="R63" s="28" t="str">
        <f>VLOOKUP(A63,'JOGOS BASE'!A:H,8)</f>
        <v>12.01.2025 - Moto Club - MA x Maranhão - MA</v>
      </c>
    </row>
    <row r="64" spans="1:18" ht="30.6" hidden="1">
      <c r="A64" s="15">
        <v>2</v>
      </c>
      <c r="B64" s="46">
        <v>21</v>
      </c>
      <c r="C64" s="45" t="s">
        <v>210</v>
      </c>
      <c r="D64" s="45" t="s">
        <v>211</v>
      </c>
      <c r="E64" s="47" t="s">
        <v>42</v>
      </c>
      <c r="F64" s="47" t="s">
        <v>24</v>
      </c>
      <c r="G64" s="46">
        <v>605965</v>
      </c>
      <c r="H64" s="15" t="s">
        <v>273</v>
      </c>
      <c r="I64" s="26" t="str">
        <f t="shared" si="5"/>
        <v>MATHEUS</v>
      </c>
      <c r="J64" s="26" t="str">
        <f t="shared" si="6"/>
        <v>2Moto Club - MA21</v>
      </c>
      <c r="K64" s="27" t="str">
        <f>IFERROR(VLOOKUP(J64,Substituicoes!J:J,1,0),"SS")</f>
        <v>SS</v>
      </c>
      <c r="L64" s="27" t="str">
        <f>IFERROR(VLOOKUP(J64,Substituicoes!K:K,1,0),"SS")</f>
        <v>SS</v>
      </c>
      <c r="M64" s="28" t="b">
        <f t="shared" si="7"/>
        <v>1</v>
      </c>
      <c r="N64" s="29">
        <f>IF(AND(K64=L64,LEFT(E64,1)="T"),VLOOKUP(A64,'JOGOS BASE'!A:E,4,0),IF(K64=J64,VLOOKUP(J64,Substituicoes!J:R,6,0),IF(L64=J64,VLOOKUP(Escalacao!J64,Substituicoes!K:R,7,0),0)))</f>
        <v>0</v>
      </c>
      <c r="O64" s="28">
        <f>IF(AND(K64=L64,LEFT(E64,1)="T"),VLOOKUP(A64,'JOGOS BASE'!A:E,5,0),IF(K64=J64,VLOOKUP(J64,Substituicoes!J:R,7,0),IF(L64=J64,VLOOKUP(Escalacao!J64,Substituicoes!K:R,8,0),0)))</f>
        <v>0</v>
      </c>
      <c r="P64" s="28">
        <f t="shared" si="8"/>
        <v>0</v>
      </c>
      <c r="Q64" s="28" t="str">
        <f t="shared" si="9"/>
        <v>221Moto Club - MA</v>
      </c>
      <c r="R64" s="28" t="str">
        <f>VLOOKUP(A64,'JOGOS BASE'!A:H,8)</f>
        <v>12.01.2025 - Moto Club - MA x Maranhão - MA</v>
      </c>
    </row>
    <row r="65" spans="1:18" ht="20.399999999999999" hidden="1">
      <c r="A65" s="15">
        <v>2</v>
      </c>
      <c r="B65" s="46">
        <v>23</v>
      </c>
      <c r="C65" s="45" t="s">
        <v>212</v>
      </c>
      <c r="D65" s="45" t="s">
        <v>213</v>
      </c>
      <c r="E65" s="47" t="s">
        <v>42</v>
      </c>
      <c r="F65" s="47" t="s">
        <v>24</v>
      </c>
      <c r="G65" s="46">
        <v>423057</v>
      </c>
      <c r="H65" s="15" t="s">
        <v>273</v>
      </c>
      <c r="I65" s="26" t="str">
        <f t="shared" si="5"/>
        <v>Vanilton</v>
      </c>
      <c r="J65" s="26" t="str">
        <f t="shared" si="6"/>
        <v>2Moto Club - MA23</v>
      </c>
      <c r="K65" s="27" t="str">
        <f>IFERROR(VLOOKUP(J65,Substituicoes!J:J,1,0),"SS")</f>
        <v>SS</v>
      </c>
      <c r="L65" s="27" t="str">
        <f>IFERROR(VLOOKUP(J65,Substituicoes!K:K,1,0),"SS")</f>
        <v>SS</v>
      </c>
      <c r="M65" s="28" t="b">
        <f t="shared" si="7"/>
        <v>1</v>
      </c>
      <c r="N65" s="29">
        <f>IF(AND(K65=L65,LEFT(E65,1)="T"),VLOOKUP(A65,'JOGOS BASE'!A:E,4,0),IF(K65=J65,VLOOKUP(J65,Substituicoes!J:R,6,0),IF(L65=J65,VLOOKUP(Escalacao!J65,Substituicoes!K:R,7,0),0)))</f>
        <v>0</v>
      </c>
      <c r="O65" s="28">
        <f>IF(AND(K65=L65,LEFT(E65,1)="T"),VLOOKUP(A65,'JOGOS BASE'!A:E,5,0),IF(K65=J65,VLOOKUP(J65,Substituicoes!J:R,7,0),IF(L65=J65,VLOOKUP(Escalacao!J65,Substituicoes!K:R,8,0),0)))</f>
        <v>0</v>
      </c>
      <c r="P65" s="28">
        <f t="shared" si="8"/>
        <v>0</v>
      </c>
      <c r="Q65" s="28" t="str">
        <f t="shared" si="9"/>
        <v>223Moto Club - MA</v>
      </c>
      <c r="R65" s="28" t="str">
        <f>VLOOKUP(A65,'JOGOS BASE'!A:H,8)</f>
        <v>12.01.2025 - Moto Club - MA x Maranhão - MA</v>
      </c>
    </row>
    <row r="66" spans="1:18" ht="20.399999999999999" hidden="1">
      <c r="A66" s="15">
        <v>2</v>
      </c>
      <c r="B66" s="46">
        <v>1</v>
      </c>
      <c r="C66" s="45" t="s">
        <v>214</v>
      </c>
      <c r="D66" s="45" t="s">
        <v>215</v>
      </c>
      <c r="E66" s="47" t="s">
        <v>23</v>
      </c>
      <c r="F66" s="47" t="s">
        <v>24</v>
      </c>
      <c r="G66" s="46">
        <v>343441</v>
      </c>
      <c r="H66" s="15" t="s">
        <v>260</v>
      </c>
      <c r="I66" s="26" t="str">
        <f t="shared" si="5"/>
        <v>Jean</v>
      </c>
      <c r="J66" s="26" t="str">
        <f t="shared" si="6"/>
        <v>2Maranhão - MA1</v>
      </c>
      <c r="K66" s="27" t="str">
        <f>IFERROR(VLOOKUP(J66,Substituicoes!J:J,1,0),"SS")</f>
        <v>SS</v>
      </c>
      <c r="L66" s="27" t="str">
        <f>IFERROR(VLOOKUP(J66,Substituicoes!K:K,1,0),"SS")</f>
        <v>SS</v>
      </c>
      <c r="M66" s="28" t="b">
        <f t="shared" si="7"/>
        <v>1</v>
      </c>
      <c r="N66" s="29">
        <f>IF(AND(K66=L66,LEFT(E66,1)="T"),VLOOKUP(A66,'JOGOS BASE'!A:E,4,0),IF(K66=J66,VLOOKUP(J66,Substituicoes!J:R,6,0),IF(L66=J66,VLOOKUP(Escalacao!J66,Substituicoes!K:R,7,0),0)))</f>
        <v>47</v>
      </c>
      <c r="O66" s="28">
        <f>IF(AND(K66=L66,LEFT(E66,1)="T"),VLOOKUP(A66,'JOGOS BASE'!A:E,5,0),IF(K66=J66,VLOOKUP(J66,Substituicoes!J:R,7,0),IF(L66=J66,VLOOKUP(Escalacao!J66,Substituicoes!K:R,8,0),0)))</f>
        <v>50</v>
      </c>
      <c r="P66" s="28">
        <f t="shared" si="8"/>
        <v>97</v>
      </c>
      <c r="Q66" s="28" t="str">
        <f t="shared" si="9"/>
        <v>21Maranhão - MA</v>
      </c>
      <c r="R66" s="28" t="str">
        <f>VLOOKUP(A66,'JOGOS BASE'!A:H,8)</f>
        <v>12.01.2025 - Moto Club - MA x Maranhão - MA</v>
      </c>
    </row>
    <row r="67" spans="1:18" ht="30.6" hidden="1">
      <c r="A67" s="15">
        <v>2</v>
      </c>
      <c r="B67" s="46">
        <v>2</v>
      </c>
      <c r="C67" s="45" t="s">
        <v>216</v>
      </c>
      <c r="D67" s="45" t="s">
        <v>217</v>
      </c>
      <c r="E67" s="47" t="s">
        <v>26</v>
      </c>
      <c r="F67" s="47" t="s">
        <v>24</v>
      </c>
      <c r="G67" s="46">
        <v>359014</v>
      </c>
      <c r="H67" s="15" t="s">
        <v>260</v>
      </c>
      <c r="I67" s="26" t="str">
        <f t="shared" si="5"/>
        <v>Franklin</v>
      </c>
      <c r="J67" s="26" t="str">
        <f t="shared" si="6"/>
        <v>2Maranhão - MA2</v>
      </c>
      <c r="K67" s="27" t="str">
        <f>IFERROR(VLOOKUP(J67,Substituicoes!J:J,1,0),"SS")</f>
        <v>SS</v>
      </c>
      <c r="L67" s="27" t="str">
        <f>IFERROR(VLOOKUP(J67,Substituicoes!K:K,1,0),"SS")</f>
        <v>2Maranhão - MA2</v>
      </c>
      <c r="M67" s="28" t="b">
        <f t="shared" si="7"/>
        <v>0</v>
      </c>
      <c r="N67" s="29">
        <f>IF(AND(K67=L67,LEFT(E67,1)="T"),VLOOKUP(A67,'JOGOS BASE'!A:E,4,0),IF(K67=J67,VLOOKUP(J67,Substituicoes!J:R,6,0),IF(L67=J67,VLOOKUP(Escalacao!J67,Substituicoes!K:R,7,0),0)))</f>
        <v>47</v>
      </c>
      <c r="O67" s="28">
        <f>IF(AND(K67=L67,LEFT(E67,1)="T"),VLOOKUP(A67,'JOGOS BASE'!A:E,5,0),IF(K67=J67,VLOOKUP(J67,Substituicoes!J:R,7,0),IF(L67=J67,VLOOKUP(Escalacao!J67,Substituicoes!K:R,8,0),0)))</f>
        <v>23</v>
      </c>
      <c r="P67" s="28">
        <f t="shared" si="8"/>
        <v>70</v>
      </c>
      <c r="Q67" s="28" t="str">
        <f t="shared" si="9"/>
        <v>22Maranhão - MA</v>
      </c>
      <c r="R67" s="28" t="str">
        <f>VLOOKUP(A67,'JOGOS BASE'!A:H,8)</f>
        <v>12.01.2025 - Moto Club - MA x Maranhão - MA</v>
      </c>
    </row>
    <row r="68" spans="1:18" ht="30.6" hidden="1">
      <c r="A68" s="15">
        <v>2</v>
      </c>
      <c r="B68" s="46">
        <v>3</v>
      </c>
      <c r="C68" s="45" t="s">
        <v>218</v>
      </c>
      <c r="D68" s="45" t="s">
        <v>219</v>
      </c>
      <c r="E68" s="47" t="s">
        <v>26</v>
      </c>
      <c r="F68" s="47" t="s">
        <v>24</v>
      </c>
      <c r="G68" s="46">
        <v>401846</v>
      </c>
      <c r="H68" s="15" t="s">
        <v>260</v>
      </c>
      <c r="I68" s="26" t="str">
        <f t="shared" si="5"/>
        <v>Luiz Fernando</v>
      </c>
      <c r="J68" s="26" t="str">
        <f t="shared" si="6"/>
        <v>2Maranhão - MA3</v>
      </c>
      <c r="K68" s="27" t="str">
        <f>IFERROR(VLOOKUP(J68,Substituicoes!J:J,1,0),"SS")</f>
        <v>SS</v>
      </c>
      <c r="L68" s="27" t="str">
        <f>IFERROR(VLOOKUP(J68,Substituicoes!K:K,1,0),"SS")</f>
        <v>SS</v>
      </c>
      <c r="M68" s="28" t="b">
        <f t="shared" si="7"/>
        <v>1</v>
      </c>
      <c r="N68" s="29">
        <f>IF(AND(K68=L68,LEFT(E68,1)="T"),VLOOKUP(A68,'JOGOS BASE'!A:E,4,0),IF(K68=J68,VLOOKUP(J68,Substituicoes!J:R,6,0),IF(L68=J68,VLOOKUP(Escalacao!J68,Substituicoes!K:R,7,0),0)))</f>
        <v>47</v>
      </c>
      <c r="O68" s="28">
        <f>IF(AND(K68=L68,LEFT(E68,1)="T"),VLOOKUP(A68,'JOGOS BASE'!A:E,5,0),IF(K68=J68,VLOOKUP(J68,Substituicoes!J:R,7,0),IF(L68=J68,VLOOKUP(Escalacao!J68,Substituicoes!K:R,8,0),0)))</f>
        <v>50</v>
      </c>
      <c r="P68" s="28">
        <f t="shared" si="8"/>
        <v>97</v>
      </c>
      <c r="Q68" s="28" t="str">
        <f t="shared" si="9"/>
        <v>23Maranhão - MA</v>
      </c>
      <c r="R68" s="28" t="str">
        <f>VLOOKUP(A68,'JOGOS BASE'!A:H,8)</f>
        <v>12.01.2025 - Moto Club - MA x Maranhão - MA</v>
      </c>
    </row>
    <row r="69" spans="1:18" ht="30.6" hidden="1">
      <c r="A69" s="15">
        <v>2</v>
      </c>
      <c r="B69" s="46">
        <v>4</v>
      </c>
      <c r="C69" s="45" t="s">
        <v>220</v>
      </c>
      <c r="D69" s="45" t="s">
        <v>221</v>
      </c>
      <c r="E69" s="47" t="s">
        <v>26</v>
      </c>
      <c r="F69" s="47" t="s">
        <v>24</v>
      </c>
      <c r="G69" s="46">
        <v>465714</v>
      </c>
      <c r="H69" s="15" t="s">
        <v>260</v>
      </c>
      <c r="I69" s="26" t="str">
        <f t="shared" si="5"/>
        <v>Maicon</v>
      </c>
      <c r="J69" s="26" t="str">
        <f t="shared" si="6"/>
        <v>2Maranhão - MA4</v>
      </c>
      <c r="K69" s="27" t="str">
        <f>IFERROR(VLOOKUP(J69,Substituicoes!J:J,1,0),"SS")</f>
        <v>SS</v>
      </c>
      <c r="L69" s="27" t="str">
        <f>IFERROR(VLOOKUP(J69,Substituicoes!K:K,1,0),"SS")</f>
        <v>SS</v>
      </c>
      <c r="M69" s="28" t="b">
        <f t="shared" si="7"/>
        <v>1</v>
      </c>
      <c r="N69" s="29">
        <f>IF(AND(K69=L69,LEFT(E69,1)="T"),VLOOKUP(A69,'JOGOS BASE'!A:E,4,0),IF(K69=J69,VLOOKUP(J69,Substituicoes!J:R,6,0),IF(L69=J69,VLOOKUP(Escalacao!J69,Substituicoes!K:R,7,0),0)))</f>
        <v>47</v>
      </c>
      <c r="O69" s="28">
        <f>IF(AND(K69=L69,LEFT(E69,1)="T"),VLOOKUP(A69,'JOGOS BASE'!A:E,5,0),IF(K69=J69,VLOOKUP(J69,Substituicoes!J:R,7,0),IF(L69=J69,VLOOKUP(Escalacao!J69,Substituicoes!K:R,8,0),0)))</f>
        <v>50</v>
      </c>
      <c r="P69" s="28">
        <f t="shared" si="8"/>
        <v>97</v>
      </c>
      <c r="Q69" s="28" t="str">
        <f t="shared" si="9"/>
        <v>24Maranhão - MA</v>
      </c>
      <c r="R69" s="28" t="str">
        <f>VLOOKUP(A69,'JOGOS BASE'!A:H,8)</f>
        <v>12.01.2025 - Moto Club - MA x Maranhão - MA</v>
      </c>
    </row>
    <row r="70" spans="1:18" ht="20.399999999999999" hidden="1">
      <c r="A70" s="15">
        <v>2</v>
      </c>
      <c r="B70" s="46">
        <v>5</v>
      </c>
      <c r="C70" s="45" t="s">
        <v>222</v>
      </c>
      <c r="D70" s="45" t="s">
        <v>223</v>
      </c>
      <c r="E70" s="47" t="s">
        <v>26</v>
      </c>
      <c r="F70" s="47" t="s">
        <v>24</v>
      </c>
      <c r="G70" s="46">
        <v>320815</v>
      </c>
      <c r="H70" s="15" t="s">
        <v>260</v>
      </c>
      <c r="I70" s="26" t="str">
        <f t="shared" si="5"/>
        <v>Rodrigo Co ...</v>
      </c>
      <c r="J70" s="26" t="str">
        <f t="shared" si="6"/>
        <v>2Maranhão - MA5</v>
      </c>
      <c r="K70" s="27" t="str">
        <f>IFERROR(VLOOKUP(J70,Substituicoes!J:J,1,0),"SS")</f>
        <v>SS</v>
      </c>
      <c r="L70" s="27" t="str">
        <f>IFERROR(VLOOKUP(J70,Substituicoes!K:K,1,0),"SS")</f>
        <v>SS</v>
      </c>
      <c r="M70" s="28" t="b">
        <f t="shared" si="7"/>
        <v>1</v>
      </c>
      <c r="N70" s="29">
        <f>IF(AND(K70=L70,LEFT(E70,1)="T"),VLOOKUP(A70,'JOGOS BASE'!A:E,4,0),IF(K70=J70,VLOOKUP(J70,Substituicoes!J:R,6,0),IF(L70=J70,VLOOKUP(Escalacao!J70,Substituicoes!K:R,7,0),0)))</f>
        <v>47</v>
      </c>
      <c r="O70" s="28">
        <f>IF(AND(K70=L70,LEFT(E70,1)="T"),VLOOKUP(A70,'JOGOS BASE'!A:E,5,0),IF(K70=J70,VLOOKUP(J70,Substituicoes!J:R,7,0),IF(L70=J70,VLOOKUP(Escalacao!J70,Substituicoes!K:R,8,0),0)))</f>
        <v>50</v>
      </c>
      <c r="P70" s="28">
        <f t="shared" si="8"/>
        <v>97</v>
      </c>
      <c r="Q70" s="28" t="str">
        <f t="shared" si="9"/>
        <v>25Maranhão - MA</v>
      </c>
      <c r="R70" s="28" t="str">
        <f>VLOOKUP(A70,'JOGOS BASE'!A:H,8)</f>
        <v>12.01.2025 - Moto Club - MA x Maranhão - MA</v>
      </c>
    </row>
    <row r="71" spans="1:18" ht="30.6" hidden="1">
      <c r="A71" s="15">
        <v>2</v>
      </c>
      <c r="B71" s="46">
        <v>6</v>
      </c>
      <c r="C71" s="45" t="s">
        <v>224</v>
      </c>
      <c r="D71" s="45" t="s">
        <v>225</v>
      </c>
      <c r="E71" s="47" t="s">
        <v>26</v>
      </c>
      <c r="F71" s="47" t="s">
        <v>24</v>
      </c>
      <c r="G71" s="46">
        <v>414464</v>
      </c>
      <c r="H71" s="15" t="s">
        <v>260</v>
      </c>
      <c r="I71" s="26" t="str">
        <f t="shared" si="5"/>
        <v>Andre</v>
      </c>
      <c r="J71" s="26" t="str">
        <f t="shared" si="6"/>
        <v>2Maranhão - MA6</v>
      </c>
      <c r="K71" s="27" t="str">
        <f>IFERROR(VLOOKUP(J71,Substituicoes!J:J,1,0),"SS")</f>
        <v>SS</v>
      </c>
      <c r="L71" s="27" t="str">
        <f>IFERROR(VLOOKUP(J71,Substituicoes!K:K,1,0),"SS")</f>
        <v>SS</v>
      </c>
      <c r="M71" s="28" t="b">
        <f t="shared" si="7"/>
        <v>1</v>
      </c>
      <c r="N71" s="29">
        <f>IF(AND(K71=L71,LEFT(E71,1)="T"),VLOOKUP(A71,'JOGOS BASE'!A:E,4,0),IF(K71=J71,VLOOKUP(J71,Substituicoes!J:R,6,0),IF(L71=J71,VLOOKUP(Escalacao!J71,Substituicoes!K:R,7,0),0)))</f>
        <v>47</v>
      </c>
      <c r="O71" s="28">
        <f>IF(AND(K71=L71,LEFT(E71,1)="T"),VLOOKUP(A71,'JOGOS BASE'!A:E,5,0),IF(K71=J71,VLOOKUP(J71,Substituicoes!J:R,7,0),IF(L71=J71,VLOOKUP(Escalacao!J71,Substituicoes!K:R,8,0),0)))</f>
        <v>50</v>
      </c>
      <c r="P71" s="28">
        <f t="shared" si="8"/>
        <v>97</v>
      </c>
      <c r="Q71" s="28" t="str">
        <f t="shared" si="9"/>
        <v>26Maranhão - MA</v>
      </c>
      <c r="R71" s="28" t="str">
        <f>VLOOKUP(A71,'JOGOS BASE'!A:H,8)</f>
        <v>12.01.2025 - Moto Club - MA x Maranhão - MA</v>
      </c>
    </row>
    <row r="72" spans="1:18" ht="30.6" hidden="1">
      <c r="A72" s="15">
        <v>2</v>
      </c>
      <c r="B72" s="46">
        <v>8</v>
      </c>
      <c r="C72" s="45" t="s">
        <v>226</v>
      </c>
      <c r="D72" s="45" t="s">
        <v>227</v>
      </c>
      <c r="E72" s="47" t="s">
        <v>26</v>
      </c>
      <c r="F72" s="47" t="s">
        <v>24</v>
      </c>
      <c r="G72" s="46">
        <v>545796</v>
      </c>
      <c r="H72" s="15" t="s">
        <v>260</v>
      </c>
      <c r="I72" s="26" t="str">
        <f t="shared" si="5"/>
        <v>Railson</v>
      </c>
      <c r="J72" s="26" t="str">
        <f t="shared" si="6"/>
        <v>2Maranhão - MA8</v>
      </c>
      <c r="K72" s="27" t="str">
        <f>IFERROR(VLOOKUP(J72,Substituicoes!J:J,1,0),"SS")</f>
        <v>SS</v>
      </c>
      <c r="L72" s="27" t="str">
        <f>IFERROR(VLOOKUP(J72,Substituicoes!K:K,1,0),"SS")</f>
        <v>2Maranhão - MA8</v>
      </c>
      <c r="M72" s="28" t="b">
        <f t="shared" si="7"/>
        <v>0</v>
      </c>
      <c r="N72" s="29">
        <f>IF(AND(K72=L72,LEFT(E72,1)="T"),VLOOKUP(A72,'JOGOS BASE'!A:E,4,0),IF(K72=J72,VLOOKUP(J72,Substituicoes!J:R,6,0),IF(L72=J72,VLOOKUP(Escalacao!J72,Substituicoes!K:R,7,0),0)))</f>
        <v>47</v>
      </c>
      <c r="O72" s="28">
        <f>IF(AND(K72=L72,LEFT(E72,1)="T"),VLOOKUP(A72,'JOGOS BASE'!A:E,5,0),IF(K72=J72,VLOOKUP(J72,Substituicoes!J:R,7,0),IF(L72=J72,VLOOKUP(Escalacao!J72,Substituicoes!K:R,8,0),0)))</f>
        <v>0</v>
      </c>
      <c r="P72" s="28">
        <f t="shared" si="8"/>
        <v>47</v>
      </c>
      <c r="Q72" s="28" t="str">
        <f t="shared" si="9"/>
        <v>28Maranhão - MA</v>
      </c>
      <c r="R72" s="28" t="str">
        <f>VLOOKUP(A72,'JOGOS BASE'!A:H,8)</f>
        <v>12.01.2025 - Moto Club - MA x Maranhão - MA</v>
      </c>
    </row>
    <row r="73" spans="1:18" ht="30.6" hidden="1">
      <c r="A73" s="15">
        <v>2</v>
      </c>
      <c r="B73" s="46">
        <v>9</v>
      </c>
      <c r="C73" s="45" t="s">
        <v>228</v>
      </c>
      <c r="D73" s="45" t="s">
        <v>229</v>
      </c>
      <c r="E73" s="47" t="s">
        <v>26</v>
      </c>
      <c r="F73" s="47" t="s">
        <v>24</v>
      </c>
      <c r="G73" s="46">
        <v>610235</v>
      </c>
      <c r="H73" s="15" t="s">
        <v>260</v>
      </c>
      <c r="I73" s="26" t="str">
        <f t="shared" si="5"/>
        <v>loro</v>
      </c>
      <c r="J73" s="26" t="str">
        <f t="shared" si="6"/>
        <v>2Maranhão - MA9</v>
      </c>
      <c r="K73" s="27" t="str">
        <f>IFERROR(VLOOKUP(J73,Substituicoes!J:J,1,0),"SS")</f>
        <v>SS</v>
      </c>
      <c r="L73" s="27" t="str">
        <f>IFERROR(VLOOKUP(J73,Substituicoes!K:K,1,0),"SS")</f>
        <v>SS</v>
      </c>
      <c r="M73" s="28" t="b">
        <f t="shared" si="7"/>
        <v>1</v>
      </c>
      <c r="N73" s="29">
        <f>IF(AND(K73=L73,LEFT(E73,1)="T"),VLOOKUP(A73,'JOGOS BASE'!A:E,4,0),IF(K73=J73,VLOOKUP(J73,Substituicoes!J:R,6,0),IF(L73=J73,VLOOKUP(Escalacao!J73,Substituicoes!K:R,7,0),0)))</f>
        <v>47</v>
      </c>
      <c r="O73" s="28">
        <f>IF(AND(K73=L73,LEFT(E73,1)="T"),VLOOKUP(A73,'JOGOS BASE'!A:E,5,0),IF(K73=J73,VLOOKUP(J73,Substituicoes!J:R,7,0),IF(L73=J73,VLOOKUP(Escalacao!J73,Substituicoes!K:R,8,0),0)))</f>
        <v>50</v>
      </c>
      <c r="P73" s="28">
        <f t="shared" si="8"/>
        <v>97</v>
      </c>
      <c r="Q73" s="28" t="str">
        <f t="shared" si="9"/>
        <v>29Maranhão - MA</v>
      </c>
      <c r="R73" s="28" t="str">
        <f>VLOOKUP(A73,'JOGOS BASE'!A:H,8)</f>
        <v>12.01.2025 - Moto Club - MA x Maranhão - MA</v>
      </c>
    </row>
    <row r="74" spans="1:18" ht="30.6" hidden="1">
      <c r="A74" s="15">
        <v>2</v>
      </c>
      <c r="B74" s="46">
        <v>10</v>
      </c>
      <c r="C74" s="45" t="s">
        <v>230</v>
      </c>
      <c r="D74" s="45" t="s">
        <v>231</v>
      </c>
      <c r="E74" s="47" t="s">
        <v>26</v>
      </c>
      <c r="F74" s="47" t="s">
        <v>24</v>
      </c>
      <c r="G74" s="46">
        <v>699185</v>
      </c>
      <c r="H74" s="15" t="s">
        <v>260</v>
      </c>
      <c r="I74" s="26" t="str">
        <f t="shared" si="5"/>
        <v>Jorge Rocha</v>
      </c>
      <c r="J74" s="26" t="str">
        <f t="shared" si="6"/>
        <v>2Maranhão - MA10</v>
      </c>
      <c r="K74" s="27" t="str">
        <f>IFERROR(VLOOKUP(J74,Substituicoes!J:J,1,0),"SS")</f>
        <v>SS</v>
      </c>
      <c r="L74" s="27" t="str">
        <f>IFERROR(VLOOKUP(J74,Substituicoes!K:K,1,0),"SS")</f>
        <v>2Maranhão - MA10</v>
      </c>
      <c r="M74" s="28" t="b">
        <f t="shared" si="7"/>
        <v>0</v>
      </c>
      <c r="N74" s="29">
        <f>IF(AND(K74=L74,LEFT(E74,1)="T"),VLOOKUP(A74,'JOGOS BASE'!A:E,4,0),IF(K74=J74,VLOOKUP(J74,Substituicoes!J:R,6,0),IF(L74=J74,VLOOKUP(Escalacao!J74,Substituicoes!K:R,7,0),0)))</f>
        <v>47</v>
      </c>
      <c r="O74" s="28">
        <f>IF(AND(K74=L74,LEFT(E74,1)="T"),VLOOKUP(A74,'JOGOS BASE'!A:E,5,0),IF(K74=J74,VLOOKUP(J74,Substituicoes!J:R,7,0),IF(L74=J74,VLOOKUP(Escalacao!J74,Substituicoes!K:R,8,0),0)))</f>
        <v>0</v>
      </c>
      <c r="P74" s="28">
        <f t="shared" si="8"/>
        <v>47</v>
      </c>
      <c r="Q74" s="28" t="str">
        <f t="shared" si="9"/>
        <v>210Maranhão - MA</v>
      </c>
      <c r="R74" s="28" t="str">
        <f>VLOOKUP(A74,'JOGOS BASE'!A:H,8)</f>
        <v>12.01.2025 - Moto Club - MA x Maranhão - MA</v>
      </c>
    </row>
    <row r="75" spans="1:18" ht="30.6" hidden="1">
      <c r="A75" s="15">
        <v>2</v>
      </c>
      <c r="B75" s="46">
        <v>11</v>
      </c>
      <c r="C75" s="45" t="s">
        <v>232</v>
      </c>
      <c r="D75" s="45" t="s">
        <v>233</v>
      </c>
      <c r="E75" s="47" t="s">
        <v>26</v>
      </c>
      <c r="F75" s="47" t="s">
        <v>24</v>
      </c>
      <c r="G75" s="46">
        <v>618785</v>
      </c>
      <c r="H75" s="15" t="s">
        <v>260</v>
      </c>
      <c r="I75" s="26" t="str">
        <f t="shared" si="5"/>
        <v>Ryan</v>
      </c>
      <c r="J75" s="26" t="str">
        <f t="shared" si="6"/>
        <v>2Maranhão - MA11</v>
      </c>
      <c r="K75" s="27" t="str">
        <f>IFERROR(VLOOKUP(J75,Substituicoes!J:J,1,0),"SS")</f>
        <v>SS</v>
      </c>
      <c r="L75" s="27" t="str">
        <f>IFERROR(VLOOKUP(J75,Substituicoes!K:K,1,0),"SS")</f>
        <v>2Maranhão - MA11</v>
      </c>
      <c r="M75" s="28" t="b">
        <f t="shared" si="7"/>
        <v>0</v>
      </c>
      <c r="N75" s="29">
        <f>IF(AND(K75=L75,LEFT(E75,1)="T"),VLOOKUP(A75,'JOGOS BASE'!A:E,4,0),IF(K75=J75,VLOOKUP(J75,Substituicoes!J:R,6,0),IF(L75=J75,VLOOKUP(Escalacao!J75,Substituicoes!K:R,7,0),0)))</f>
        <v>47</v>
      </c>
      <c r="O75" s="28">
        <f>IF(AND(K75=L75,LEFT(E75,1)="T"),VLOOKUP(A75,'JOGOS BASE'!A:E,5,0),IF(K75=J75,VLOOKUP(J75,Substituicoes!J:R,7,0),IF(L75=J75,VLOOKUP(Escalacao!J75,Substituicoes!K:R,8,0),0)))</f>
        <v>2</v>
      </c>
      <c r="P75" s="28">
        <f t="shared" si="8"/>
        <v>49</v>
      </c>
      <c r="Q75" s="28" t="str">
        <f t="shared" si="9"/>
        <v>211Maranhão - MA</v>
      </c>
      <c r="R75" s="28" t="str">
        <f>VLOOKUP(A75,'JOGOS BASE'!A:H,8)</f>
        <v>12.01.2025 - Moto Club - MA x Maranhão - MA</v>
      </c>
    </row>
    <row r="76" spans="1:18" ht="30.6" hidden="1">
      <c r="A76" s="15">
        <v>2</v>
      </c>
      <c r="B76" s="46">
        <v>22</v>
      </c>
      <c r="C76" s="45" t="s">
        <v>234</v>
      </c>
      <c r="D76" s="45" t="s">
        <v>235</v>
      </c>
      <c r="E76" s="47" t="s">
        <v>26</v>
      </c>
      <c r="F76" s="47" t="s">
        <v>24</v>
      </c>
      <c r="G76" s="46">
        <v>393714</v>
      </c>
      <c r="H76" s="15" t="s">
        <v>260</v>
      </c>
      <c r="I76" s="26" t="str">
        <f t="shared" si="5"/>
        <v>Jerry</v>
      </c>
      <c r="J76" s="26" t="str">
        <f t="shared" si="6"/>
        <v>2Maranhão - MA22</v>
      </c>
      <c r="K76" s="27" t="str">
        <f>IFERROR(VLOOKUP(J76,Substituicoes!J:J,1,0),"SS")</f>
        <v>SS</v>
      </c>
      <c r="L76" s="27" t="str">
        <f>IFERROR(VLOOKUP(J76,Substituicoes!K:K,1,0),"SS")</f>
        <v>2Maranhão - MA22</v>
      </c>
      <c r="M76" s="28" t="b">
        <f t="shared" si="7"/>
        <v>0</v>
      </c>
      <c r="N76" s="29">
        <f>IF(AND(K76=L76,LEFT(E76,1)="T"),VLOOKUP(A76,'JOGOS BASE'!A:E,4,0),IF(K76=J76,VLOOKUP(J76,Substituicoes!J:R,6,0),IF(L76=J76,VLOOKUP(Escalacao!J76,Substituicoes!K:R,7,0),0)))</f>
        <v>47</v>
      </c>
      <c r="O76" s="28">
        <f>IF(AND(K76=L76,LEFT(E76,1)="T"),VLOOKUP(A76,'JOGOS BASE'!A:E,5,0),IF(K76=J76,VLOOKUP(J76,Substituicoes!J:R,7,0),IF(L76=J76,VLOOKUP(Escalacao!J76,Substituicoes!K:R,8,0),0)))</f>
        <v>0</v>
      </c>
      <c r="P76" s="28">
        <f t="shared" si="8"/>
        <v>47</v>
      </c>
      <c r="Q76" s="28" t="str">
        <f t="shared" si="9"/>
        <v>222Maranhão - MA</v>
      </c>
      <c r="R76" s="28" t="str">
        <f>VLOOKUP(A76,'JOGOS BASE'!A:H,8)</f>
        <v>12.01.2025 - Moto Club - MA x Maranhão - MA</v>
      </c>
    </row>
    <row r="77" spans="1:18" ht="30.6" hidden="1">
      <c r="A77" s="15">
        <v>2</v>
      </c>
      <c r="B77" s="46">
        <v>12</v>
      </c>
      <c r="C77" s="45" t="s">
        <v>236</v>
      </c>
      <c r="D77" s="45" t="s">
        <v>237</v>
      </c>
      <c r="E77" s="47" t="s">
        <v>40</v>
      </c>
      <c r="F77" s="47" t="s">
        <v>24</v>
      </c>
      <c r="G77" s="46">
        <v>565480</v>
      </c>
      <c r="H77" s="15" t="s">
        <v>260</v>
      </c>
      <c r="I77" s="26" t="str">
        <f t="shared" si="5"/>
        <v>Victor</v>
      </c>
      <c r="J77" s="26" t="str">
        <f t="shared" si="6"/>
        <v>2Maranhão - MA12</v>
      </c>
      <c r="K77" s="27" t="str">
        <f>IFERROR(VLOOKUP(J77,Substituicoes!J:J,1,0),"SS")</f>
        <v>SS</v>
      </c>
      <c r="L77" s="27" t="str">
        <f>IFERROR(VLOOKUP(J77,Substituicoes!K:K,1,0),"SS")</f>
        <v>SS</v>
      </c>
      <c r="M77" s="28" t="b">
        <f t="shared" si="7"/>
        <v>1</v>
      </c>
      <c r="N77" s="29">
        <f>IF(AND(K77=L77,LEFT(E77,1)="T"),VLOOKUP(A77,'JOGOS BASE'!A:E,4,0),IF(K77=J77,VLOOKUP(J77,Substituicoes!J:R,6,0),IF(L77=J77,VLOOKUP(Escalacao!J77,Substituicoes!K:R,7,0),0)))</f>
        <v>0</v>
      </c>
      <c r="O77" s="28">
        <f>IF(AND(K77=L77,LEFT(E77,1)="T"),VLOOKUP(A77,'JOGOS BASE'!A:E,5,0),IF(K77=J77,VLOOKUP(J77,Substituicoes!J:R,7,0),IF(L77=J77,VLOOKUP(Escalacao!J77,Substituicoes!K:R,8,0),0)))</f>
        <v>0</v>
      </c>
      <c r="P77" s="28">
        <f t="shared" si="8"/>
        <v>0</v>
      </c>
      <c r="Q77" s="28" t="str">
        <f t="shared" si="9"/>
        <v>212Maranhão - MA</v>
      </c>
      <c r="R77" s="28" t="str">
        <f>VLOOKUP(A77,'JOGOS BASE'!A:H,8)</f>
        <v>12.01.2025 - Moto Club - MA x Maranhão - MA</v>
      </c>
    </row>
    <row r="78" spans="1:18" ht="20.399999999999999" hidden="1">
      <c r="A78" s="15">
        <v>2</v>
      </c>
      <c r="B78" s="46">
        <v>7</v>
      </c>
      <c r="C78" s="45" t="s">
        <v>238</v>
      </c>
      <c r="D78" s="45" t="s">
        <v>239</v>
      </c>
      <c r="E78" s="47" t="s">
        <v>42</v>
      </c>
      <c r="F78" s="47" t="s">
        <v>24</v>
      </c>
      <c r="G78" s="46">
        <v>739934</v>
      </c>
      <c r="H78" s="15" t="s">
        <v>260</v>
      </c>
      <c r="I78" s="26" t="str">
        <f t="shared" si="5"/>
        <v>GUILHERME</v>
      </c>
      <c r="J78" s="26" t="str">
        <f t="shared" si="6"/>
        <v>2Maranhão - MA7</v>
      </c>
      <c r="K78" s="27" t="str">
        <f>IFERROR(VLOOKUP(J78,Substituicoes!J:J,1,0),"SS")</f>
        <v>SS</v>
      </c>
      <c r="L78" s="27" t="str">
        <f>IFERROR(VLOOKUP(J78,Substituicoes!K:K,1,0),"SS")</f>
        <v>SS</v>
      </c>
      <c r="M78" s="28" t="b">
        <f t="shared" si="7"/>
        <v>1</v>
      </c>
      <c r="N78" s="29">
        <f>IF(AND(K78=L78,LEFT(E78,1)="T"),VLOOKUP(A78,'JOGOS BASE'!A:E,4,0),IF(K78=J78,VLOOKUP(J78,Substituicoes!J:R,6,0),IF(L78=J78,VLOOKUP(Escalacao!J78,Substituicoes!K:R,7,0),0)))</f>
        <v>0</v>
      </c>
      <c r="O78" s="28">
        <f>IF(AND(K78=L78,LEFT(E78,1)="T"),VLOOKUP(A78,'JOGOS BASE'!A:E,5,0),IF(K78=J78,VLOOKUP(J78,Substituicoes!J:R,7,0),IF(L78=J78,VLOOKUP(Escalacao!J78,Substituicoes!K:R,8,0),0)))</f>
        <v>0</v>
      </c>
      <c r="P78" s="28">
        <f t="shared" si="8"/>
        <v>0</v>
      </c>
      <c r="Q78" s="28" t="str">
        <f t="shared" si="9"/>
        <v>27Maranhão - MA</v>
      </c>
      <c r="R78" s="28" t="str">
        <f>VLOOKUP(A78,'JOGOS BASE'!A:H,8)</f>
        <v>12.01.2025 - Moto Club - MA x Maranhão - MA</v>
      </c>
    </row>
    <row r="79" spans="1:18" ht="20.399999999999999" hidden="1">
      <c r="A79" s="15">
        <v>2</v>
      </c>
      <c r="B79" s="46">
        <v>13</v>
      </c>
      <c r="C79" s="45" t="s">
        <v>240</v>
      </c>
      <c r="D79" s="45" t="s">
        <v>241</v>
      </c>
      <c r="E79" s="47" t="s">
        <v>42</v>
      </c>
      <c r="F79" s="47" t="s">
        <v>24</v>
      </c>
      <c r="G79" s="46">
        <v>454987</v>
      </c>
      <c r="H79" s="15" t="s">
        <v>260</v>
      </c>
      <c r="I79" s="26" t="str">
        <f t="shared" si="5"/>
        <v>IGOR</v>
      </c>
      <c r="J79" s="26" t="str">
        <f t="shared" si="6"/>
        <v>2Maranhão - MA13</v>
      </c>
      <c r="K79" s="27" t="str">
        <f>IFERROR(VLOOKUP(J79,Substituicoes!J:J,1,0),"SS")</f>
        <v>2Maranhão - MA13</v>
      </c>
      <c r="L79" s="27" t="str">
        <f>IFERROR(VLOOKUP(J79,Substituicoes!K:K,1,0),"SS")</f>
        <v>SS</v>
      </c>
      <c r="M79" s="28" t="b">
        <f t="shared" si="7"/>
        <v>0</v>
      </c>
      <c r="N79" s="29">
        <f>IF(AND(K79=L79,LEFT(E79,1)="T"),VLOOKUP(A79,'JOGOS BASE'!A:E,4,0),IF(K79=J79,VLOOKUP(J79,Substituicoes!J:R,6,0),IF(L79=J79,VLOOKUP(Escalacao!J79,Substituicoes!K:R,7,0),0)))</f>
        <v>0</v>
      </c>
      <c r="O79" s="28">
        <f>IF(AND(K79=L79,LEFT(E79,1)="T"),VLOOKUP(A79,'JOGOS BASE'!A:E,5,0),IF(K79=J79,VLOOKUP(J79,Substituicoes!J:R,7,0),IF(L79=J79,VLOOKUP(Escalacao!J79,Substituicoes!K:R,8,0),0)))</f>
        <v>27</v>
      </c>
      <c r="P79" s="28">
        <f t="shared" si="8"/>
        <v>27</v>
      </c>
      <c r="Q79" s="28" t="str">
        <f t="shared" si="9"/>
        <v>213Maranhão - MA</v>
      </c>
      <c r="R79" s="28" t="str">
        <f>VLOOKUP(A79,'JOGOS BASE'!A:H,8)</f>
        <v>12.01.2025 - Moto Club - MA x Maranhão - MA</v>
      </c>
    </row>
    <row r="80" spans="1:18" ht="20.399999999999999" hidden="1">
      <c r="A80" s="15">
        <v>2</v>
      </c>
      <c r="B80" s="46">
        <v>14</v>
      </c>
      <c r="C80" s="45" t="s">
        <v>242</v>
      </c>
      <c r="D80" s="45" t="s">
        <v>243</v>
      </c>
      <c r="E80" s="47" t="s">
        <v>42</v>
      </c>
      <c r="F80" s="47" t="s">
        <v>24</v>
      </c>
      <c r="G80" s="46">
        <v>375673</v>
      </c>
      <c r="H80" s="15" t="s">
        <v>260</v>
      </c>
      <c r="I80" s="26" t="str">
        <f t="shared" si="5"/>
        <v>Julio Nasc ...</v>
      </c>
      <c r="J80" s="26" t="str">
        <f t="shared" si="6"/>
        <v>2Maranhão - MA14</v>
      </c>
      <c r="K80" s="27" t="str">
        <f>IFERROR(VLOOKUP(J80,Substituicoes!J:J,1,0),"SS")</f>
        <v>2Maranhão - MA14</v>
      </c>
      <c r="L80" s="27" t="str">
        <f>IFERROR(VLOOKUP(J80,Substituicoes!K:K,1,0),"SS")</f>
        <v>SS</v>
      </c>
      <c r="M80" s="28" t="b">
        <f t="shared" si="7"/>
        <v>0</v>
      </c>
      <c r="N80" s="29">
        <f>IF(AND(K80=L80,LEFT(E80,1)="T"),VLOOKUP(A80,'JOGOS BASE'!A:E,4,0),IF(K80=J80,VLOOKUP(J80,Substituicoes!J:R,6,0),IF(L80=J80,VLOOKUP(Escalacao!J80,Substituicoes!K:R,7,0),0)))</f>
        <v>0</v>
      </c>
      <c r="O80" s="28">
        <f>IF(AND(K80=L80,LEFT(E80,1)="T"),VLOOKUP(A80,'JOGOS BASE'!A:E,5,0),IF(K80=J80,VLOOKUP(J80,Substituicoes!J:R,7,0),IF(L80=J80,VLOOKUP(Escalacao!J80,Substituicoes!K:R,8,0),0)))</f>
        <v>48</v>
      </c>
      <c r="P80" s="28">
        <f t="shared" si="8"/>
        <v>48</v>
      </c>
      <c r="Q80" s="28" t="str">
        <f t="shared" si="9"/>
        <v>214Maranhão - MA</v>
      </c>
      <c r="R80" s="28" t="str">
        <f>VLOOKUP(A80,'JOGOS BASE'!A:H,8)</f>
        <v>12.01.2025 - Moto Club - MA x Maranhão - MA</v>
      </c>
    </row>
    <row r="81" spans="1:18" ht="30.6" hidden="1">
      <c r="A81" s="15">
        <v>2</v>
      </c>
      <c r="B81" s="46">
        <v>15</v>
      </c>
      <c r="C81" s="45" t="s">
        <v>244</v>
      </c>
      <c r="D81" s="45" t="s">
        <v>245</v>
      </c>
      <c r="E81" s="47" t="s">
        <v>42</v>
      </c>
      <c r="F81" s="47" t="s">
        <v>24</v>
      </c>
      <c r="G81" s="46">
        <v>597056</v>
      </c>
      <c r="H81" s="15" t="s">
        <v>260</v>
      </c>
      <c r="I81" s="26" t="str">
        <f t="shared" si="5"/>
        <v>EDSON</v>
      </c>
      <c r="J81" s="26" t="str">
        <f t="shared" si="6"/>
        <v>2Maranhão - MA15</v>
      </c>
      <c r="K81" s="27" t="str">
        <f>IFERROR(VLOOKUP(J81,Substituicoes!J:J,1,0),"SS")</f>
        <v>SS</v>
      </c>
      <c r="L81" s="27" t="str">
        <f>IFERROR(VLOOKUP(J81,Substituicoes!K:K,1,0),"SS")</f>
        <v>SS</v>
      </c>
      <c r="M81" s="28" t="b">
        <f t="shared" si="7"/>
        <v>1</v>
      </c>
      <c r="N81" s="29">
        <f>IF(AND(K81=L81,LEFT(E81,1)="T"),VLOOKUP(A81,'JOGOS BASE'!A:E,4,0),IF(K81=J81,VLOOKUP(J81,Substituicoes!J:R,6,0),IF(L81=J81,VLOOKUP(Escalacao!J81,Substituicoes!K:R,7,0),0)))</f>
        <v>0</v>
      </c>
      <c r="O81" s="28">
        <f>IF(AND(K81=L81,LEFT(E81,1)="T"),VLOOKUP(A81,'JOGOS BASE'!A:E,5,0),IF(K81=J81,VLOOKUP(J81,Substituicoes!J:R,7,0),IF(L81=J81,VLOOKUP(Escalacao!J81,Substituicoes!K:R,8,0),0)))</f>
        <v>0</v>
      </c>
      <c r="P81" s="28">
        <f t="shared" si="8"/>
        <v>0</v>
      </c>
      <c r="Q81" s="28" t="str">
        <f t="shared" si="9"/>
        <v>215Maranhão - MA</v>
      </c>
      <c r="R81" s="28" t="str">
        <f>VLOOKUP(A81,'JOGOS BASE'!A:H,8)</f>
        <v>12.01.2025 - Moto Club - MA x Maranhão - MA</v>
      </c>
    </row>
    <row r="82" spans="1:18" ht="30.6" hidden="1">
      <c r="A82" s="15">
        <v>2</v>
      </c>
      <c r="B82" s="46">
        <v>16</v>
      </c>
      <c r="C82" s="45" t="s">
        <v>246</v>
      </c>
      <c r="D82" s="45" t="s">
        <v>247</v>
      </c>
      <c r="E82" s="47" t="s">
        <v>42</v>
      </c>
      <c r="F82" s="47" t="s">
        <v>24</v>
      </c>
      <c r="G82" s="46">
        <v>595323</v>
      </c>
      <c r="H82" s="15" t="s">
        <v>260</v>
      </c>
      <c r="I82" s="26" t="str">
        <f t="shared" si="5"/>
        <v>Gabriel</v>
      </c>
      <c r="J82" s="26" t="str">
        <f t="shared" si="6"/>
        <v>2Maranhão - MA16</v>
      </c>
      <c r="K82" s="27" t="str">
        <f>IFERROR(VLOOKUP(J82,Substituicoes!J:J,1,0),"SS")</f>
        <v>SS</v>
      </c>
      <c r="L82" s="27" t="str">
        <f>IFERROR(VLOOKUP(J82,Substituicoes!K:K,1,0),"SS")</f>
        <v>SS</v>
      </c>
      <c r="M82" s="28" t="b">
        <f t="shared" si="7"/>
        <v>1</v>
      </c>
      <c r="N82" s="29">
        <f>IF(AND(K82=L82,LEFT(E82,1)="T"),VLOOKUP(A82,'JOGOS BASE'!A:E,4,0),IF(K82=J82,VLOOKUP(J82,Substituicoes!J:R,6,0),IF(L82=J82,VLOOKUP(Escalacao!J82,Substituicoes!K:R,7,0),0)))</f>
        <v>0</v>
      </c>
      <c r="O82" s="28">
        <f>IF(AND(K82=L82,LEFT(E82,1)="T"),VLOOKUP(A82,'JOGOS BASE'!A:E,5,0),IF(K82=J82,VLOOKUP(J82,Substituicoes!J:R,7,0),IF(L82=J82,VLOOKUP(Escalacao!J82,Substituicoes!K:R,8,0),0)))</f>
        <v>0</v>
      </c>
      <c r="P82" s="28">
        <f t="shared" si="8"/>
        <v>0</v>
      </c>
      <c r="Q82" s="28" t="str">
        <f t="shared" si="9"/>
        <v>216Maranhão - MA</v>
      </c>
      <c r="R82" s="28" t="str">
        <f>VLOOKUP(A82,'JOGOS BASE'!A:H,8)</f>
        <v>12.01.2025 - Moto Club - MA x Maranhão - MA</v>
      </c>
    </row>
    <row r="83" spans="1:18" ht="30.6" hidden="1">
      <c r="A83" s="15">
        <v>2</v>
      </c>
      <c r="B83" s="46">
        <v>17</v>
      </c>
      <c r="C83" s="45" t="s">
        <v>248</v>
      </c>
      <c r="D83" s="45" t="s">
        <v>249</v>
      </c>
      <c r="E83" s="47" t="s">
        <v>42</v>
      </c>
      <c r="F83" s="47" t="s">
        <v>24</v>
      </c>
      <c r="G83" s="46">
        <v>747375</v>
      </c>
      <c r="H83" s="15" t="s">
        <v>260</v>
      </c>
      <c r="I83" s="26" t="str">
        <f t="shared" si="5"/>
        <v>MARCOS</v>
      </c>
      <c r="J83" s="26" t="str">
        <f t="shared" si="6"/>
        <v>2Maranhão - MA17</v>
      </c>
      <c r="K83" s="27" t="str">
        <f>IFERROR(VLOOKUP(J83,Substituicoes!J:J,1,0),"SS")</f>
        <v>SS</v>
      </c>
      <c r="L83" s="27" t="str">
        <f>IFERROR(VLOOKUP(J83,Substituicoes!K:K,1,0),"SS")</f>
        <v>SS</v>
      </c>
      <c r="M83" s="28" t="b">
        <f t="shared" si="7"/>
        <v>1</v>
      </c>
      <c r="N83" s="29">
        <f>IF(AND(K83=L83,LEFT(E83,1)="T"),VLOOKUP(A83,'JOGOS BASE'!A:E,4,0),IF(K83=J83,VLOOKUP(J83,Substituicoes!J:R,6,0),IF(L83=J83,VLOOKUP(Escalacao!J83,Substituicoes!K:R,7,0),0)))</f>
        <v>0</v>
      </c>
      <c r="O83" s="28">
        <f>IF(AND(K83=L83,LEFT(E83,1)="T"),VLOOKUP(A83,'JOGOS BASE'!A:E,5,0),IF(K83=J83,VLOOKUP(J83,Substituicoes!J:R,7,0),IF(L83=J83,VLOOKUP(Escalacao!J83,Substituicoes!K:R,8,0),0)))</f>
        <v>0</v>
      </c>
      <c r="P83" s="28">
        <f t="shared" si="8"/>
        <v>0</v>
      </c>
      <c r="Q83" s="28" t="str">
        <f t="shared" si="9"/>
        <v>217Maranhão - MA</v>
      </c>
      <c r="R83" s="28" t="str">
        <f>VLOOKUP(A83,'JOGOS BASE'!A:H,8)</f>
        <v>12.01.2025 - Moto Club - MA x Maranhão - MA</v>
      </c>
    </row>
    <row r="84" spans="1:18" ht="30.6" hidden="1">
      <c r="A84" s="15">
        <v>2</v>
      </c>
      <c r="B84" s="46">
        <v>18</v>
      </c>
      <c r="C84" s="45" t="s">
        <v>250</v>
      </c>
      <c r="D84" s="45" t="s">
        <v>251</v>
      </c>
      <c r="E84" s="47" t="s">
        <v>42</v>
      </c>
      <c r="F84" s="47" t="s">
        <v>24</v>
      </c>
      <c r="G84" s="46">
        <v>629226</v>
      </c>
      <c r="H84" s="15" t="s">
        <v>260</v>
      </c>
      <c r="I84" s="26" t="str">
        <f t="shared" si="5"/>
        <v>LUCAS</v>
      </c>
      <c r="J84" s="26" t="str">
        <f t="shared" si="6"/>
        <v>2Maranhão - MA18</v>
      </c>
      <c r="K84" s="27" t="str">
        <f>IFERROR(VLOOKUP(J84,Substituicoes!J:J,1,0),"SS")</f>
        <v>2Maranhão - MA18</v>
      </c>
      <c r="L84" s="27" t="str">
        <f>IFERROR(VLOOKUP(J84,Substituicoes!K:K,1,0),"SS")</f>
        <v>SS</v>
      </c>
      <c r="M84" s="28" t="b">
        <f t="shared" si="7"/>
        <v>0</v>
      </c>
      <c r="N84" s="29">
        <f>IF(AND(K84=L84,LEFT(E84,1)="T"),VLOOKUP(A84,'JOGOS BASE'!A:E,4,0),IF(K84=J84,VLOOKUP(J84,Substituicoes!J:R,6,0),IF(L84=J84,VLOOKUP(Escalacao!J84,Substituicoes!K:R,7,0),0)))</f>
        <v>0</v>
      </c>
      <c r="O84" s="28">
        <f>IF(AND(K84=L84,LEFT(E84,1)="T"),VLOOKUP(A84,'JOGOS BASE'!A:E,5,0),IF(K84=J84,VLOOKUP(J84,Substituicoes!J:R,7,0),IF(L84=J84,VLOOKUP(Escalacao!J84,Substituicoes!K:R,8,0),0)))</f>
        <v>50</v>
      </c>
      <c r="P84" s="28">
        <f t="shared" si="8"/>
        <v>50</v>
      </c>
      <c r="Q84" s="28" t="str">
        <f t="shared" si="9"/>
        <v>218Maranhão - MA</v>
      </c>
      <c r="R84" s="28" t="str">
        <f>VLOOKUP(A84,'JOGOS BASE'!A:H,8)</f>
        <v>12.01.2025 - Moto Club - MA x Maranhão - MA</v>
      </c>
    </row>
    <row r="85" spans="1:18" ht="30.6" hidden="1">
      <c r="A85" s="15">
        <v>2</v>
      </c>
      <c r="B85" s="46">
        <v>19</v>
      </c>
      <c r="C85" s="45" t="s">
        <v>252</v>
      </c>
      <c r="D85" s="45" t="s">
        <v>253</v>
      </c>
      <c r="E85" s="47" t="s">
        <v>42</v>
      </c>
      <c r="F85" s="47" t="s">
        <v>24</v>
      </c>
      <c r="G85" s="46">
        <v>543877</v>
      </c>
      <c r="H85" s="15" t="s">
        <v>260</v>
      </c>
      <c r="I85" s="26" t="str">
        <f t="shared" si="5"/>
        <v>Emerson Fr ...</v>
      </c>
      <c r="J85" s="26" t="str">
        <f t="shared" si="6"/>
        <v>2Maranhão - MA19</v>
      </c>
      <c r="K85" s="27" t="str">
        <f>IFERROR(VLOOKUP(J85,Substituicoes!J:J,1,0),"SS")</f>
        <v>2Maranhão - MA19</v>
      </c>
      <c r="L85" s="27" t="str">
        <f>IFERROR(VLOOKUP(J85,Substituicoes!K:K,1,0),"SS")</f>
        <v>SS</v>
      </c>
      <c r="M85" s="28" t="b">
        <f t="shared" si="7"/>
        <v>0</v>
      </c>
      <c r="N85" s="29">
        <f>IF(AND(K85=L85,LEFT(E85,1)="T"),VLOOKUP(A85,'JOGOS BASE'!A:E,4,0),IF(K85=J85,VLOOKUP(J85,Substituicoes!J:R,6,0),IF(L85=J85,VLOOKUP(Escalacao!J85,Substituicoes!K:R,7,0),0)))</f>
        <v>0</v>
      </c>
      <c r="O85" s="28">
        <f>IF(AND(K85=L85,LEFT(E85,1)="T"),VLOOKUP(A85,'JOGOS BASE'!A:E,5,0),IF(K85=J85,VLOOKUP(J85,Substituicoes!J:R,7,0),IF(L85=J85,VLOOKUP(Escalacao!J85,Substituicoes!K:R,8,0),0)))</f>
        <v>50</v>
      </c>
      <c r="P85" s="28">
        <f t="shared" si="8"/>
        <v>50</v>
      </c>
      <c r="Q85" s="28" t="str">
        <f t="shared" si="9"/>
        <v>219Maranhão - MA</v>
      </c>
      <c r="R85" s="28" t="str">
        <f>VLOOKUP(A85,'JOGOS BASE'!A:H,8)</f>
        <v>12.01.2025 - Moto Club - MA x Maranhão - MA</v>
      </c>
    </row>
    <row r="86" spans="1:18" ht="30.6" hidden="1">
      <c r="A86" s="15">
        <v>2</v>
      </c>
      <c r="B86" s="46">
        <v>20</v>
      </c>
      <c r="C86" s="45" t="s">
        <v>254</v>
      </c>
      <c r="D86" s="45" t="s">
        <v>255</v>
      </c>
      <c r="E86" s="47" t="s">
        <v>42</v>
      </c>
      <c r="F86" s="47" t="s">
        <v>24</v>
      </c>
      <c r="G86" s="46">
        <v>557892</v>
      </c>
      <c r="H86" s="15" t="s">
        <v>260</v>
      </c>
      <c r="I86" s="26" t="str">
        <f t="shared" si="5"/>
        <v>Mikeias</v>
      </c>
      <c r="J86" s="26" t="str">
        <f t="shared" si="6"/>
        <v>2Maranhão - MA20</v>
      </c>
      <c r="K86" s="27" t="str">
        <f>IFERROR(VLOOKUP(J86,Substituicoes!J:J,1,0),"SS")</f>
        <v>2Maranhão - MA20</v>
      </c>
      <c r="L86" s="27" t="str">
        <f>IFERROR(VLOOKUP(J86,Substituicoes!K:K,1,0),"SS")</f>
        <v>SS</v>
      </c>
      <c r="M86" s="28" t="b">
        <f t="shared" si="7"/>
        <v>0</v>
      </c>
      <c r="N86" s="29">
        <f>IF(AND(K86=L86,LEFT(E86,1)="T"),VLOOKUP(A86,'JOGOS BASE'!A:E,4,0),IF(K86=J86,VLOOKUP(J86,Substituicoes!J:R,6,0),IF(L86=J86,VLOOKUP(Escalacao!J86,Substituicoes!K:R,7,0),0)))</f>
        <v>0</v>
      </c>
      <c r="O86" s="28">
        <f>IF(AND(K86=L86,LEFT(E86,1)="T"),VLOOKUP(A86,'JOGOS BASE'!A:E,5,0),IF(K86=J86,VLOOKUP(J86,Substituicoes!J:R,7,0),IF(L86=J86,VLOOKUP(Escalacao!J86,Substituicoes!K:R,8,0),0)))</f>
        <v>50</v>
      </c>
      <c r="P86" s="28">
        <f t="shared" si="8"/>
        <v>50</v>
      </c>
      <c r="Q86" s="28" t="str">
        <f t="shared" si="9"/>
        <v>220Maranhão - MA</v>
      </c>
      <c r="R86" s="28" t="str">
        <f>VLOOKUP(A86,'JOGOS BASE'!A:H,8)</f>
        <v>12.01.2025 - Moto Club - MA x Maranhão - MA</v>
      </c>
    </row>
    <row r="87" spans="1:18" ht="30.6" hidden="1">
      <c r="A87" s="15">
        <v>2</v>
      </c>
      <c r="B87" s="46">
        <v>21</v>
      </c>
      <c r="C87" s="45" t="s">
        <v>256</v>
      </c>
      <c r="D87" s="45" t="s">
        <v>257</v>
      </c>
      <c r="E87" s="47" t="s">
        <v>42</v>
      </c>
      <c r="F87" s="47" t="s">
        <v>24</v>
      </c>
      <c r="G87" s="46">
        <v>673956</v>
      </c>
      <c r="H87" s="15" t="s">
        <v>260</v>
      </c>
      <c r="I87" s="26" t="str">
        <f t="shared" si="5"/>
        <v>Diego Cant ...</v>
      </c>
      <c r="J87" s="26" t="str">
        <f t="shared" si="6"/>
        <v>2Maranhão - MA21</v>
      </c>
      <c r="K87" s="27" t="str">
        <f>IFERROR(VLOOKUP(J87,Substituicoes!J:J,1,0),"SS")</f>
        <v>SS</v>
      </c>
      <c r="L87" s="27" t="str">
        <f>IFERROR(VLOOKUP(J87,Substituicoes!K:K,1,0),"SS")</f>
        <v>SS</v>
      </c>
      <c r="M87" s="28" t="b">
        <f t="shared" si="7"/>
        <v>1</v>
      </c>
      <c r="N87" s="29">
        <f>IF(AND(K87=L87,LEFT(E87,1)="T"),VLOOKUP(A87,'JOGOS BASE'!A:E,4,0),IF(K87=J87,VLOOKUP(J87,Substituicoes!J:R,6,0),IF(L87=J87,VLOOKUP(Escalacao!J87,Substituicoes!K:R,7,0),0)))</f>
        <v>0</v>
      </c>
      <c r="O87" s="28">
        <f>IF(AND(K87=L87,LEFT(E87,1)="T"),VLOOKUP(A87,'JOGOS BASE'!A:E,5,0),IF(K87=J87,VLOOKUP(J87,Substituicoes!J:R,7,0),IF(L87=J87,VLOOKUP(Escalacao!J87,Substituicoes!K:R,8,0),0)))</f>
        <v>0</v>
      </c>
      <c r="P87" s="28">
        <f t="shared" si="8"/>
        <v>0</v>
      </c>
      <c r="Q87" s="28" t="str">
        <f t="shared" si="9"/>
        <v>221Maranhão - MA</v>
      </c>
      <c r="R87" s="28" t="str">
        <f>VLOOKUP(A87,'JOGOS BASE'!A:H,8)</f>
        <v>12.01.2025 - Moto Club - MA x Maranhão - MA</v>
      </c>
    </row>
    <row r="88" spans="1:18" ht="30.6" hidden="1">
      <c r="A88" s="15">
        <v>3</v>
      </c>
      <c r="B88" s="46">
        <v>1</v>
      </c>
      <c r="C88" s="45" t="s">
        <v>301</v>
      </c>
      <c r="D88" s="45" t="s">
        <v>302</v>
      </c>
      <c r="E88" s="47" t="s">
        <v>23</v>
      </c>
      <c r="F88" s="47" t="s">
        <v>24</v>
      </c>
      <c r="G88" s="46">
        <v>530809</v>
      </c>
      <c r="H88" s="15" t="s">
        <v>368</v>
      </c>
      <c r="I88" s="26" t="str">
        <f t="shared" ref="I88:I117" si="10">C88</f>
        <v>Mateus</v>
      </c>
      <c r="J88" s="26" t="str">
        <f t="shared" ref="J88:J117" si="11">A88&amp;H88&amp;B88</f>
        <v>3Pinheiro - MA1</v>
      </c>
      <c r="K88" s="27" t="str">
        <f>IFERROR(VLOOKUP(J88,Substituicoes!J:J,1,0),"SS")</f>
        <v>SS</v>
      </c>
      <c r="L88" s="27" t="str">
        <f>IFERROR(VLOOKUP(J88,Substituicoes!K:K,1,0),"SS")</f>
        <v>SS</v>
      </c>
      <c r="M88" s="28" t="b">
        <f t="shared" ref="M88:M117" si="12">K88=L88</f>
        <v>1</v>
      </c>
      <c r="N88" s="29">
        <f>IF(AND(K88=L88,LEFT(E88,1)="T"),VLOOKUP(A88,'JOGOS BASE'!A:E,4,0),IF(K88=J88,VLOOKUP(J88,Substituicoes!J:R,6,0),IF(L88=J88,VLOOKUP(Escalacao!J88,Substituicoes!K:R,7,0),0)))</f>
        <v>50</v>
      </c>
      <c r="O88" s="28">
        <f>IF(AND(K88=L88,LEFT(E88,1)="T"),VLOOKUP(A88,'JOGOS BASE'!A:E,5,0),IF(K88=J88,VLOOKUP(J88,Substituicoes!J:R,7,0),IF(L88=J88,VLOOKUP(Escalacao!J88,Substituicoes!K:R,8,0),0)))</f>
        <v>47</v>
      </c>
      <c r="P88" s="28">
        <f t="shared" ref="P88:P117" si="13">N88+O88</f>
        <v>97</v>
      </c>
      <c r="Q88" s="28" t="str">
        <f t="shared" ref="Q88:Q117" si="14">A88&amp;B88&amp;H88</f>
        <v>31Pinheiro - MA</v>
      </c>
      <c r="R88" s="28" t="str">
        <f>VLOOKUP(A88,'JOGOS BASE'!A:H,8)</f>
        <v>12.01.2025 - Pinheiro - MA x Viana - MA</v>
      </c>
    </row>
    <row r="89" spans="1:18" ht="20.399999999999999" hidden="1">
      <c r="A89" s="15">
        <v>3</v>
      </c>
      <c r="B89" s="46">
        <v>2</v>
      </c>
      <c r="C89" s="45" t="s">
        <v>303</v>
      </c>
      <c r="D89" s="45" t="s">
        <v>304</v>
      </c>
      <c r="E89" s="47" t="s">
        <v>26</v>
      </c>
      <c r="F89" s="47" t="s">
        <v>56</v>
      </c>
      <c r="G89" s="46">
        <v>748495</v>
      </c>
      <c r="H89" s="15" t="s">
        <v>368</v>
      </c>
      <c r="I89" s="26" t="str">
        <f t="shared" si="10"/>
        <v>Italo</v>
      </c>
      <c r="J89" s="26" t="str">
        <f t="shared" si="11"/>
        <v>3Pinheiro - MA2</v>
      </c>
      <c r="K89" s="27" t="str">
        <f>IFERROR(VLOOKUP(J89,Substituicoes!J:J,1,0),"SS")</f>
        <v>SS</v>
      </c>
      <c r="L89" s="27" t="str">
        <f>IFERROR(VLOOKUP(J89,Substituicoes!K:K,1,0),"SS")</f>
        <v>3Pinheiro - MA2</v>
      </c>
      <c r="M89" s="28" t="b">
        <f t="shared" si="12"/>
        <v>0</v>
      </c>
      <c r="N89" s="29">
        <f>IF(AND(K89=L89,LEFT(E89,1)="T"),VLOOKUP(A89,'JOGOS BASE'!A:E,4,0),IF(K89=J89,VLOOKUP(J89,Substituicoes!J:R,6,0),IF(L89=J89,VLOOKUP(Escalacao!J89,Substituicoes!K:R,7,0),0)))</f>
        <v>42</v>
      </c>
      <c r="O89" s="28">
        <f>IF(AND(K89=L89,LEFT(E89,1)="T"),VLOOKUP(A89,'JOGOS BASE'!A:E,5,0),IF(K89=J89,VLOOKUP(J89,Substituicoes!J:R,7,0),IF(L89=J89,VLOOKUP(Escalacao!J89,Substituicoes!K:R,8,0),0)))</f>
        <v>0</v>
      </c>
      <c r="P89" s="28">
        <f t="shared" si="13"/>
        <v>42</v>
      </c>
      <c r="Q89" s="28" t="str">
        <f t="shared" si="14"/>
        <v>32Pinheiro - MA</v>
      </c>
      <c r="R89" s="28" t="str">
        <f>VLOOKUP(A89,'JOGOS BASE'!A:H,8)</f>
        <v>12.01.2025 - Pinheiro - MA x Viana - MA</v>
      </c>
    </row>
    <row r="90" spans="1:18" ht="30.6" hidden="1">
      <c r="A90" s="15">
        <v>3</v>
      </c>
      <c r="B90" s="46">
        <v>3</v>
      </c>
      <c r="C90" s="45" t="s">
        <v>305</v>
      </c>
      <c r="D90" s="45" t="s">
        <v>306</v>
      </c>
      <c r="E90" s="47" t="s">
        <v>26</v>
      </c>
      <c r="F90" s="47" t="s">
        <v>24</v>
      </c>
      <c r="G90" s="46">
        <v>619339</v>
      </c>
      <c r="H90" s="15" t="s">
        <v>368</v>
      </c>
      <c r="I90" s="26" t="str">
        <f t="shared" si="10"/>
        <v>Henrique</v>
      </c>
      <c r="J90" s="26" t="str">
        <f t="shared" si="11"/>
        <v>3Pinheiro - MA3</v>
      </c>
      <c r="K90" s="27" t="str">
        <f>IFERROR(VLOOKUP(J90,Substituicoes!J:J,1,0),"SS")</f>
        <v>SS</v>
      </c>
      <c r="L90" s="27" t="str">
        <f>IFERROR(VLOOKUP(J90,Substituicoes!K:K,1,0),"SS")</f>
        <v>SS</v>
      </c>
      <c r="M90" s="28" t="b">
        <f t="shared" si="12"/>
        <v>1</v>
      </c>
      <c r="N90" s="29">
        <f>IF(AND(K90=L90,LEFT(E90,1)="T"),VLOOKUP(A90,'JOGOS BASE'!A:E,4,0),IF(K90=J90,VLOOKUP(J90,Substituicoes!J:R,6,0),IF(L90=J90,VLOOKUP(Escalacao!J90,Substituicoes!K:R,7,0),0)))</f>
        <v>50</v>
      </c>
      <c r="O90" s="28">
        <f>IF(AND(K90=L90,LEFT(E90,1)="T"),VLOOKUP(A90,'JOGOS BASE'!A:E,5,0),IF(K90=J90,VLOOKUP(J90,Substituicoes!J:R,7,0),IF(L90=J90,VLOOKUP(Escalacao!J90,Substituicoes!K:R,8,0),0)))</f>
        <v>47</v>
      </c>
      <c r="P90" s="28">
        <f t="shared" si="13"/>
        <v>97</v>
      </c>
      <c r="Q90" s="28" t="str">
        <f t="shared" si="14"/>
        <v>33Pinheiro - MA</v>
      </c>
      <c r="R90" s="28" t="str">
        <f>VLOOKUP(A90,'JOGOS BASE'!A:H,8)</f>
        <v>12.01.2025 - Pinheiro - MA x Viana - MA</v>
      </c>
    </row>
    <row r="91" spans="1:18" ht="30.6" hidden="1">
      <c r="A91" s="15">
        <v>3</v>
      </c>
      <c r="B91" s="46">
        <v>4</v>
      </c>
      <c r="C91" s="45" t="s">
        <v>307</v>
      </c>
      <c r="D91" s="45" t="s">
        <v>308</v>
      </c>
      <c r="E91" s="47" t="s">
        <v>26</v>
      </c>
      <c r="F91" s="47" t="s">
        <v>24</v>
      </c>
      <c r="G91" s="46">
        <v>710616</v>
      </c>
      <c r="H91" s="15" t="s">
        <v>368</v>
      </c>
      <c r="I91" s="26" t="str">
        <f t="shared" si="10"/>
        <v>Rikelmmer</v>
      </c>
      <c r="J91" s="26" t="str">
        <f t="shared" si="11"/>
        <v>3Pinheiro - MA4</v>
      </c>
      <c r="K91" s="27" t="str">
        <f>IFERROR(VLOOKUP(J91,Substituicoes!J:J,1,0),"SS")</f>
        <v>SS</v>
      </c>
      <c r="L91" s="27" t="str">
        <f>IFERROR(VLOOKUP(J91,Substituicoes!K:K,1,0),"SS")</f>
        <v>SS</v>
      </c>
      <c r="M91" s="28" t="b">
        <f t="shared" si="12"/>
        <v>1</v>
      </c>
      <c r="N91" s="29">
        <f>IF(AND(K91=L91,LEFT(E91,1)="T"),VLOOKUP(A91,'JOGOS BASE'!A:E,4,0),IF(K91=J91,VLOOKUP(J91,Substituicoes!J:R,6,0),IF(L91=J91,VLOOKUP(Escalacao!J91,Substituicoes!K:R,7,0),0)))</f>
        <v>50</v>
      </c>
      <c r="O91" s="28">
        <f>IF(AND(K91=L91,LEFT(E91,1)="T"),VLOOKUP(A91,'JOGOS BASE'!A:E,5,0),IF(K91=J91,VLOOKUP(J91,Substituicoes!J:R,7,0),IF(L91=J91,VLOOKUP(Escalacao!J91,Substituicoes!K:R,8,0),0)))</f>
        <v>47</v>
      </c>
      <c r="P91" s="28">
        <f t="shared" si="13"/>
        <v>97</v>
      </c>
      <c r="Q91" s="28" t="str">
        <f t="shared" si="14"/>
        <v>34Pinheiro - MA</v>
      </c>
      <c r="R91" s="28" t="str">
        <f>VLOOKUP(A91,'JOGOS BASE'!A:H,8)</f>
        <v>12.01.2025 - Pinheiro - MA x Viana - MA</v>
      </c>
    </row>
    <row r="92" spans="1:18" ht="20.399999999999999" hidden="1">
      <c r="A92" s="15">
        <v>3</v>
      </c>
      <c r="B92" s="46">
        <v>5</v>
      </c>
      <c r="C92" s="45" t="s">
        <v>309</v>
      </c>
      <c r="D92" s="45" t="s">
        <v>310</v>
      </c>
      <c r="E92" s="47" t="s">
        <v>26</v>
      </c>
      <c r="F92" s="47" t="s">
        <v>24</v>
      </c>
      <c r="G92" s="46">
        <v>537343</v>
      </c>
      <c r="H92" s="15" t="s">
        <v>368</v>
      </c>
      <c r="I92" s="26" t="str">
        <f t="shared" si="10"/>
        <v>Rayandeson</v>
      </c>
      <c r="J92" s="26" t="str">
        <f t="shared" si="11"/>
        <v>3Pinheiro - MA5</v>
      </c>
      <c r="K92" s="27" t="str">
        <f>IFERROR(VLOOKUP(J92,Substituicoes!J:J,1,0),"SS")</f>
        <v>SS</v>
      </c>
      <c r="L92" s="27" t="str">
        <f>IFERROR(VLOOKUP(J92,Substituicoes!K:K,1,0),"SS")</f>
        <v>SS</v>
      </c>
      <c r="M92" s="28" t="b">
        <f t="shared" si="12"/>
        <v>1</v>
      </c>
      <c r="N92" s="29">
        <f>IF(AND(K92=L92,LEFT(E92,1)="T"),VLOOKUP(A92,'JOGOS BASE'!A:E,4,0),IF(K92=J92,VLOOKUP(J92,Substituicoes!J:R,6,0),IF(L92=J92,VLOOKUP(Escalacao!J92,Substituicoes!K:R,7,0),0)))</f>
        <v>50</v>
      </c>
      <c r="O92" s="28">
        <f>IF(AND(K92=L92,LEFT(E92,1)="T"),VLOOKUP(A92,'JOGOS BASE'!A:E,5,0),IF(K92=J92,VLOOKUP(J92,Substituicoes!J:R,7,0),IF(L92=J92,VLOOKUP(Escalacao!J92,Substituicoes!K:R,8,0),0)))</f>
        <v>47</v>
      </c>
      <c r="P92" s="28">
        <f t="shared" si="13"/>
        <v>97</v>
      </c>
      <c r="Q92" s="28" t="str">
        <f t="shared" si="14"/>
        <v>35Pinheiro - MA</v>
      </c>
      <c r="R92" s="28" t="str">
        <f>VLOOKUP(A92,'JOGOS BASE'!A:H,8)</f>
        <v>12.01.2025 - Pinheiro - MA x Viana - MA</v>
      </c>
    </row>
    <row r="93" spans="1:18" ht="20.399999999999999" hidden="1">
      <c r="A93" s="15">
        <v>3</v>
      </c>
      <c r="B93" s="46">
        <v>6</v>
      </c>
      <c r="C93" s="45" t="s">
        <v>246</v>
      </c>
      <c r="D93" s="45" t="s">
        <v>311</v>
      </c>
      <c r="E93" s="47" t="s">
        <v>26</v>
      </c>
      <c r="F93" s="47" t="s">
        <v>24</v>
      </c>
      <c r="G93" s="46">
        <v>637743</v>
      </c>
      <c r="H93" s="15" t="s">
        <v>368</v>
      </c>
      <c r="I93" s="26" t="str">
        <f t="shared" si="10"/>
        <v>Gabriel</v>
      </c>
      <c r="J93" s="26" t="str">
        <f t="shared" si="11"/>
        <v>3Pinheiro - MA6</v>
      </c>
      <c r="K93" s="27" t="str">
        <f>IFERROR(VLOOKUP(J93,Substituicoes!J:J,1,0),"SS")</f>
        <v>SS</v>
      </c>
      <c r="L93" s="27" t="str">
        <f>IFERROR(VLOOKUP(J93,Substituicoes!K:K,1,0),"SS")</f>
        <v>3Pinheiro - MA6</v>
      </c>
      <c r="M93" s="28" t="b">
        <f t="shared" si="12"/>
        <v>0</v>
      </c>
      <c r="N93" s="29">
        <f>IF(AND(K93=L93,LEFT(E93,1)="T"),VLOOKUP(A93,'JOGOS BASE'!A:E,4,0),IF(K93=J93,VLOOKUP(J93,Substituicoes!J:R,6,0),IF(L93=J93,VLOOKUP(Escalacao!J93,Substituicoes!K:R,7,0),0)))</f>
        <v>50</v>
      </c>
      <c r="O93" s="28">
        <f>IF(AND(K93=L93,LEFT(E93,1)="T"),VLOOKUP(A93,'JOGOS BASE'!A:E,5,0),IF(K93=J93,VLOOKUP(J93,Substituicoes!J:R,7,0),IF(L93=J93,VLOOKUP(Escalacao!J93,Substituicoes!K:R,8,0),0)))</f>
        <v>32</v>
      </c>
      <c r="P93" s="28">
        <f t="shared" si="13"/>
        <v>82</v>
      </c>
      <c r="Q93" s="28" t="str">
        <f t="shared" si="14"/>
        <v>36Pinheiro - MA</v>
      </c>
      <c r="R93" s="28" t="str">
        <f>VLOOKUP(A93,'JOGOS BASE'!A:H,8)</f>
        <v>12.01.2025 - Pinheiro - MA x Viana - MA</v>
      </c>
    </row>
    <row r="94" spans="1:18" ht="20.399999999999999" hidden="1">
      <c r="A94" s="15">
        <v>3</v>
      </c>
      <c r="B94" s="46">
        <v>7</v>
      </c>
      <c r="C94" s="45" t="s">
        <v>312</v>
      </c>
      <c r="D94" s="45" t="s">
        <v>313</v>
      </c>
      <c r="E94" s="47" t="s">
        <v>26</v>
      </c>
      <c r="F94" s="47" t="s">
        <v>24</v>
      </c>
      <c r="G94" s="46">
        <v>738325</v>
      </c>
      <c r="H94" s="15" t="s">
        <v>368</v>
      </c>
      <c r="I94" s="26" t="str">
        <f t="shared" si="10"/>
        <v>FRANCISCO</v>
      </c>
      <c r="J94" s="26" t="str">
        <f t="shared" si="11"/>
        <v>3Pinheiro - MA7</v>
      </c>
      <c r="K94" s="27" t="str">
        <f>IFERROR(VLOOKUP(J94,Substituicoes!J:J,1,0),"SS")</f>
        <v>SS</v>
      </c>
      <c r="L94" s="27" t="str">
        <f>IFERROR(VLOOKUP(J94,Substituicoes!K:K,1,0),"SS")</f>
        <v>3Pinheiro - MA7</v>
      </c>
      <c r="M94" s="28" t="b">
        <f t="shared" si="12"/>
        <v>0</v>
      </c>
      <c r="N94" s="29">
        <f>IF(AND(K94=L94,LEFT(E94,1)="T"),VLOOKUP(A94,'JOGOS BASE'!A:E,4,0),IF(K94=J94,VLOOKUP(J94,Substituicoes!J:R,6,0),IF(L94=J94,VLOOKUP(Escalacao!J94,Substituicoes!K:R,7,0),0)))</f>
        <v>50</v>
      </c>
      <c r="O94" s="28">
        <f>IF(AND(K94=L94,LEFT(E94,1)="T"),VLOOKUP(A94,'JOGOS BASE'!A:E,5,0),IF(K94=J94,VLOOKUP(J94,Substituicoes!J:R,7,0),IF(L94=J94,VLOOKUP(Escalacao!J94,Substituicoes!K:R,8,0),0)))</f>
        <v>32</v>
      </c>
      <c r="P94" s="28">
        <f t="shared" si="13"/>
        <v>82</v>
      </c>
      <c r="Q94" s="28" t="str">
        <f t="shared" si="14"/>
        <v>37Pinheiro - MA</v>
      </c>
      <c r="R94" s="28" t="str">
        <f>VLOOKUP(A94,'JOGOS BASE'!A:H,8)</f>
        <v>12.01.2025 - Pinheiro - MA x Viana - MA</v>
      </c>
    </row>
    <row r="95" spans="1:18" ht="20.399999999999999" hidden="1">
      <c r="A95" s="15">
        <v>3</v>
      </c>
      <c r="B95" s="46">
        <v>8</v>
      </c>
      <c r="C95" s="45" t="s">
        <v>314</v>
      </c>
      <c r="D95" s="45" t="s">
        <v>315</v>
      </c>
      <c r="E95" s="47" t="s">
        <v>26</v>
      </c>
      <c r="F95" s="47" t="s">
        <v>24</v>
      </c>
      <c r="G95" s="46">
        <v>552300</v>
      </c>
      <c r="H95" s="15" t="s">
        <v>368</v>
      </c>
      <c r="I95" s="26" t="str">
        <f t="shared" si="10"/>
        <v>Tulio</v>
      </c>
      <c r="J95" s="26" t="str">
        <f t="shared" si="11"/>
        <v>3Pinheiro - MA8</v>
      </c>
      <c r="K95" s="27" t="str">
        <f>IFERROR(VLOOKUP(J95,Substituicoes!J:J,1,0),"SS")</f>
        <v>SS</v>
      </c>
      <c r="L95" s="27" t="str">
        <f>IFERROR(VLOOKUP(J95,Substituicoes!K:K,1,0),"SS")</f>
        <v>SS</v>
      </c>
      <c r="M95" s="28" t="b">
        <f t="shared" si="12"/>
        <v>1</v>
      </c>
      <c r="N95" s="29">
        <f>IF(AND(K95=L95,LEFT(E95,1)="T"),VLOOKUP(A95,'JOGOS BASE'!A:E,4,0),IF(K95=J95,VLOOKUP(J95,Substituicoes!J:R,6,0),IF(L95=J95,VLOOKUP(Escalacao!J95,Substituicoes!K:R,7,0),0)))</f>
        <v>50</v>
      </c>
      <c r="O95" s="28">
        <f>IF(AND(K95=L95,LEFT(E95,1)="T"),VLOOKUP(A95,'JOGOS BASE'!A:E,5,0),IF(K95=J95,VLOOKUP(J95,Substituicoes!J:R,7,0),IF(L95=J95,VLOOKUP(Escalacao!J95,Substituicoes!K:R,8,0),0)))</f>
        <v>47</v>
      </c>
      <c r="P95" s="28">
        <f t="shared" si="13"/>
        <v>97</v>
      </c>
      <c r="Q95" s="28" t="str">
        <f t="shared" si="14"/>
        <v>38Pinheiro - MA</v>
      </c>
      <c r="R95" s="28" t="str">
        <f>VLOOKUP(A95,'JOGOS BASE'!A:H,8)</f>
        <v>12.01.2025 - Pinheiro - MA x Viana - MA</v>
      </c>
    </row>
    <row r="96" spans="1:18" ht="30.6" hidden="1">
      <c r="A96" s="15">
        <v>3</v>
      </c>
      <c r="B96" s="46">
        <v>9</v>
      </c>
      <c r="C96" s="45" t="s">
        <v>316</v>
      </c>
      <c r="D96" s="45" t="s">
        <v>317</v>
      </c>
      <c r="E96" s="47" t="s">
        <v>26</v>
      </c>
      <c r="F96" s="47" t="s">
        <v>24</v>
      </c>
      <c r="G96" s="46">
        <v>464141</v>
      </c>
      <c r="H96" s="15" t="s">
        <v>368</v>
      </c>
      <c r="I96" s="26" t="str">
        <f t="shared" si="10"/>
        <v>Cleber</v>
      </c>
      <c r="J96" s="26" t="str">
        <f t="shared" si="11"/>
        <v>3Pinheiro - MA9</v>
      </c>
      <c r="K96" s="27" t="str">
        <f>IFERROR(VLOOKUP(J96,Substituicoes!J:J,1,0),"SS")</f>
        <v>SS</v>
      </c>
      <c r="L96" s="27" t="str">
        <f>IFERROR(VLOOKUP(J96,Substituicoes!K:K,1,0),"SS")</f>
        <v>3Pinheiro - MA9</v>
      </c>
      <c r="M96" s="28" t="b">
        <f t="shared" si="12"/>
        <v>0</v>
      </c>
      <c r="N96" s="29">
        <f>IF(AND(K96=L96,LEFT(E96,1)="T"),VLOOKUP(A96,'JOGOS BASE'!A:E,4,0),IF(K96=J96,VLOOKUP(J96,Substituicoes!J:R,6,0),IF(L96=J96,VLOOKUP(Escalacao!J96,Substituicoes!K:R,7,0),0)))</f>
        <v>50</v>
      </c>
      <c r="O96" s="28">
        <f>IF(AND(K96=L96,LEFT(E96,1)="T"),VLOOKUP(A96,'JOGOS BASE'!A:E,5,0),IF(K96=J96,VLOOKUP(J96,Substituicoes!J:R,7,0),IF(L96=J96,VLOOKUP(Escalacao!J96,Substituicoes!K:R,8,0),0)))</f>
        <v>32</v>
      </c>
      <c r="P96" s="28">
        <f t="shared" si="13"/>
        <v>82</v>
      </c>
      <c r="Q96" s="28" t="str">
        <f t="shared" si="14"/>
        <v>39Pinheiro - MA</v>
      </c>
      <c r="R96" s="28" t="str">
        <f>VLOOKUP(A96,'JOGOS BASE'!A:H,8)</f>
        <v>12.01.2025 - Pinheiro - MA x Viana - MA</v>
      </c>
    </row>
    <row r="97" spans="1:18" ht="20.399999999999999" hidden="1">
      <c r="A97" s="15">
        <v>3</v>
      </c>
      <c r="B97" s="46">
        <v>10</v>
      </c>
      <c r="C97" s="45" t="s">
        <v>318</v>
      </c>
      <c r="D97" s="45" t="s">
        <v>319</v>
      </c>
      <c r="E97" s="47" t="s">
        <v>26</v>
      </c>
      <c r="F97" s="47" t="s">
        <v>24</v>
      </c>
      <c r="G97" s="46">
        <v>554277</v>
      </c>
      <c r="H97" s="15" t="s">
        <v>368</v>
      </c>
      <c r="I97" s="26" t="str">
        <f t="shared" si="10"/>
        <v>Neto</v>
      </c>
      <c r="J97" s="26" t="str">
        <f t="shared" si="11"/>
        <v>3Pinheiro - MA10</v>
      </c>
      <c r="K97" s="27" t="str">
        <f>IFERROR(VLOOKUP(J97,Substituicoes!J:J,1,0),"SS")</f>
        <v>SS</v>
      </c>
      <c r="L97" s="27" t="str">
        <f>IFERROR(VLOOKUP(J97,Substituicoes!K:K,1,0),"SS")</f>
        <v>SS</v>
      </c>
      <c r="M97" s="28" t="b">
        <f t="shared" si="12"/>
        <v>1</v>
      </c>
      <c r="N97" s="29">
        <f>IF(AND(K97=L97,LEFT(E97,1)="T"),VLOOKUP(A97,'JOGOS BASE'!A:E,4,0),IF(K97=J97,VLOOKUP(J97,Substituicoes!J:R,6,0),IF(L97=J97,VLOOKUP(Escalacao!J97,Substituicoes!K:R,7,0),0)))</f>
        <v>50</v>
      </c>
      <c r="O97" s="28">
        <f>IF(AND(K97=L97,LEFT(E97,1)="T"),VLOOKUP(A97,'JOGOS BASE'!A:E,5,0),IF(K97=J97,VLOOKUP(J97,Substituicoes!J:R,7,0),IF(L97=J97,VLOOKUP(Escalacao!J97,Substituicoes!K:R,8,0),0)))</f>
        <v>47</v>
      </c>
      <c r="P97" s="28">
        <f t="shared" si="13"/>
        <v>97</v>
      </c>
      <c r="Q97" s="28" t="str">
        <f t="shared" si="14"/>
        <v>310Pinheiro - MA</v>
      </c>
      <c r="R97" s="28" t="str">
        <f>VLOOKUP(A97,'JOGOS BASE'!A:H,8)</f>
        <v>12.01.2025 - Pinheiro - MA x Viana - MA</v>
      </c>
    </row>
    <row r="98" spans="1:18" ht="20.399999999999999" hidden="1">
      <c r="A98" s="15">
        <v>3</v>
      </c>
      <c r="B98" s="46">
        <v>11</v>
      </c>
      <c r="C98" s="45" t="s">
        <v>320</v>
      </c>
      <c r="D98" s="45" t="s">
        <v>321</v>
      </c>
      <c r="E98" s="47" t="s">
        <v>26</v>
      </c>
      <c r="F98" s="47" t="s">
        <v>24</v>
      </c>
      <c r="G98" s="46">
        <v>612866</v>
      </c>
      <c r="H98" s="15" t="s">
        <v>368</v>
      </c>
      <c r="I98" s="26" t="str">
        <f t="shared" si="10"/>
        <v>Joao Pedro</v>
      </c>
      <c r="J98" s="26" t="str">
        <f t="shared" si="11"/>
        <v>3Pinheiro - MA11</v>
      </c>
      <c r="K98" s="27" t="str">
        <f>IFERROR(VLOOKUP(J98,Substituicoes!J:J,1,0),"SS")</f>
        <v>SS</v>
      </c>
      <c r="L98" s="27" t="str">
        <f>IFERROR(VLOOKUP(J98,Substituicoes!K:K,1,0),"SS")</f>
        <v>3Pinheiro - MA11</v>
      </c>
      <c r="M98" s="28" t="b">
        <f t="shared" si="12"/>
        <v>0</v>
      </c>
      <c r="N98" s="29">
        <f>IF(AND(K98=L98,LEFT(E98,1)="T"),VLOOKUP(A98,'JOGOS BASE'!A:E,4,0),IF(K98=J98,VLOOKUP(J98,Substituicoes!J:R,6,0),IF(L98=J98,VLOOKUP(Escalacao!J98,Substituicoes!K:R,7,0),0)))</f>
        <v>50</v>
      </c>
      <c r="O98" s="28">
        <f>IF(AND(K98=L98,LEFT(E98,1)="T"),VLOOKUP(A98,'JOGOS BASE'!A:E,5,0),IF(K98=J98,VLOOKUP(J98,Substituicoes!J:R,7,0),IF(L98=J98,VLOOKUP(Escalacao!J98,Substituicoes!K:R,8,0),0)))</f>
        <v>25</v>
      </c>
      <c r="P98" s="28">
        <f t="shared" si="13"/>
        <v>75</v>
      </c>
      <c r="Q98" s="28" t="str">
        <f t="shared" si="14"/>
        <v>311Pinheiro - MA</v>
      </c>
      <c r="R98" s="28" t="str">
        <f>VLOOKUP(A98,'JOGOS BASE'!A:H,8)</f>
        <v>12.01.2025 - Pinheiro - MA x Viana - MA</v>
      </c>
    </row>
    <row r="99" spans="1:18" ht="20.399999999999999" hidden="1">
      <c r="A99" s="15">
        <v>3</v>
      </c>
      <c r="B99" s="46">
        <v>12</v>
      </c>
      <c r="C99" s="45" t="s">
        <v>322</v>
      </c>
      <c r="D99" s="45" t="s">
        <v>323</v>
      </c>
      <c r="E99" s="47" t="s">
        <v>40</v>
      </c>
      <c r="F99" s="47" t="s">
        <v>24</v>
      </c>
      <c r="G99" s="46">
        <v>637255</v>
      </c>
      <c r="H99" s="15" t="s">
        <v>368</v>
      </c>
      <c r="I99" s="26" t="str">
        <f t="shared" si="10"/>
        <v>LUAN</v>
      </c>
      <c r="J99" s="26" t="str">
        <f t="shared" si="11"/>
        <v>3Pinheiro - MA12</v>
      </c>
      <c r="K99" s="27" t="str">
        <f>IFERROR(VLOOKUP(J99,Substituicoes!J:J,1,0),"SS")</f>
        <v>SS</v>
      </c>
      <c r="L99" s="27" t="str">
        <f>IFERROR(VLOOKUP(J99,Substituicoes!K:K,1,0),"SS")</f>
        <v>SS</v>
      </c>
      <c r="M99" s="28" t="b">
        <f t="shared" si="12"/>
        <v>1</v>
      </c>
      <c r="N99" s="29">
        <f>IF(AND(K99=L99,LEFT(E99,1)="T"),VLOOKUP(A99,'JOGOS BASE'!A:E,4,0),IF(K99=J99,VLOOKUP(J99,Substituicoes!J:R,6,0),IF(L99=J99,VLOOKUP(Escalacao!J99,Substituicoes!K:R,7,0),0)))</f>
        <v>0</v>
      </c>
      <c r="O99" s="28">
        <f>IF(AND(K99=L99,LEFT(E99,1)="T"),VLOOKUP(A99,'JOGOS BASE'!A:E,5,0),IF(K99=J99,VLOOKUP(J99,Substituicoes!J:R,7,0),IF(L99=J99,VLOOKUP(Escalacao!J99,Substituicoes!K:R,8,0),0)))</f>
        <v>0</v>
      </c>
      <c r="P99" s="28">
        <f t="shared" si="13"/>
        <v>0</v>
      </c>
      <c r="Q99" s="28" t="str">
        <f t="shared" si="14"/>
        <v>312Pinheiro - MA</v>
      </c>
      <c r="R99" s="28" t="str">
        <f>VLOOKUP(A99,'JOGOS BASE'!A:H,8)</f>
        <v>12.01.2025 - Pinheiro - MA x Viana - MA</v>
      </c>
    </row>
    <row r="100" spans="1:18" ht="30.6" hidden="1">
      <c r="A100" s="15">
        <v>3</v>
      </c>
      <c r="B100" s="46">
        <v>13</v>
      </c>
      <c r="C100" s="45" t="s">
        <v>324</v>
      </c>
      <c r="D100" s="45" t="s">
        <v>325</v>
      </c>
      <c r="E100" s="47" t="s">
        <v>42</v>
      </c>
      <c r="F100" s="47" t="s">
        <v>24</v>
      </c>
      <c r="G100" s="46">
        <v>554265</v>
      </c>
      <c r="H100" s="15" t="s">
        <v>368</v>
      </c>
      <c r="I100" s="26" t="str">
        <f t="shared" si="10"/>
        <v>Aldomir</v>
      </c>
      <c r="J100" s="26" t="str">
        <f t="shared" si="11"/>
        <v>3Pinheiro - MA13</v>
      </c>
      <c r="K100" s="27" t="str">
        <f>IFERROR(VLOOKUP(J100,Substituicoes!J:J,1,0),"SS")</f>
        <v>3Pinheiro - MA13</v>
      </c>
      <c r="L100" s="27" t="str">
        <f>IFERROR(VLOOKUP(J100,Substituicoes!K:K,1,0),"SS")</f>
        <v>SS</v>
      </c>
      <c r="M100" s="28" t="b">
        <f t="shared" si="12"/>
        <v>0</v>
      </c>
      <c r="N100" s="29">
        <f>IF(AND(K100=L100,LEFT(E100,1)="T"),VLOOKUP(A100,'JOGOS BASE'!A:E,4,0),IF(K100=J100,VLOOKUP(J100,Substituicoes!J:R,6,0),IF(L100=J100,VLOOKUP(Escalacao!J100,Substituicoes!K:R,7,0),0)))</f>
        <v>0</v>
      </c>
      <c r="O100" s="28">
        <f>IF(AND(K100=L100,LEFT(E100,1)="T"),VLOOKUP(A100,'JOGOS BASE'!A:E,5,0),IF(K100=J100,VLOOKUP(J100,Substituicoes!J:R,7,0),IF(L100=J100,VLOOKUP(Escalacao!J100,Substituicoes!K:R,8,0),0)))</f>
        <v>15</v>
      </c>
      <c r="P100" s="28">
        <f t="shared" si="13"/>
        <v>15</v>
      </c>
      <c r="Q100" s="28" t="str">
        <f t="shared" si="14"/>
        <v>313Pinheiro - MA</v>
      </c>
      <c r="R100" s="28" t="str">
        <f>VLOOKUP(A100,'JOGOS BASE'!A:H,8)</f>
        <v>12.01.2025 - Pinheiro - MA x Viana - MA</v>
      </c>
    </row>
    <row r="101" spans="1:18" ht="20.399999999999999" hidden="1">
      <c r="A101" s="15">
        <v>3</v>
      </c>
      <c r="B101" s="46">
        <v>14</v>
      </c>
      <c r="C101" s="45" t="s">
        <v>326</v>
      </c>
      <c r="D101" s="45" t="s">
        <v>327</v>
      </c>
      <c r="E101" s="47" t="s">
        <v>42</v>
      </c>
      <c r="F101" s="47" t="s">
        <v>56</v>
      </c>
      <c r="G101" s="46">
        <v>804398</v>
      </c>
      <c r="H101" s="15" t="s">
        <v>368</v>
      </c>
      <c r="I101" s="26" t="str">
        <f t="shared" si="10"/>
        <v>Igor Mineiro</v>
      </c>
      <c r="J101" s="26" t="str">
        <f t="shared" si="11"/>
        <v>3Pinheiro - MA14</v>
      </c>
      <c r="K101" s="27" t="str">
        <f>IFERROR(VLOOKUP(J101,Substituicoes!J:J,1,0),"SS")</f>
        <v>3Pinheiro - MA14</v>
      </c>
      <c r="L101" s="27" t="str">
        <f>IFERROR(VLOOKUP(J101,Substituicoes!K:K,1,0),"SS")</f>
        <v>SS</v>
      </c>
      <c r="M101" s="28" t="b">
        <f t="shared" si="12"/>
        <v>0</v>
      </c>
      <c r="N101" s="29">
        <f>IF(AND(K101=L101,LEFT(E101,1)="T"),VLOOKUP(A101,'JOGOS BASE'!A:E,4,0),IF(K101=J101,VLOOKUP(J101,Substituicoes!J:R,6,0),IF(L101=J101,VLOOKUP(Escalacao!J101,Substituicoes!K:R,7,0),0)))</f>
        <v>8</v>
      </c>
      <c r="O101" s="28">
        <f>IF(AND(K101=L101,LEFT(E101,1)="T"),VLOOKUP(A101,'JOGOS BASE'!A:E,5,0),IF(K101=J101,VLOOKUP(J101,Substituicoes!J:R,7,0),IF(L101=J101,VLOOKUP(Escalacao!J101,Substituicoes!K:R,8,0),0)))</f>
        <v>47</v>
      </c>
      <c r="P101" s="28">
        <f t="shared" si="13"/>
        <v>55</v>
      </c>
      <c r="Q101" s="28" t="str">
        <f t="shared" si="14"/>
        <v>314Pinheiro - MA</v>
      </c>
      <c r="R101" s="28" t="str">
        <f>VLOOKUP(A101,'JOGOS BASE'!A:H,8)</f>
        <v>12.01.2025 - Pinheiro - MA x Viana - MA</v>
      </c>
    </row>
    <row r="102" spans="1:18" ht="30.6" hidden="1">
      <c r="A102" s="15">
        <v>3</v>
      </c>
      <c r="B102" s="46">
        <v>15</v>
      </c>
      <c r="C102" s="45" t="s">
        <v>328</v>
      </c>
      <c r="D102" s="45" t="s">
        <v>329</v>
      </c>
      <c r="E102" s="47" t="s">
        <v>42</v>
      </c>
      <c r="F102" s="47" t="s">
        <v>56</v>
      </c>
      <c r="G102" s="46">
        <v>779893</v>
      </c>
      <c r="H102" s="15" t="s">
        <v>368</v>
      </c>
      <c r="I102" s="26" t="str">
        <f t="shared" si="10"/>
        <v>George</v>
      </c>
      <c r="J102" s="26" t="str">
        <f t="shared" si="11"/>
        <v>3Pinheiro - MA15</v>
      </c>
      <c r="K102" s="27" t="str">
        <f>IFERROR(VLOOKUP(J102,Substituicoes!J:J,1,0),"SS")</f>
        <v>3Pinheiro - MA15</v>
      </c>
      <c r="L102" s="27" t="str">
        <f>IFERROR(VLOOKUP(J102,Substituicoes!K:K,1,0),"SS")</f>
        <v>SS</v>
      </c>
      <c r="M102" s="28" t="b">
        <f t="shared" si="12"/>
        <v>0</v>
      </c>
      <c r="N102" s="29">
        <f>IF(AND(K102=L102,LEFT(E102,1)="T"),VLOOKUP(A102,'JOGOS BASE'!A:E,4,0),IF(K102=J102,VLOOKUP(J102,Substituicoes!J:R,6,0),IF(L102=J102,VLOOKUP(Escalacao!J102,Substituicoes!K:R,7,0),0)))</f>
        <v>0</v>
      </c>
      <c r="O102" s="28">
        <f>IF(AND(K102=L102,LEFT(E102,1)="T"),VLOOKUP(A102,'JOGOS BASE'!A:E,5,0),IF(K102=J102,VLOOKUP(J102,Substituicoes!J:R,7,0),IF(L102=J102,VLOOKUP(Escalacao!J102,Substituicoes!K:R,8,0),0)))</f>
        <v>15</v>
      </c>
      <c r="P102" s="28">
        <f t="shared" si="13"/>
        <v>15</v>
      </c>
      <c r="Q102" s="28" t="str">
        <f t="shared" si="14"/>
        <v>315Pinheiro - MA</v>
      </c>
      <c r="R102" s="28" t="str">
        <f>VLOOKUP(A102,'JOGOS BASE'!A:H,8)</f>
        <v>12.01.2025 - Pinheiro - MA x Viana - MA</v>
      </c>
    </row>
    <row r="103" spans="1:18" ht="20.399999999999999" hidden="1">
      <c r="A103" s="15">
        <v>3</v>
      </c>
      <c r="B103" s="46">
        <v>16</v>
      </c>
      <c r="C103" s="45" t="s">
        <v>214</v>
      </c>
      <c r="D103" s="45" t="s">
        <v>330</v>
      </c>
      <c r="E103" s="47" t="s">
        <v>42</v>
      </c>
      <c r="F103" s="47" t="s">
        <v>24</v>
      </c>
      <c r="G103" s="46">
        <v>559235</v>
      </c>
      <c r="H103" s="15" t="s">
        <v>368</v>
      </c>
      <c r="I103" s="26" t="str">
        <f t="shared" si="10"/>
        <v>Jean</v>
      </c>
      <c r="J103" s="26" t="str">
        <f t="shared" si="11"/>
        <v>3Pinheiro - MA16</v>
      </c>
      <c r="K103" s="27" t="str">
        <f>IFERROR(VLOOKUP(J103,Substituicoes!J:J,1,0),"SS")</f>
        <v>SS</v>
      </c>
      <c r="L103" s="27" t="str">
        <f>IFERROR(VLOOKUP(J103,Substituicoes!K:K,1,0),"SS")</f>
        <v>SS</v>
      </c>
      <c r="M103" s="28" t="b">
        <f t="shared" si="12"/>
        <v>1</v>
      </c>
      <c r="N103" s="29">
        <f>IF(AND(K103=L103,LEFT(E103,1)="T"),VLOOKUP(A103,'JOGOS BASE'!A:E,4,0),IF(K103=J103,VLOOKUP(J103,Substituicoes!J:R,6,0),IF(L103=J103,VLOOKUP(Escalacao!J103,Substituicoes!K:R,7,0),0)))</f>
        <v>0</v>
      </c>
      <c r="O103" s="28">
        <f>IF(AND(K103=L103,LEFT(E103,1)="T"),VLOOKUP(A103,'JOGOS BASE'!A:E,5,0),IF(K103=J103,VLOOKUP(J103,Substituicoes!J:R,7,0),IF(L103=J103,VLOOKUP(Escalacao!J103,Substituicoes!K:R,8,0),0)))</f>
        <v>0</v>
      </c>
      <c r="P103" s="28">
        <f t="shared" si="13"/>
        <v>0</v>
      </c>
      <c r="Q103" s="28" t="str">
        <f t="shared" si="14"/>
        <v>316Pinheiro - MA</v>
      </c>
      <c r="R103" s="28" t="str">
        <f>VLOOKUP(A103,'JOGOS BASE'!A:H,8)</f>
        <v>12.01.2025 - Pinheiro - MA x Viana - MA</v>
      </c>
    </row>
    <row r="104" spans="1:18" ht="30.6" hidden="1">
      <c r="A104" s="15">
        <v>3</v>
      </c>
      <c r="B104" s="46">
        <v>17</v>
      </c>
      <c r="C104" s="45" t="s">
        <v>331</v>
      </c>
      <c r="D104" s="45" t="s">
        <v>332</v>
      </c>
      <c r="E104" s="47" t="s">
        <v>42</v>
      </c>
      <c r="F104" s="47" t="s">
        <v>24</v>
      </c>
      <c r="G104" s="46">
        <v>816868</v>
      </c>
      <c r="H104" s="15" t="s">
        <v>368</v>
      </c>
      <c r="I104" s="26" t="str">
        <f t="shared" si="10"/>
        <v>KAYKY</v>
      </c>
      <c r="J104" s="26" t="str">
        <f t="shared" si="11"/>
        <v>3Pinheiro - MA17</v>
      </c>
      <c r="K104" s="27" t="str">
        <f>IFERROR(VLOOKUP(J104,Substituicoes!J:J,1,0),"SS")</f>
        <v>3Pinheiro - MA17</v>
      </c>
      <c r="L104" s="27" t="str">
        <f>IFERROR(VLOOKUP(J104,Substituicoes!K:K,1,0),"SS")</f>
        <v>SS</v>
      </c>
      <c r="M104" s="28" t="b">
        <f t="shared" si="12"/>
        <v>0</v>
      </c>
      <c r="N104" s="29">
        <f>IF(AND(K104=L104,LEFT(E104,1)="T"),VLOOKUP(A104,'JOGOS BASE'!A:E,4,0),IF(K104=J104,VLOOKUP(J104,Substituicoes!J:R,6,0),IF(L104=J104,VLOOKUP(Escalacao!J104,Substituicoes!K:R,7,0),0)))</f>
        <v>0</v>
      </c>
      <c r="O104" s="28">
        <f>IF(AND(K104=L104,LEFT(E104,1)="T"),VLOOKUP(A104,'JOGOS BASE'!A:E,5,0),IF(K104=J104,VLOOKUP(J104,Substituicoes!J:R,7,0),IF(L104=J104,VLOOKUP(Escalacao!J104,Substituicoes!K:R,8,0),0)))</f>
        <v>15</v>
      </c>
      <c r="P104" s="28">
        <f t="shared" si="13"/>
        <v>15</v>
      </c>
      <c r="Q104" s="28" t="str">
        <f t="shared" si="14"/>
        <v>317Pinheiro - MA</v>
      </c>
      <c r="R104" s="28" t="str">
        <f>VLOOKUP(A104,'JOGOS BASE'!A:H,8)</f>
        <v>12.01.2025 - Pinheiro - MA x Viana - MA</v>
      </c>
    </row>
    <row r="105" spans="1:18" ht="30.6" hidden="1">
      <c r="A105" s="15">
        <v>3</v>
      </c>
      <c r="B105" s="46">
        <v>18</v>
      </c>
      <c r="C105" s="45" t="s">
        <v>333</v>
      </c>
      <c r="D105" s="45" t="s">
        <v>334</v>
      </c>
      <c r="E105" s="47" t="s">
        <v>42</v>
      </c>
      <c r="F105" s="47" t="s">
        <v>24</v>
      </c>
      <c r="G105" s="46">
        <v>710709</v>
      </c>
      <c r="H105" s="15" t="s">
        <v>368</v>
      </c>
      <c r="I105" s="26" t="str">
        <f t="shared" si="10"/>
        <v>BASTICO</v>
      </c>
      <c r="J105" s="26" t="str">
        <f t="shared" si="11"/>
        <v>3Pinheiro - MA18</v>
      </c>
      <c r="K105" s="27" t="str">
        <f>IFERROR(VLOOKUP(J105,Substituicoes!J:J,1,0),"SS")</f>
        <v>3Pinheiro - MA18</v>
      </c>
      <c r="L105" s="27" t="str">
        <f>IFERROR(VLOOKUP(J105,Substituicoes!K:K,1,0),"SS")</f>
        <v>SS</v>
      </c>
      <c r="M105" s="28" t="b">
        <f t="shared" si="12"/>
        <v>0</v>
      </c>
      <c r="N105" s="29">
        <f>IF(AND(K105=L105,LEFT(E105,1)="T"),VLOOKUP(A105,'JOGOS BASE'!A:E,4,0),IF(K105=J105,VLOOKUP(J105,Substituicoes!J:R,6,0),IF(L105=J105,VLOOKUP(Escalacao!J105,Substituicoes!K:R,7,0),0)))</f>
        <v>0</v>
      </c>
      <c r="O105" s="28">
        <f>IF(AND(K105=L105,LEFT(E105,1)="T"),VLOOKUP(A105,'JOGOS BASE'!A:E,5,0),IF(K105=J105,VLOOKUP(J105,Substituicoes!J:R,7,0),IF(L105=J105,VLOOKUP(Escalacao!J105,Substituicoes!K:R,8,0),0)))</f>
        <v>22</v>
      </c>
      <c r="P105" s="28">
        <f t="shared" si="13"/>
        <v>22</v>
      </c>
      <c r="Q105" s="28" t="str">
        <f t="shared" si="14"/>
        <v>318Pinheiro - MA</v>
      </c>
      <c r="R105" s="28" t="str">
        <f>VLOOKUP(A105,'JOGOS BASE'!A:H,8)</f>
        <v>12.01.2025 - Pinheiro - MA x Viana - MA</v>
      </c>
    </row>
    <row r="106" spans="1:18" ht="30.6">
      <c r="A106" s="15">
        <v>3</v>
      </c>
      <c r="B106" s="46">
        <v>1</v>
      </c>
      <c r="C106" s="45" t="s">
        <v>335</v>
      </c>
      <c r="D106" s="45" t="s">
        <v>336</v>
      </c>
      <c r="E106" s="47" t="s">
        <v>23</v>
      </c>
      <c r="F106" s="47" t="s">
        <v>24</v>
      </c>
      <c r="G106" s="46">
        <v>178014</v>
      </c>
      <c r="H106" s="15" t="s">
        <v>381</v>
      </c>
      <c r="I106" s="26" t="str">
        <f t="shared" si="10"/>
        <v>Saulo</v>
      </c>
      <c r="J106" s="26" t="str">
        <f t="shared" si="11"/>
        <v>3Viana - MA1</v>
      </c>
      <c r="K106" s="27" t="str">
        <f>IFERROR(VLOOKUP(J106,Substituicoes!J:J,1,0),"SS")</f>
        <v>SS</v>
      </c>
      <c r="L106" s="27" t="str">
        <f>IFERROR(VLOOKUP(J106,Substituicoes!K:K,1,0),"SS")</f>
        <v>SS</v>
      </c>
      <c r="M106" s="28" t="b">
        <f t="shared" si="12"/>
        <v>1</v>
      </c>
      <c r="N106" s="29">
        <f>IF(AND(K106=L106,LEFT(E106,1)="T"),VLOOKUP(A106,'JOGOS BASE'!A:E,4,0),IF(K106=J106,VLOOKUP(J106,Substituicoes!J:R,6,0),IF(L106=J106,VLOOKUP(Escalacao!J106,Substituicoes!K:R,7,0),0)))</f>
        <v>50</v>
      </c>
      <c r="O106" s="28">
        <f>IF(AND(K106=L106,LEFT(E106,1)="T"),VLOOKUP(A106,'JOGOS BASE'!A:E,5,0),IF(K106=J106,VLOOKUP(J106,Substituicoes!J:R,7,0),IF(L106=J106,VLOOKUP(Escalacao!J106,Substituicoes!K:R,8,0),0)))</f>
        <v>47</v>
      </c>
      <c r="P106" s="28">
        <f t="shared" si="13"/>
        <v>97</v>
      </c>
      <c r="Q106" s="28" t="str">
        <f t="shared" si="14"/>
        <v>31Viana - MA</v>
      </c>
      <c r="R106" s="28" t="str">
        <f>VLOOKUP(A106,'JOGOS BASE'!A:H,8)</f>
        <v>12.01.2025 - Pinheiro - MA x Viana - MA</v>
      </c>
    </row>
    <row r="107" spans="1:18" ht="30.6">
      <c r="A107" s="15">
        <v>3</v>
      </c>
      <c r="B107" s="46">
        <v>2</v>
      </c>
      <c r="C107" s="45" t="s">
        <v>337</v>
      </c>
      <c r="D107" s="45" t="s">
        <v>338</v>
      </c>
      <c r="E107" s="47" t="s">
        <v>26</v>
      </c>
      <c r="F107" s="47" t="s">
        <v>24</v>
      </c>
      <c r="G107" s="46">
        <v>754354</v>
      </c>
      <c r="H107" s="15" t="s">
        <v>381</v>
      </c>
      <c r="I107" s="26" t="str">
        <f t="shared" si="10"/>
        <v>ARTHUR CAR</v>
      </c>
      <c r="J107" s="26" t="str">
        <f t="shared" si="11"/>
        <v>3Viana - MA2</v>
      </c>
      <c r="K107" s="27" t="str">
        <f>IFERROR(VLOOKUP(J107,Substituicoes!J:J,1,0),"SS")</f>
        <v>SS</v>
      </c>
      <c r="L107" s="27" t="str">
        <f>IFERROR(VLOOKUP(J107,Substituicoes!K:K,1,0),"SS")</f>
        <v>SS</v>
      </c>
      <c r="M107" s="28" t="b">
        <f t="shared" si="12"/>
        <v>1</v>
      </c>
      <c r="N107" s="29">
        <f>IF(AND(K107=L107,LEFT(E107,1)="T"),VLOOKUP(A107,'JOGOS BASE'!A:E,4,0),IF(K107=J107,VLOOKUP(J107,Substituicoes!J:R,6,0),IF(L107=J107,VLOOKUP(Escalacao!J107,Substituicoes!K:R,7,0),0)))</f>
        <v>50</v>
      </c>
      <c r="O107" s="28">
        <f>IF(AND(K107=L107,LEFT(E107,1)="T"),VLOOKUP(A107,'JOGOS BASE'!A:E,5,0),IF(K107=J107,VLOOKUP(J107,Substituicoes!J:R,7,0),IF(L107=J107,VLOOKUP(Escalacao!J107,Substituicoes!K:R,8,0),0)))</f>
        <v>47</v>
      </c>
      <c r="P107" s="28">
        <f t="shared" si="13"/>
        <v>97</v>
      </c>
      <c r="Q107" s="28" t="str">
        <f t="shared" si="14"/>
        <v>32Viana - MA</v>
      </c>
      <c r="R107" s="28" t="str">
        <f>VLOOKUP(A107,'JOGOS BASE'!A:H,8)</f>
        <v>12.01.2025 - Pinheiro - MA x Viana - MA</v>
      </c>
    </row>
    <row r="108" spans="1:18" ht="30.6">
      <c r="A108" s="15">
        <v>3</v>
      </c>
      <c r="B108" s="46">
        <v>3</v>
      </c>
      <c r="C108" s="45" t="s">
        <v>339</v>
      </c>
      <c r="D108" s="45" t="s">
        <v>340</v>
      </c>
      <c r="E108" s="47" t="s">
        <v>26</v>
      </c>
      <c r="F108" s="47" t="s">
        <v>24</v>
      </c>
      <c r="G108" s="46">
        <v>396008</v>
      </c>
      <c r="H108" s="15" t="s">
        <v>381</v>
      </c>
      <c r="I108" s="26" t="str">
        <f t="shared" si="10"/>
        <v>Brener Bessa</v>
      </c>
      <c r="J108" s="26" t="str">
        <f t="shared" si="11"/>
        <v>3Viana - MA3</v>
      </c>
      <c r="K108" s="27" t="str">
        <f>IFERROR(VLOOKUP(J108,Substituicoes!J:J,1,0),"SS")</f>
        <v>SS</v>
      </c>
      <c r="L108" s="27" t="str">
        <f>IFERROR(VLOOKUP(J108,Substituicoes!K:K,1,0),"SS")</f>
        <v>SS</v>
      </c>
      <c r="M108" s="28" t="b">
        <f t="shared" si="12"/>
        <v>1</v>
      </c>
      <c r="N108" s="29">
        <f>IF(AND(K108=L108,LEFT(E108,1)="T"),VLOOKUP(A108,'JOGOS BASE'!A:E,4,0),IF(K108=J108,VLOOKUP(J108,Substituicoes!J:R,6,0),IF(L108=J108,VLOOKUP(Escalacao!J108,Substituicoes!K:R,7,0),0)))</f>
        <v>50</v>
      </c>
      <c r="O108" s="28">
        <f>IF(AND(K108=L108,LEFT(E108,1)="T"),VLOOKUP(A108,'JOGOS BASE'!A:E,5,0),IF(K108=J108,VLOOKUP(J108,Substituicoes!J:R,7,0),IF(L108=J108,VLOOKUP(Escalacao!J108,Substituicoes!K:R,8,0),0)))</f>
        <v>47</v>
      </c>
      <c r="P108" s="28">
        <f t="shared" si="13"/>
        <v>97</v>
      </c>
      <c r="Q108" s="28" t="str">
        <f t="shared" si="14"/>
        <v>33Viana - MA</v>
      </c>
      <c r="R108" s="28" t="str">
        <f>VLOOKUP(A108,'JOGOS BASE'!A:H,8)</f>
        <v>12.01.2025 - Pinheiro - MA x Viana - MA</v>
      </c>
    </row>
    <row r="109" spans="1:18" ht="30.6">
      <c r="A109" s="15">
        <v>3</v>
      </c>
      <c r="B109" s="46">
        <v>4</v>
      </c>
      <c r="C109" s="45" t="s">
        <v>341</v>
      </c>
      <c r="D109" s="45" t="s">
        <v>342</v>
      </c>
      <c r="E109" s="47" t="s">
        <v>26</v>
      </c>
      <c r="F109" s="47" t="s">
        <v>24</v>
      </c>
      <c r="G109" s="46">
        <v>622807</v>
      </c>
      <c r="H109" s="15" t="s">
        <v>381</v>
      </c>
      <c r="I109" s="26" t="str">
        <f t="shared" si="10"/>
        <v>LUIZ HENRIQ</v>
      </c>
      <c r="J109" s="26" t="str">
        <f t="shared" si="11"/>
        <v>3Viana - MA4</v>
      </c>
      <c r="K109" s="27" t="str">
        <f>IFERROR(VLOOKUP(J109,Substituicoes!J:J,1,0),"SS")</f>
        <v>SS</v>
      </c>
      <c r="L109" s="27" t="str">
        <f>IFERROR(VLOOKUP(J109,Substituicoes!K:K,1,0),"SS")</f>
        <v>SS</v>
      </c>
      <c r="M109" s="28" t="b">
        <f t="shared" si="12"/>
        <v>1</v>
      </c>
      <c r="N109" s="29">
        <f>IF(AND(K109=L109,LEFT(E109,1)="T"),VLOOKUP(A109,'JOGOS BASE'!A:E,4,0),IF(K109=J109,VLOOKUP(J109,Substituicoes!J:R,6,0),IF(L109=J109,VLOOKUP(Escalacao!J109,Substituicoes!K:R,7,0),0)))</f>
        <v>50</v>
      </c>
      <c r="O109" s="28">
        <f>IF(AND(K109=L109,LEFT(E109,1)="T"),VLOOKUP(A109,'JOGOS BASE'!A:E,5,0),IF(K109=J109,VLOOKUP(J109,Substituicoes!J:R,7,0),IF(L109=J109,VLOOKUP(Escalacao!J109,Substituicoes!K:R,8,0),0)))</f>
        <v>47</v>
      </c>
      <c r="P109" s="28">
        <f t="shared" si="13"/>
        <v>97</v>
      </c>
      <c r="Q109" s="28" t="str">
        <f t="shared" si="14"/>
        <v>34Viana - MA</v>
      </c>
      <c r="R109" s="28" t="str">
        <f>VLOOKUP(A109,'JOGOS BASE'!A:H,8)</f>
        <v>12.01.2025 - Pinheiro - MA x Viana - MA</v>
      </c>
    </row>
    <row r="110" spans="1:18" ht="30.6">
      <c r="A110" s="15">
        <v>3</v>
      </c>
      <c r="B110" s="46">
        <v>5</v>
      </c>
      <c r="C110" s="45" t="s">
        <v>343</v>
      </c>
      <c r="D110" s="45" t="s">
        <v>344</v>
      </c>
      <c r="E110" s="47" t="s">
        <v>26</v>
      </c>
      <c r="F110" s="47" t="s">
        <v>24</v>
      </c>
      <c r="G110" s="46">
        <v>799878</v>
      </c>
      <c r="H110" s="15" t="s">
        <v>381</v>
      </c>
      <c r="I110" s="26" t="str">
        <f t="shared" si="10"/>
        <v>RIQUELME</v>
      </c>
      <c r="J110" s="26" t="str">
        <f t="shared" si="11"/>
        <v>3Viana - MA5</v>
      </c>
      <c r="K110" s="27" t="str">
        <f>IFERROR(VLOOKUP(J110,Substituicoes!J:J,1,0),"SS")</f>
        <v>SS</v>
      </c>
      <c r="L110" s="27" t="str">
        <f>IFERROR(VLOOKUP(J110,Substituicoes!K:K,1,0),"SS")</f>
        <v>SS</v>
      </c>
      <c r="M110" s="28" t="b">
        <f t="shared" si="12"/>
        <v>1</v>
      </c>
      <c r="N110" s="29">
        <f>IF(AND(K110=L110,LEFT(E110,1)="T"),VLOOKUP(A110,'JOGOS BASE'!A:E,4,0),IF(K110=J110,VLOOKUP(J110,Substituicoes!J:R,6,0),IF(L110=J110,VLOOKUP(Escalacao!J110,Substituicoes!K:R,7,0),0)))</f>
        <v>50</v>
      </c>
      <c r="O110" s="28">
        <f>IF(AND(K110=L110,LEFT(E110,1)="T"),VLOOKUP(A110,'JOGOS BASE'!A:E,5,0),IF(K110=J110,VLOOKUP(J110,Substituicoes!J:R,7,0),IF(L110=J110,VLOOKUP(Escalacao!J110,Substituicoes!K:R,8,0),0)))</f>
        <v>47</v>
      </c>
      <c r="P110" s="28">
        <f t="shared" si="13"/>
        <v>97</v>
      </c>
      <c r="Q110" s="28" t="str">
        <f t="shared" si="14"/>
        <v>35Viana - MA</v>
      </c>
      <c r="R110" s="28" t="str">
        <f>VLOOKUP(A110,'JOGOS BASE'!A:H,8)</f>
        <v>12.01.2025 - Pinheiro - MA x Viana - MA</v>
      </c>
    </row>
    <row r="111" spans="1:18" ht="30.6">
      <c r="A111" s="15">
        <v>3</v>
      </c>
      <c r="B111" s="46">
        <v>6</v>
      </c>
      <c r="C111" s="45" t="s">
        <v>345</v>
      </c>
      <c r="D111" s="45" t="s">
        <v>346</v>
      </c>
      <c r="E111" s="47" t="s">
        <v>26</v>
      </c>
      <c r="F111" s="47" t="s">
        <v>24</v>
      </c>
      <c r="G111" s="46">
        <v>621098</v>
      </c>
      <c r="H111" s="15" t="s">
        <v>381</v>
      </c>
      <c r="I111" s="26" t="str">
        <f t="shared" si="10"/>
        <v>Leleu</v>
      </c>
      <c r="J111" s="26" t="str">
        <f t="shared" si="11"/>
        <v>3Viana - MA6</v>
      </c>
      <c r="K111" s="27" t="str">
        <f>IFERROR(VLOOKUP(J111,Substituicoes!J:J,1,0),"SS")</f>
        <v>SS</v>
      </c>
      <c r="L111" s="27" t="str">
        <f>IFERROR(VLOOKUP(J111,Substituicoes!K:K,1,0),"SS")</f>
        <v>SS</v>
      </c>
      <c r="M111" s="28" t="b">
        <f t="shared" si="12"/>
        <v>1</v>
      </c>
      <c r="N111" s="29">
        <f>IF(AND(K111=L111,LEFT(E111,1)="T"),VLOOKUP(A111,'JOGOS BASE'!A:E,4,0),IF(K111=J111,VLOOKUP(J111,Substituicoes!J:R,6,0),IF(L111=J111,VLOOKUP(Escalacao!J111,Substituicoes!K:R,7,0),0)))</f>
        <v>50</v>
      </c>
      <c r="O111" s="28">
        <f>IF(AND(K111=L111,LEFT(E111,1)="T"),VLOOKUP(A111,'JOGOS BASE'!A:E,5,0),IF(K111=J111,VLOOKUP(J111,Substituicoes!J:R,7,0),IF(L111=J111,VLOOKUP(Escalacao!J111,Substituicoes!K:R,8,0),0)))</f>
        <v>47</v>
      </c>
      <c r="P111" s="28">
        <f t="shared" si="13"/>
        <v>97</v>
      </c>
      <c r="Q111" s="28" t="str">
        <f t="shared" si="14"/>
        <v>36Viana - MA</v>
      </c>
      <c r="R111" s="28" t="str">
        <f>VLOOKUP(A111,'JOGOS BASE'!A:H,8)</f>
        <v>12.01.2025 - Pinheiro - MA x Viana - MA</v>
      </c>
    </row>
    <row r="112" spans="1:18" ht="30.6">
      <c r="A112" s="15">
        <v>3</v>
      </c>
      <c r="B112" s="46">
        <v>7</v>
      </c>
      <c r="C112" s="45" t="s">
        <v>92</v>
      </c>
      <c r="D112" s="45" t="s">
        <v>347</v>
      </c>
      <c r="E112" s="47" t="s">
        <v>26</v>
      </c>
      <c r="F112" s="47" t="s">
        <v>24</v>
      </c>
      <c r="G112" s="46">
        <v>611781</v>
      </c>
      <c r="H112" s="15" t="s">
        <v>381</v>
      </c>
      <c r="I112" s="26" t="str">
        <f t="shared" si="10"/>
        <v>Thiago</v>
      </c>
      <c r="J112" s="26" t="str">
        <f t="shared" si="11"/>
        <v>3Viana - MA7</v>
      </c>
      <c r="K112" s="27" t="str">
        <f>IFERROR(VLOOKUP(J112,Substituicoes!J:J,1,0),"SS")</f>
        <v>SS</v>
      </c>
      <c r="L112" s="27" t="str">
        <f>IFERROR(VLOOKUP(J112,Substituicoes!K:K,1,0),"SS")</f>
        <v>SS</v>
      </c>
      <c r="M112" s="28" t="b">
        <f t="shared" si="12"/>
        <v>1</v>
      </c>
      <c r="N112" s="29">
        <f>IF(AND(K112=L112,LEFT(E112,1)="T"),VLOOKUP(A112,'JOGOS BASE'!A:E,4,0),IF(K112=J112,VLOOKUP(J112,Substituicoes!J:R,6,0),IF(L112=J112,VLOOKUP(Escalacao!J112,Substituicoes!K:R,7,0),0)))</f>
        <v>50</v>
      </c>
      <c r="O112" s="28">
        <f>IF(AND(K112=L112,LEFT(E112,1)="T"),VLOOKUP(A112,'JOGOS BASE'!A:E,5,0),IF(K112=J112,VLOOKUP(J112,Substituicoes!J:R,7,0),IF(L112=J112,VLOOKUP(Escalacao!J112,Substituicoes!K:R,8,0),0)))</f>
        <v>47</v>
      </c>
      <c r="P112" s="28">
        <f t="shared" si="13"/>
        <v>97</v>
      </c>
      <c r="Q112" s="28" t="str">
        <f t="shared" si="14"/>
        <v>37Viana - MA</v>
      </c>
      <c r="R112" s="28" t="str">
        <f>VLOOKUP(A112,'JOGOS BASE'!A:H,8)</f>
        <v>12.01.2025 - Pinheiro - MA x Viana - MA</v>
      </c>
    </row>
    <row r="113" spans="1:18" ht="20.399999999999999">
      <c r="A113" s="15">
        <v>3</v>
      </c>
      <c r="B113" s="46">
        <v>8</v>
      </c>
      <c r="C113" s="45" t="s">
        <v>348</v>
      </c>
      <c r="D113" s="45" t="s">
        <v>349</v>
      </c>
      <c r="E113" s="47" t="s">
        <v>26</v>
      </c>
      <c r="F113" s="47" t="s">
        <v>24</v>
      </c>
      <c r="G113" s="46">
        <v>317521</v>
      </c>
      <c r="H113" s="15" t="s">
        <v>381</v>
      </c>
      <c r="I113" s="26" t="str">
        <f t="shared" si="10"/>
        <v>Julio</v>
      </c>
      <c r="J113" s="26" t="str">
        <f t="shared" si="11"/>
        <v>3Viana - MA8</v>
      </c>
      <c r="K113" s="27" t="str">
        <f>IFERROR(VLOOKUP(J113,Substituicoes!J:J,1,0),"SS")</f>
        <v>SS</v>
      </c>
      <c r="L113" s="27" t="str">
        <f>IFERROR(VLOOKUP(J113,Substituicoes!K:K,1,0),"SS")</f>
        <v>3Viana - MA8</v>
      </c>
      <c r="M113" s="28" t="b">
        <f t="shared" si="12"/>
        <v>0</v>
      </c>
      <c r="N113" s="29">
        <f>IF(AND(K113=L113,LEFT(E113,1)="T"),VLOOKUP(A113,'JOGOS BASE'!A:E,4,0),IF(K113=J113,VLOOKUP(J113,Substituicoes!J:R,6,0),IF(L113=J113,VLOOKUP(Escalacao!J113,Substituicoes!K:R,7,0),0)))</f>
        <v>50</v>
      </c>
      <c r="O113" s="28">
        <f>IF(AND(K113=L113,LEFT(E113,1)="T"),VLOOKUP(A113,'JOGOS BASE'!A:E,5,0),IF(K113=J113,VLOOKUP(J113,Substituicoes!J:R,7,0),IF(L113=J113,VLOOKUP(Escalacao!J113,Substituicoes!K:R,8,0),0)))</f>
        <v>32</v>
      </c>
      <c r="P113" s="28">
        <f t="shared" si="13"/>
        <v>82</v>
      </c>
      <c r="Q113" s="28" t="str">
        <f t="shared" si="14"/>
        <v>38Viana - MA</v>
      </c>
      <c r="R113" s="28" t="str">
        <f>VLOOKUP(A113,'JOGOS BASE'!A:H,8)</f>
        <v>12.01.2025 - Pinheiro - MA x Viana - MA</v>
      </c>
    </row>
    <row r="114" spans="1:18" ht="30.6">
      <c r="A114" s="15">
        <v>3</v>
      </c>
      <c r="B114" s="46">
        <v>9</v>
      </c>
      <c r="C114" s="45" t="s">
        <v>350</v>
      </c>
      <c r="D114" s="45" t="s">
        <v>351</v>
      </c>
      <c r="E114" s="47" t="s">
        <v>26</v>
      </c>
      <c r="F114" s="47" t="s">
        <v>24</v>
      </c>
      <c r="G114" s="46">
        <v>628431</v>
      </c>
      <c r="H114" s="15" t="s">
        <v>381</v>
      </c>
      <c r="I114" s="26" t="str">
        <f t="shared" si="10"/>
        <v>Lucas Ramos</v>
      </c>
      <c r="J114" s="26" t="str">
        <f t="shared" si="11"/>
        <v>3Viana - MA9</v>
      </c>
      <c r="K114" s="27" t="str">
        <f>IFERROR(VLOOKUP(J114,Substituicoes!J:J,1,0),"SS")</f>
        <v>SS</v>
      </c>
      <c r="L114" s="27" t="str">
        <f>IFERROR(VLOOKUP(J114,Substituicoes!K:K,1,0),"SS")</f>
        <v>SS</v>
      </c>
      <c r="M114" s="28" t="b">
        <f t="shared" si="12"/>
        <v>1</v>
      </c>
      <c r="N114" s="29">
        <f>IF(AND(K114=L114,LEFT(E114,1)="T"),VLOOKUP(A114,'JOGOS BASE'!A:E,4,0),IF(K114=J114,VLOOKUP(J114,Substituicoes!J:R,6,0),IF(L114=J114,VLOOKUP(Escalacao!J114,Substituicoes!K:R,7,0),0)))</f>
        <v>50</v>
      </c>
      <c r="O114" s="28">
        <f>IF(AND(K114=L114,LEFT(E114,1)="T"),VLOOKUP(A114,'JOGOS BASE'!A:E,5,0),IF(K114=J114,VLOOKUP(J114,Substituicoes!J:R,7,0),IF(L114=J114,VLOOKUP(Escalacao!J114,Substituicoes!K:R,8,0),0)))</f>
        <v>47</v>
      </c>
      <c r="P114" s="28">
        <f t="shared" si="13"/>
        <v>97</v>
      </c>
      <c r="Q114" s="28" t="str">
        <f t="shared" si="14"/>
        <v>39Viana - MA</v>
      </c>
      <c r="R114" s="28" t="str">
        <f>VLOOKUP(A114,'JOGOS BASE'!A:H,8)</f>
        <v>12.01.2025 - Pinheiro - MA x Viana - MA</v>
      </c>
    </row>
    <row r="115" spans="1:18" ht="30.6">
      <c r="A115" s="15">
        <v>3</v>
      </c>
      <c r="B115" s="46">
        <v>10</v>
      </c>
      <c r="C115" s="45" t="s">
        <v>92</v>
      </c>
      <c r="D115" s="45" t="s">
        <v>352</v>
      </c>
      <c r="E115" s="47" t="s">
        <v>26</v>
      </c>
      <c r="F115" s="47" t="s">
        <v>24</v>
      </c>
      <c r="G115" s="46">
        <v>642816</v>
      </c>
      <c r="H115" s="15" t="s">
        <v>381</v>
      </c>
      <c r="I115" s="26" t="str">
        <f t="shared" si="10"/>
        <v>Thiago</v>
      </c>
      <c r="J115" s="26" t="str">
        <f t="shared" si="11"/>
        <v>3Viana - MA10</v>
      </c>
      <c r="K115" s="27" t="str">
        <f>IFERROR(VLOOKUP(J115,Substituicoes!J:J,1,0),"SS")</f>
        <v>SS</v>
      </c>
      <c r="L115" s="27" t="str">
        <f>IFERROR(VLOOKUP(J115,Substituicoes!K:K,1,0),"SS")</f>
        <v>SS</v>
      </c>
      <c r="M115" s="28" t="b">
        <f t="shared" si="12"/>
        <v>1</v>
      </c>
      <c r="N115" s="29">
        <f>IF(AND(K115=L115,LEFT(E115,1)="T"),VLOOKUP(A115,'JOGOS BASE'!A:E,4,0),IF(K115=J115,VLOOKUP(J115,Substituicoes!J:R,6,0),IF(L115=J115,VLOOKUP(Escalacao!J115,Substituicoes!K:R,7,0),0)))</f>
        <v>50</v>
      </c>
      <c r="O115" s="28">
        <f>IF(AND(K115=L115,LEFT(E115,1)="T"),VLOOKUP(A115,'JOGOS BASE'!A:E,5,0),IF(K115=J115,VLOOKUP(J115,Substituicoes!J:R,7,0),IF(L115=J115,VLOOKUP(Escalacao!J115,Substituicoes!K:R,8,0),0)))</f>
        <v>47</v>
      </c>
      <c r="P115" s="28">
        <f t="shared" si="13"/>
        <v>97</v>
      </c>
      <c r="Q115" s="28" t="str">
        <f t="shared" si="14"/>
        <v>310Viana - MA</v>
      </c>
      <c r="R115" s="28" t="str">
        <f>VLOOKUP(A115,'JOGOS BASE'!A:H,8)</f>
        <v>12.01.2025 - Pinheiro - MA x Viana - MA</v>
      </c>
    </row>
    <row r="116" spans="1:18" ht="20.399999999999999">
      <c r="A116" s="15">
        <v>3</v>
      </c>
      <c r="B116" s="46">
        <v>11</v>
      </c>
      <c r="C116" s="45" t="s">
        <v>353</v>
      </c>
      <c r="D116" s="45" t="s">
        <v>354</v>
      </c>
      <c r="E116" s="47" t="s">
        <v>26</v>
      </c>
      <c r="F116" s="47" t="s">
        <v>24</v>
      </c>
      <c r="G116" s="46">
        <v>700228</v>
      </c>
      <c r="H116" s="15" t="s">
        <v>381</v>
      </c>
      <c r="I116" s="26" t="str">
        <f t="shared" si="10"/>
        <v>ARIEL</v>
      </c>
      <c r="J116" s="26" t="str">
        <f t="shared" si="11"/>
        <v>3Viana - MA11</v>
      </c>
      <c r="K116" s="27" t="str">
        <f>IFERROR(VLOOKUP(J116,Substituicoes!J:J,1,0),"SS")</f>
        <v>SS</v>
      </c>
      <c r="L116" s="27" t="str">
        <f>IFERROR(VLOOKUP(J116,Substituicoes!K:K,1,0),"SS")</f>
        <v>SS</v>
      </c>
      <c r="M116" s="28" t="b">
        <f t="shared" si="12"/>
        <v>1</v>
      </c>
      <c r="N116" s="29">
        <f>IF(AND(K116=L116,LEFT(E116,1)="T"),VLOOKUP(A116,'JOGOS BASE'!A:E,4,0),IF(K116=J116,VLOOKUP(J116,Substituicoes!J:R,6,0),IF(L116=J116,VLOOKUP(Escalacao!J116,Substituicoes!K:R,7,0),0)))</f>
        <v>50</v>
      </c>
      <c r="O116" s="28">
        <f>IF(AND(K116=L116,LEFT(E116,1)="T"),VLOOKUP(A116,'JOGOS BASE'!A:E,5,0),IF(K116=J116,VLOOKUP(J116,Substituicoes!J:R,7,0),IF(L116=J116,VLOOKUP(Escalacao!J116,Substituicoes!K:R,8,0),0)))</f>
        <v>47</v>
      </c>
      <c r="P116" s="28">
        <f t="shared" si="13"/>
        <v>97</v>
      </c>
      <c r="Q116" s="28" t="str">
        <f t="shared" si="14"/>
        <v>311Viana - MA</v>
      </c>
      <c r="R116" s="28" t="str">
        <f>VLOOKUP(A116,'JOGOS BASE'!A:H,8)</f>
        <v>12.01.2025 - Pinheiro - MA x Viana - MA</v>
      </c>
    </row>
    <row r="117" spans="1:18" ht="30.6">
      <c r="A117" s="15">
        <v>3</v>
      </c>
      <c r="B117" s="46">
        <v>13</v>
      </c>
      <c r="C117" s="45" t="s">
        <v>355</v>
      </c>
      <c r="D117" s="45" t="s">
        <v>356</v>
      </c>
      <c r="E117" s="47" t="s">
        <v>42</v>
      </c>
      <c r="F117" s="47" t="s">
        <v>56</v>
      </c>
      <c r="G117" s="46">
        <v>683760</v>
      </c>
      <c r="H117" s="15" t="s">
        <v>381</v>
      </c>
      <c r="I117" s="26" t="str">
        <f t="shared" si="10"/>
        <v>PAULO</v>
      </c>
      <c r="J117" s="26" t="str">
        <f t="shared" si="11"/>
        <v>3Viana - MA13</v>
      </c>
      <c r="K117" s="27" t="str">
        <f>IFERROR(VLOOKUP(J117,Substituicoes!J:J,1,0),"SS")</f>
        <v>3Viana - MA13</v>
      </c>
      <c r="L117" s="27" t="str">
        <f>IFERROR(VLOOKUP(J117,Substituicoes!K:K,1,0),"SS")</f>
        <v>SS</v>
      </c>
      <c r="M117" s="28" t="b">
        <f t="shared" si="12"/>
        <v>0</v>
      </c>
      <c r="N117" s="29">
        <f>IF(AND(K117=L117,LEFT(E117,1)="T"),VLOOKUP(A117,'JOGOS BASE'!A:E,4,0),IF(K117=J117,VLOOKUP(J117,Substituicoes!J:R,6,0),IF(L117=J117,VLOOKUP(Escalacao!J117,Substituicoes!K:R,7,0),0)))</f>
        <v>0</v>
      </c>
      <c r="O117" s="28">
        <f>IF(AND(K117=L117,LEFT(E117,1)="T"),VLOOKUP(A117,'JOGOS BASE'!A:E,5,0),IF(K117=J117,VLOOKUP(J117,Substituicoes!J:R,7,0),IF(L117=J117,VLOOKUP(Escalacao!J117,Substituicoes!K:R,8,0),0)))</f>
        <v>15</v>
      </c>
      <c r="P117" s="28">
        <f t="shared" si="13"/>
        <v>15</v>
      </c>
      <c r="Q117" s="28" t="str">
        <f t="shared" si="14"/>
        <v>313Viana - MA</v>
      </c>
      <c r="R117" s="28" t="str">
        <f>VLOOKUP(A117,'JOGOS BASE'!A:H,8)</f>
        <v>12.01.2025 - Pinheiro - MA x Viana - MA</v>
      </c>
    </row>
    <row r="118" spans="1:18" ht="30.6">
      <c r="A118" s="15">
        <v>4</v>
      </c>
      <c r="B118" s="46">
        <v>1</v>
      </c>
      <c r="C118" s="45" t="s">
        <v>301</v>
      </c>
      <c r="D118" s="45" t="s">
        <v>302</v>
      </c>
      <c r="E118" s="47" t="s">
        <v>23</v>
      </c>
      <c r="F118" s="47" t="s">
        <v>24</v>
      </c>
      <c r="G118" s="46">
        <v>530809</v>
      </c>
      <c r="H118" s="18" t="s">
        <v>368</v>
      </c>
      <c r="I118" s="26" t="str">
        <f t="shared" ref="I118:I158" si="15">C118</f>
        <v>Mateus</v>
      </c>
      <c r="J118" s="26" t="str">
        <f t="shared" ref="J118:J158" si="16">A118&amp;H118&amp;B118</f>
        <v>4Pinheiro - MA1</v>
      </c>
      <c r="K118" s="27" t="str">
        <f>IFERROR(VLOOKUP(J118,Substituicoes!J:J,1,0),"SS")</f>
        <v>SS</v>
      </c>
      <c r="L118" s="27" t="str">
        <f>IFERROR(VLOOKUP(J118,Substituicoes!K:K,1,0),"SS")</f>
        <v>SS</v>
      </c>
      <c r="M118" s="28" t="b">
        <f t="shared" ref="M118:M158" si="17">K118=L118</f>
        <v>1</v>
      </c>
      <c r="N118" s="29">
        <f>IF(AND(K118=L118,LEFT(E118,1)="T"),VLOOKUP(A118,'JOGOS BASE'!A:E,4,0),IF(K118=J118,VLOOKUP(J118,Substituicoes!J:R,6,0),IF(L118=J118,VLOOKUP(Escalacao!J118,Substituicoes!K:R,7,0),0)))</f>
        <v>49</v>
      </c>
      <c r="O118" s="28">
        <f>IF(AND(K118=L118,LEFT(E118,1)="T"),VLOOKUP(A118,'JOGOS BASE'!A:E,5,0),IF(K118=J118,VLOOKUP(J118,Substituicoes!J:R,7,0),IF(L118=J118,VLOOKUP(Escalacao!J118,Substituicoes!K:R,8,0),0)))</f>
        <v>51</v>
      </c>
      <c r="P118" s="28">
        <f t="shared" ref="P118:P158" si="18">N118+O118</f>
        <v>100</v>
      </c>
      <c r="Q118" s="28" t="str">
        <f t="shared" ref="Q118:Q158" si="19">A118&amp;B118&amp;H118</f>
        <v>41Pinheiro - MA</v>
      </c>
      <c r="R118" s="28" t="str">
        <f>VLOOKUP(A118,'JOGOS BASE'!A:H,8)</f>
        <v>15.01.2025 - Pinheiro - MA x Maranhão - MA</v>
      </c>
    </row>
    <row r="119" spans="1:18" ht="20.399999999999999">
      <c r="A119" s="15">
        <v>4</v>
      </c>
      <c r="B119" s="46">
        <v>2</v>
      </c>
      <c r="C119" s="45" t="s">
        <v>303</v>
      </c>
      <c r="D119" s="45" t="s">
        <v>304</v>
      </c>
      <c r="E119" s="47" t="s">
        <v>26</v>
      </c>
      <c r="F119" s="47" t="s">
        <v>56</v>
      </c>
      <c r="G119" s="46">
        <v>748495</v>
      </c>
      <c r="H119" s="18" t="s">
        <v>368</v>
      </c>
      <c r="I119" s="26" t="str">
        <f t="shared" si="15"/>
        <v>Italo</v>
      </c>
      <c r="J119" s="26" t="str">
        <f t="shared" si="16"/>
        <v>4Pinheiro - MA2</v>
      </c>
      <c r="K119" s="27" t="str">
        <f>IFERROR(VLOOKUP(J119,Substituicoes!J:J,1,0),"SS")</f>
        <v>SS</v>
      </c>
      <c r="L119" s="27" t="str">
        <f>IFERROR(VLOOKUP(J119,Substituicoes!K:K,1,0),"SS")</f>
        <v>SS</v>
      </c>
      <c r="M119" s="28" t="b">
        <f t="shared" si="17"/>
        <v>1</v>
      </c>
      <c r="N119" s="29">
        <f>IF(AND(K119=L119,LEFT(E119,1)="T"),VLOOKUP(A119,'JOGOS BASE'!A:E,4,0),IF(K119=J119,VLOOKUP(J119,Substituicoes!J:R,6,0),IF(L119=J119,VLOOKUP(Escalacao!J119,Substituicoes!K:R,7,0),0)))</f>
        <v>49</v>
      </c>
      <c r="O119" s="28">
        <f>IF(AND(K119=L119,LEFT(E119,1)="T"),VLOOKUP(A119,'JOGOS BASE'!A:E,5,0),IF(K119=J119,VLOOKUP(J119,Substituicoes!J:R,7,0),IF(L119=J119,VLOOKUP(Escalacao!J119,Substituicoes!K:R,8,0),0)))</f>
        <v>51</v>
      </c>
      <c r="P119" s="28">
        <f t="shared" si="18"/>
        <v>100</v>
      </c>
      <c r="Q119" s="28" t="str">
        <f t="shared" si="19"/>
        <v>42Pinheiro - MA</v>
      </c>
      <c r="R119" s="28" t="str">
        <f>VLOOKUP(A119,'JOGOS BASE'!A:H,8)</f>
        <v>15.01.2025 - Pinheiro - MA x Maranhão - MA</v>
      </c>
    </row>
    <row r="120" spans="1:18" ht="30.6">
      <c r="A120" s="15">
        <v>4</v>
      </c>
      <c r="B120" s="46">
        <v>3</v>
      </c>
      <c r="C120" s="45" t="s">
        <v>305</v>
      </c>
      <c r="D120" s="45" t="s">
        <v>306</v>
      </c>
      <c r="E120" s="47" t="s">
        <v>26</v>
      </c>
      <c r="F120" s="47" t="s">
        <v>24</v>
      </c>
      <c r="G120" s="46">
        <v>619339</v>
      </c>
      <c r="H120" s="18" t="s">
        <v>368</v>
      </c>
      <c r="I120" s="26" t="str">
        <f t="shared" si="15"/>
        <v>Henrique</v>
      </c>
      <c r="J120" s="26" t="str">
        <f t="shared" si="16"/>
        <v>4Pinheiro - MA3</v>
      </c>
      <c r="K120" s="27" t="str">
        <f>IFERROR(VLOOKUP(J120,Substituicoes!J:J,1,0),"SS")</f>
        <v>SS</v>
      </c>
      <c r="L120" s="27" t="str">
        <f>IFERROR(VLOOKUP(J120,Substituicoes!K:K,1,0),"SS")</f>
        <v>SS</v>
      </c>
      <c r="M120" s="28" t="b">
        <f t="shared" si="17"/>
        <v>1</v>
      </c>
      <c r="N120" s="29">
        <f>IF(AND(K120=L120,LEFT(E120,1)="T"),VLOOKUP(A120,'JOGOS BASE'!A:E,4,0),IF(K120=J120,VLOOKUP(J120,Substituicoes!J:R,6,0),IF(L120=J120,VLOOKUP(Escalacao!J120,Substituicoes!K:R,7,0),0)))</f>
        <v>49</v>
      </c>
      <c r="O120" s="28">
        <f>IF(AND(K120=L120,LEFT(E120,1)="T"),VLOOKUP(A120,'JOGOS BASE'!A:E,5,0),IF(K120=J120,VLOOKUP(J120,Substituicoes!J:R,7,0),IF(L120=J120,VLOOKUP(Escalacao!J120,Substituicoes!K:R,8,0),0)))</f>
        <v>51</v>
      </c>
      <c r="P120" s="28">
        <f t="shared" si="18"/>
        <v>100</v>
      </c>
      <c r="Q120" s="28" t="str">
        <f t="shared" si="19"/>
        <v>43Pinheiro - MA</v>
      </c>
      <c r="R120" s="28" t="str">
        <f>VLOOKUP(A120,'JOGOS BASE'!A:H,8)</f>
        <v>15.01.2025 - Pinheiro - MA x Maranhão - MA</v>
      </c>
    </row>
    <row r="121" spans="1:18" ht="30.6">
      <c r="A121" s="15">
        <v>4</v>
      </c>
      <c r="B121" s="46">
        <v>4</v>
      </c>
      <c r="C121" s="45" t="s">
        <v>307</v>
      </c>
      <c r="D121" s="45" t="s">
        <v>308</v>
      </c>
      <c r="E121" s="47" t="s">
        <v>26</v>
      </c>
      <c r="F121" s="47" t="s">
        <v>24</v>
      </c>
      <c r="G121" s="46">
        <v>710616</v>
      </c>
      <c r="H121" s="18" t="s">
        <v>368</v>
      </c>
      <c r="I121" s="26" t="str">
        <f t="shared" si="15"/>
        <v>Rikelmmer</v>
      </c>
      <c r="J121" s="26" t="str">
        <f t="shared" si="16"/>
        <v>4Pinheiro - MA4</v>
      </c>
      <c r="K121" s="27" t="str">
        <f>IFERROR(VLOOKUP(J121,Substituicoes!J:J,1,0),"SS")</f>
        <v>SS</v>
      </c>
      <c r="L121" s="27" t="str">
        <f>IFERROR(VLOOKUP(J121,Substituicoes!K:K,1,0),"SS")</f>
        <v>SS</v>
      </c>
      <c r="M121" s="28" t="b">
        <f t="shared" si="17"/>
        <v>1</v>
      </c>
      <c r="N121" s="29">
        <f>IF(AND(K121=L121,LEFT(E121,1)="T"),VLOOKUP(A121,'JOGOS BASE'!A:E,4,0),IF(K121=J121,VLOOKUP(J121,Substituicoes!J:R,6,0),IF(L121=J121,VLOOKUP(Escalacao!J121,Substituicoes!K:R,7,0),0)))</f>
        <v>49</v>
      </c>
      <c r="O121" s="28">
        <f>IF(AND(K121=L121,LEFT(E121,1)="T"),VLOOKUP(A121,'JOGOS BASE'!A:E,5,0),IF(K121=J121,VLOOKUP(J121,Substituicoes!J:R,7,0),IF(L121=J121,VLOOKUP(Escalacao!J121,Substituicoes!K:R,8,0),0)))</f>
        <v>51</v>
      </c>
      <c r="P121" s="28">
        <f t="shared" si="18"/>
        <v>100</v>
      </c>
      <c r="Q121" s="28" t="str">
        <f t="shared" si="19"/>
        <v>44Pinheiro - MA</v>
      </c>
      <c r="R121" s="28" t="str">
        <f>VLOOKUP(A121,'JOGOS BASE'!A:H,8)</f>
        <v>15.01.2025 - Pinheiro - MA x Maranhão - MA</v>
      </c>
    </row>
    <row r="122" spans="1:18" ht="20.399999999999999">
      <c r="A122" s="15">
        <v>4</v>
      </c>
      <c r="B122" s="46">
        <v>5</v>
      </c>
      <c r="C122" s="45" t="s">
        <v>309</v>
      </c>
      <c r="D122" s="45" t="s">
        <v>310</v>
      </c>
      <c r="E122" s="47" t="s">
        <v>26</v>
      </c>
      <c r="F122" s="47" t="s">
        <v>24</v>
      </c>
      <c r="G122" s="46">
        <v>537343</v>
      </c>
      <c r="H122" s="18" t="s">
        <v>368</v>
      </c>
      <c r="I122" s="26" t="str">
        <f t="shared" si="15"/>
        <v>Rayandeson</v>
      </c>
      <c r="J122" s="26" t="str">
        <f t="shared" si="16"/>
        <v>4Pinheiro - MA5</v>
      </c>
      <c r="K122" s="27" t="str">
        <f>IFERROR(VLOOKUP(J122,Substituicoes!J:J,1,0),"SS")</f>
        <v>SS</v>
      </c>
      <c r="L122" s="27" t="str">
        <f>IFERROR(VLOOKUP(J122,Substituicoes!K:K,1,0),"SS")</f>
        <v>SS</v>
      </c>
      <c r="M122" s="28" t="b">
        <f t="shared" si="17"/>
        <v>1</v>
      </c>
      <c r="N122" s="29">
        <f>IF(AND(K122=L122,LEFT(E122,1)="T"),VLOOKUP(A122,'JOGOS BASE'!A:E,4,0),IF(K122=J122,VLOOKUP(J122,Substituicoes!J:R,6,0),IF(L122=J122,VLOOKUP(Escalacao!J122,Substituicoes!K:R,7,0),0)))</f>
        <v>49</v>
      </c>
      <c r="O122" s="28">
        <f>IF(AND(K122=L122,LEFT(E122,1)="T"),VLOOKUP(A122,'JOGOS BASE'!A:E,5,0),IF(K122=J122,VLOOKUP(J122,Substituicoes!J:R,7,0),IF(L122=J122,VLOOKUP(Escalacao!J122,Substituicoes!K:R,8,0),0)))</f>
        <v>51</v>
      </c>
      <c r="P122" s="28">
        <f t="shared" si="18"/>
        <v>100</v>
      </c>
      <c r="Q122" s="28" t="str">
        <f t="shared" si="19"/>
        <v>45Pinheiro - MA</v>
      </c>
      <c r="R122" s="28" t="str">
        <f>VLOOKUP(A122,'JOGOS BASE'!A:H,8)</f>
        <v>15.01.2025 - Pinheiro - MA x Maranhão - MA</v>
      </c>
    </row>
    <row r="123" spans="1:18" ht="20.399999999999999">
      <c r="A123" s="15">
        <v>4</v>
      </c>
      <c r="B123" s="46">
        <v>6</v>
      </c>
      <c r="C123" s="45" t="s">
        <v>246</v>
      </c>
      <c r="D123" s="45" t="s">
        <v>311</v>
      </c>
      <c r="E123" s="47" t="s">
        <v>26</v>
      </c>
      <c r="F123" s="47" t="s">
        <v>24</v>
      </c>
      <c r="G123" s="46">
        <v>637743</v>
      </c>
      <c r="H123" s="18" t="s">
        <v>368</v>
      </c>
      <c r="I123" s="26" t="str">
        <f t="shared" si="15"/>
        <v>Gabriel</v>
      </c>
      <c r="J123" s="26" t="str">
        <f t="shared" si="16"/>
        <v>4Pinheiro - MA6</v>
      </c>
      <c r="K123" s="27" t="str">
        <f>IFERROR(VLOOKUP(J123,Substituicoes!J:J,1,0),"SS")</f>
        <v>SS</v>
      </c>
      <c r="L123" s="27" t="str">
        <f>IFERROR(VLOOKUP(J123,Substituicoes!K:K,1,0),"SS")</f>
        <v>SS</v>
      </c>
      <c r="M123" s="28" t="b">
        <f t="shared" si="17"/>
        <v>1</v>
      </c>
      <c r="N123" s="29">
        <f>IF(AND(K123=L123,LEFT(E123,1)="T"),VLOOKUP(A123,'JOGOS BASE'!A:E,4,0),IF(K123=J123,VLOOKUP(J123,Substituicoes!J:R,6,0),IF(L123=J123,VLOOKUP(Escalacao!J123,Substituicoes!K:R,7,0),0)))</f>
        <v>49</v>
      </c>
      <c r="O123" s="28">
        <f>IF(AND(K123=L123,LEFT(E123,1)="T"),VLOOKUP(A123,'JOGOS BASE'!A:E,5,0),IF(K123=J123,VLOOKUP(J123,Substituicoes!J:R,7,0),IF(L123=J123,VLOOKUP(Escalacao!J123,Substituicoes!K:R,8,0),0)))</f>
        <v>51</v>
      </c>
      <c r="P123" s="28">
        <f t="shared" si="18"/>
        <v>100</v>
      </c>
      <c r="Q123" s="28" t="str">
        <f t="shared" si="19"/>
        <v>46Pinheiro - MA</v>
      </c>
      <c r="R123" s="28" t="str">
        <f>VLOOKUP(A123,'JOGOS BASE'!A:H,8)</f>
        <v>15.01.2025 - Pinheiro - MA x Maranhão - MA</v>
      </c>
    </row>
    <row r="124" spans="1:18" ht="20.399999999999999">
      <c r="A124" s="15">
        <v>4</v>
      </c>
      <c r="B124" s="46">
        <v>7</v>
      </c>
      <c r="C124" s="45" t="s">
        <v>312</v>
      </c>
      <c r="D124" s="45" t="s">
        <v>313</v>
      </c>
      <c r="E124" s="47" t="s">
        <v>26</v>
      </c>
      <c r="F124" s="47" t="s">
        <v>24</v>
      </c>
      <c r="G124" s="46">
        <v>738325</v>
      </c>
      <c r="H124" s="18" t="s">
        <v>368</v>
      </c>
      <c r="I124" s="26" t="str">
        <f t="shared" si="15"/>
        <v>FRANCISCO</v>
      </c>
      <c r="J124" s="26" t="str">
        <f t="shared" si="16"/>
        <v>4Pinheiro - MA7</v>
      </c>
      <c r="K124" s="27" t="str">
        <f>IFERROR(VLOOKUP(J124,Substituicoes!J:J,1,0),"SS")</f>
        <v>SS</v>
      </c>
      <c r="L124" s="27" t="str">
        <f>IFERROR(VLOOKUP(J124,Substituicoes!K:K,1,0),"SS")</f>
        <v>4Pinheiro - MA7</v>
      </c>
      <c r="M124" s="28" t="b">
        <f t="shared" si="17"/>
        <v>0</v>
      </c>
      <c r="N124" s="29">
        <f>IF(AND(K124=L124,LEFT(E124,1)="T"),VLOOKUP(A124,'JOGOS BASE'!A:E,4,0),IF(K124=J124,VLOOKUP(J124,Substituicoes!J:R,6,0),IF(L124=J124,VLOOKUP(Escalacao!J124,Substituicoes!K:R,7,0),0)))</f>
        <v>49</v>
      </c>
      <c r="O124" s="28">
        <f>IF(AND(K124=L124,LEFT(E124,1)="T"),VLOOKUP(A124,'JOGOS BASE'!A:E,5,0),IF(K124=J124,VLOOKUP(J124,Substituicoes!J:R,7,0),IF(L124=J124,VLOOKUP(Escalacao!J124,Substituicoes!K:R,8,0),0)))</f>
        <v>43</v>
      </c>
      <c r="P124" s="28">
        <f t="shared" si="18"/>
        <v>92</v>
      </c>
      <c r="Q124" s="28" t="str">
        <f t="shared" si="19"/>
        <v>47Pinheiro - MA</v>
      </c>
      <c r="R124" s="28" t="str">
        <f>VLOOKUP(A124,'JOGOS BASE'!A:H,8)</f>
        <v>15.01.2025 - Pinheiro - MA x Maranhão - MA</v>
      </c>
    </row>
    <row r="125" spans="1:18" ht="20.399999999999999">
      <c r="A125" s="15">
        <v>4</v>
      </c>
      <c r="B125" s="46">
        <v>8</v>
      </c>
      <c r="C125" s="45" t="s">
        <v>314</v>
      </c>
      <c r="D125" s="45" t="s">
        <v>315</v>
      </c>
      <c r="E125" s="47" t="s">
        <v>26</v>
      </c>
      <c r="F125" s="47" t="s">
        <v>24</v>
      </c>
      <c r="G125" s="46">
        <v>552300</v>
      </c>
      <c r="H125" s="18" t="s">
        <v>368</v>
      </c>
      <c r="I125" s="26" t="str">
        <f t="shared" si="15"/>
        <v>Tulio</v>
      </c>
      <c r="J125" s="26" t="str">
        <f t="shared" si="16"/>
        <v>4Pinheiro - MA8</v>
      </c>
      <c r="K125" s="27" t="str">
        <f>IFERROR(VLOOKUP(J125,Substituicoes!J:J,1,0),"SS")</f>
        <v>SS</v>
      </c>
      <c r="L125" s="27" t="str">
        <f>IFERROR(VLOOKUP(J125,Substituicoes!K:K,1,0),"SS")</f>
        <v>SS</v>
      </c>
      <c r="M125" s="28" t="b">
        <f t="shared" si="17"/>
        <v>1</v>
      </c>
      <c r="N125" s="29">
        <f>IF(AND(K125=L125,LEFT(E125,1)="T"),VLOOKUP(A125,'JOGOS BASE'!A:E,4,0),IF(K125=J125,VLOOKUP(J125,Substituicoes!J:R,6,0),IF(L125=J125,VLOOKUP(Escalacao!J125,Substituicoes!K:R,7,0),0)))</f>
        <v>49</v>
      </c>
      <c r="O125" s="28">
        <f>IF(AND(K125=L125,LEFT(E125,1)="T"),VLOOKUP(A125,'JOGOS BASE'!A:E,5,0),IF(K125=J125,VLOOKUP(J125,Substituicoes!J:R,7,0),IF(L125=J125,VLOOKUP(Escalacao!J125,Substituicoes!K:R,8,0),0)))</f>
        <v>51</v>
      </c>
      <c r="P125" s="28">
        <f t="shared" si="18"/>
        <v>100</v>
      </c>
      <c r="Q125" s="28" t="str">
        <f t="shared" si="19"/>
        <v>48Pinheiro - MA</v>
      </c>
      <c r="R125" s="28" t="str">
        <f>VLOOKUP(A125,'JOGOS BASE'!A:H,8)</f>
        <v>15.01.2025 - Pinheiro - MA x Maranhão - MA</v>
      </c>
    </row>
    <row r="126" spans="1:18" ht="30.6">
      <c r="A126" s="15">
        <v>4</v>
      </c>
      <c r="B126" s="46">
        <v>9</v>
      </c>
      <c r="C126" s="45" t="s">
        <v>316</v>
      </c>
      <c r="D126" s="45" t="s">
        <v>317</v>
      </c>
      <c r="E126" s="47" t="s">
        <v>26</v>
      </c>
      <c r="F126" s="47" t="s">
        <v>24</v>
      </c>
      <c r="G126" s="46">
        <v>464141</v>
      </c>
      <c r="H126" s="18" t="s">
        <v>368</v>
      </c>
      <c r="I126" s="26" t="str">
        <f t="shared" si="15"/>
        <v>Cleber</v>
      </c>
      <c r="J126" s="26" t="str">
        <f t="shared" si="16"/>
        <v>4Pinheiro - MA9</v>
      </c>
      <c r="K126" s="27" t="str">
        <f>IFERROR(VLOOKUP(J126,Substituicoes!J:J,1,0),"SS")</f>
        <v>SS</v>
      </c>
      <c r="L126" s="27" t="str">
        <f>IFERROR(VLOOKUP(J126,Substituicoes!K:K,1,0),"SS")</f>
        <v>4Pinheiro - MA9</v>
      </c>
      <c r="M126" s="28" t="b">
        <f t="shared" si="17"/>
        <v>0</v>
      </c>
      <c r="N126" s="29">
        <f>IF(AND(K126=L126,LEFT(E126,1)="T"),VLOOKUP(A126,'JOGOS BASE'!A:E,4,0),IF(K126=J126,VLOOKUP(J126,Substituicoes!J:R,6,0),IF(L126=J126,VLOOKUP(Escalacao!J126,Substituicoes!K:R,7,0),0)))</f>
        <v>49</v>
      </c>
      <c r="O126" s="28">
        <f>IF(AND(K126=L126,LEFT(E126,1)="T"),VLOOKUP(A126,'JOGOS BASE'!A:E,5,0),IF(K126=J126,VLOOKUP(J126,Substituicoes!J:R,7,0),IF(L126=J126,VLOOKUP(Escalacao!J126,Substituicoes!K:R,8,0),0)))</f>
        <v>24</v>
      </c>
      <c r="P126" s="28">
        <f t="shared" si="18"/>
        <v>73</v>
      </c>
      <c r="Q126" s="28" t="str">
        <f t="shared" si="19"/>
        <v>49Pinheiro - MA</v>
      </c>
      <c r="R126" s="28" t="str">
        <f>VLOOKUP(A126,'JOGOS BASE'!A:H,8)</f>
        <v>15.01.2025 - Pinheiro - MA x Maranhão - MA</v>
      </c>
    </row>
    <row r="127" spans="1:18" ht="20.399999999999999">
      <c r="A127" s="15">
        <v>4</v>
      </c>
      <c r="B127" s="46">
        <v>10</v>
      </c>
      <c r="C127" s="45" t="s">
        <v>318</v>
      </c>
      <c r="D127" s="45" t="s">
        <v>319</v>
      </c>
      <c r="E127" s="47" t="s">
        <v>26</v>
      </c>
      <c r="F127" s="47" t="s">
        <v>24</v>
      </c>
      <c r="G127" s="46">
        <v>554277</v>
      </c>
      <c r="H127" s="18" t="s">
        <v>368</v>
      </c>
      <c r="I127" s="26" t="str">
        <f t="shared" si="15"/>
        <v>Neto</v>
      </c>
      <c r="J127" s="26" t="str">
        <f t="shared" si="16"/>
        <v>4Pinheiro - MA10</v>
      </c>
      <c r="K127" s="27" t="str">
        <f>IFERROR(VLOOKUP(J127,Substituicoes!J:J,1,0),"SS")</f>
        <v>SS</v>
      </c>
      <c r="L127" s="27" t="str">
        <f>IFERROR(VLOOKUP(J127,Substituicoes!K:K,1,0),"SS")</f>
        <v>4Pinheiro - MA10</v>
      </c>
      <c r="M127" s="28" t="b">
        <f t="shared" si="17"/>
        <v>0</v>
      </c>
      <c r="N127" s="29">
        <f>IF(AND(K127=L127,LEFT(E127,1)="T"),VLOOKUP(A127,'JOGOS BASE'!A:E,4,0),IF(K127=J127,VLOOKUP(J127,Substituicoes!J:R,6,0),IF(L127=J127,VLOOKUP(Escalacao!J127,Substituicoes!K:R,7,0),0)))</f>
        <v>49</v>
      </c>
      <c r="O127" s="28">
        <f>IF(AND(K127=L127,LEFT(E127,1)="T"),VLOOKUP(A127,'JOGOS BASE'!A:E,5,0),IF(K127=J127,VLOOKUP(J127,Substituicoes!J:R,7,0),IF(L127=J127,VLOOKUP(Escalacao!J127,Substituicoes!K:R,8,0),0)))</f>
        <v>43</v>
      </c>
      <c r="P127" s="28">
        <f t="shared" si="18"/>
        <v>92</v>
      </c>
      <c r="Q127" s="28" t="str">
        <f t="shared" si="19"/>
        <v>410Pinheiro - MA</v>
      </c>
      <c r="R127" s="28" t="str">
        <f>VLOOKUP(A127,'JOGOS BASE'!A:H,8)</f>
        <v>15.01.2025 - Pinheiro - MA x Maranhão - MA</v>
      </c>
    </row>
    <row r="128" spans="1:18" ht="20.399999999999999">
      <c r="A128" s="15">
        <v>4</v>
      </c>
      <c r="B128" s="46">
        <v>11</v>
      </c>
      <c r="C128" s="45" t="s">
        <v>320</v>
      </c>
      <c r="D128" s="45" t="s">
        <v>321</v>
      </c>
      <c r="E128" s="47" t="s">
        <v>26</v>
      </c>
      <c r="F128" s="47" t="s">
        <v>24</v>
      </c>
      <c r="G128" s="46">
        <v>612866</v>
      </c>
      <c r="H128" s="18" t="s">
        <v>368</v>
      </c>
      <c r="I128" s="26" t="str">
        <f t="shared" si="15"/>
        <v>Joao Pedro</v>
      </c>
      <c r="J128" s="26" t="str">
        <f t="shared" si="16"/>
        <v>4Pinheiro - MA11</v>
      </c>
      <c r="K128" s="27" t="str">
        <f>IFERROR(VLOOKUP(J128,Substituicoes!J:J,1,0),"SS")</f>
        <v>SS</v>
      </c>
      <c r="L128" s="27" t="str">
        <f>IFERROR(VLOOKUP(J128,Substituicoes!K:K,1,0),"SS")</f>
        <v>4Pinheiro - MA11</v>
      </c>
      <c r="M128" s="28" t="b">
        <f t="shared" si="17"/>
        <v>0</v>
      </c>
      <c r="N128" s="29">
        <f>IF(AND(K128=L128,LEFT(E128,1)="T"),VLOOKUP(A128,'JOGOS BASE'!A:E,4,0),IF(K128=J128,VLOOKUP(J128,Substituicoes!J:R,6,0),IF(L128=J128,VLOOKUP(Escalacao!J128,Substituicoes!K:R,7,0),0)))</f>
        <v>49</v>
      </c>
      <c r="O128" s="28">
        <f>IF(AND(K128=L128,LEFT(E128,1)="T"),VLOOKUP(A128,'JOGOS BASE'!A:E,5,0),IF(K128=J128,VLOOKUP(J128,Substituicoes!J:R,7,0),IF(L128=J128,VLOOKUP(Escalacao!J128,Substituicoes!K:R,8,0),0)))</f>
        <v>17</v>
      </c>
      <c r="P128" s="28">
        <f t="shared" si="18"/>
        <v>66</v>
      </c>
      <c r="Q128" s="28" t="str">
        <f t="shared" si="19"/>
        <v>411Pinheiro - MA</v>
      </c>
      <c r="R128" s="28" t="str">
        <f>VLOOKUP(A128,'JOGOS BASE'!A:H,8)</f>
        <v>15.01.2025 - Pinheiro - MA x Maranhão - MA</v>
      </c>
    </row>
    <row r="129" spans="1:18" ht="20.399999999999999">
      <c r="A129" s="15">
        <v>4</v>
      </c>
      <c r="B129" s="46">
        <v>12</v>
      </c>
      <c r="C129" s="45" t="s">
        <v>322</v>
      </c>
      <c r="D129" s="45" t="s">
        <v>323</v>
      </c>
      <c r="E129" s="47" t="s">
        <v>40</v>
      </c>
      <c r="F129" s="47" t="s">
        <v>24</v>
      </c>
      <c r="G129" s="46">
        <v>637255</v>
      </c>
      <c r="H129" s="18" t="s">
        <v>368</v>
      </c>
      <c r="I129" s="26" t="str">
        <f t="shared" si="15"/>
        <v>LUAN</v>
      </c>
      <c r="J129" s="26" t="str">
        <f t="shared" si="16"/>
        <v>4Pinheiro - MA12</v>
      </c>
      <c r="K129" s="27" t="str">
        <f>IFERROR(VLOOKUP(J129,Substituicoes!J:J,1,0),"SS")</f>
        <v>SS</v>
      </c>
      <c r="L129" s="27" t="str">
        <f>IFERROR(VLOOKUP(J129,Substituicoes!K:K,1,0),"SS")</f>
        <v>SS</v>
      </c>
      <c r="M129" s="28" t="b">
        <f t="shared" si="17"/>
        <v>1</v>
      </c>
      <c r="N129" s="29">
        <f>IF(AND(K129=L129,LEFT(E129,1)="T"),VLOOKUP(A129,'JOGOS BASE'!A:E,4,0),IF(K129=J129,VLOOKUP(J129,Substituicoes!J:R,6,0),IF(L129=J129,VLOOKUP(Escalacao!J129,Substituicoes!K:R,7,0),0)))</f>
        <v>0</v>
      </c>
      <c r="O129" s="28">
        <f>IF(AND(K129=L129,LEFT(E129,1)="T"),VLOOKUP(A129,'JOGOS BASE'!A:E,5,0),IF(K129=J129,VLOOKUP(J129,Substituicoes!J:R,7,0),IF(L129=J129,VLOOKUP(Escalacao!J129,Substituicoes!K:R,8,0),0)))</f>
        <v>0</v>
      </c>
      <c r="P129" s="28">
        <f t="shared" si="18"/>
        <v>0</v>
      </c>
      <c r="Q129" s="28" t="str">
        <f t="shared" si="19"/>
        <v>412Pinheiro - MA</v>
      </c>
      <c r="R129" s="28" t="str">
        <f>VLOOKUP(A129,'JOGOS BASE'!A:H,8)</f>
        <v>15.01.2025 - Pinheiro - MA x Maranhão - MA</v>
      </c>
    </row>
    <row r="130" spans="1:18" ht="30.6">
      <c r="A130" s="15">
        <v>4</v>
      </c>
      <c r="B130" s="46">
        <v>13</v>
      </c>
      <c r="C130" s="45" t="s">
        <v>324</v>
      </c>
      <c r="D130" s="45" t="s">
        <v>325</v>
      </c>
      <c r="E130" s="47" t="s">
        <v>42</v>
      </c>
      <c r="F130" s="47" t="s">
        <v>24</v>
      </c>
      <c r="G130" s="46">
        <v>554265</v>
      </c>
      <c r="H130" s="18" t="s">
        <v>368</v>
      </c>
      <c r="I130" s="26" t="str">
        <f t="shared" si="15"/>
        <v>Aldomir</v>
      </c>
      <c r="J130" s="26" t="str">
        <f t="shared" si="16"/>
        <v>4Pinheiro - MA13</v>
      </c>
      <c r="K130" s="27" t="str">
        <f>IFERROR(VLOOKUP(J130,Substituicoes!J:J,1,0),"SS")</f>
        <v>4Pinheiro - MA13</v>
      </c>
      <c r="L130" s="27" t="str">
        <f>IFERROR(VLOOKUP(J130,Substituicoes!K:K,1,0),"SS")</f>
        <v>SS</v>
      </c>
      <c r="M130" s="28" t="b">
        <f t="shared" si="17"/>
        <v>0</v>
      </c>
      <c r="N130" s="29">
        <f>IF(AND(K130=L130,LEFT(E130,1)="T"),VLOOKUP(A130,'JOGOS BASE'!A:E,4,0),IF(K130=J130,VLOOKUP(J130,Substituicoes!J:R,6,0),IF(L130=J130,VLOOKUP(Escalacao!J130,Substituicoes!K:R,7,0),0)))</f>
        <v>0</v>
      </c>
      <c r="O130" s="28">
        <f>IF(AND(K130=L130,LEFT(E130,1)="T"),VLOOKUP(A130,'JOGOS BASE'!A:E,5,0),IF(K130=J130,VLOOKUP(J130,Substituicoes!J:R,7,0),IF(L130=J130,VLOOKUP(Escalacao!J130,Substituicoes!K:R,8,0),0)))</f>
        <v>27</v>
      </c>
      <c r="P130" s="28">
        <f t="shared" si="18"/>
        <v>27</v>
      </c>
      <c r="Q130" s="28" t="str">
        <f t="shared" si="19"/>
        <v>413Pinheiro - MA</v>
      </c>
      <c r="R130" s="28" t="str">
        <f>VLOOKUP(A130,'JOGOS BASE'!A:H,8)</f>
        <v>15.01.2025 - Pinheiro - MA x Maranhão - MA</v>
      </c>
    </row>
    <row r="131" spans="1:18" ht="20.399999999999999">
      <c r="A131" s="15">
        <v>4</v>
      </c>
      <c r="B131" s="46">
        <v>14</v>
      </c>
      <c r="C131" s="45" t="s">
        <v>326</v>
      </c>
      <c r="D131" s="45" t="s">
        <v>327</v>
      </c>
      <c r="E131" s="47" t="s">
        <v>42</v>
      </c>
      <c r="F131" s="47" t="s">
        <v>56</v>
      </c>
      <c r="G131" s="46">
        <v>804398</v>
      </c>
      <c r="H131" s="18" t="s">
        <v>368</v>
      </c>
      <c r="I131" s="26" t="str">
        <f t="shared" si="15"/>
        <v>Igor Mineiro</v>
      </c>
      <c r="J131" s="26" t="str">
        <f t="shared" si="16"/>
        <v>4Pinheiro - MA14</v>
      </c>
      <c r="K131" s="27" t="str">
        <f>IFERROR(VLOOKUP(J131,Substituicoes!J:J,1,0),"SS")</f>
        <v>4Pinheiro - MA14</v>
      </c>
      <c r="L131" s="27" t="str">
        <f>IFERROR(VLOOKUP(J131,Substituicoes!K:K,1,0),"SS")</f>
        <v>SS</v>
      </c>
      <c r="M131" s="28" t="b">
        <f t="shared" si="17"/>
        <v>0</v>
      </c>
      <c r="N131" s="29">
        <f>IF(AND(K131=L131,LEFT(E131,1)="T"),VLOOKUP(A131,'JOGOS BASE'!A:E,4,0),IF(K131=J131,VLOOKUP(J131,Substituicoes!J:R,6,0),IF(L131=J131,VLOOKUP(Escalacao!J131,Substituicoes!K:R,7,0),0)))</f>
        <v>0</v>
      </c>
      <c r="O131" s="28">
        <f>IF(AND(K131=L131,LEFT(E131,1)="T"),VLOOKUP(A131,'JOGOS BASE'!A:E,5,0),IF(K131=J131,VLOOKUP(J131,Substituicoes!J:R,7,0),IF(L131=J131,VLOOKUP(Escalacao!J131,Substituicoes!K:R,8,0),0)))</f>
        <v>8</v>
      </c>
      <c r="P131" s="28">
        <f t="shared" si="18"/>
        <v>8</v>
      </c>
      <c r="Q131" s="28" t="str">
        <f t="shared" si="19"/>
        <v>414Pinheiro - MA</v>
      </c>
      <c r="R131" s="28" t="str">
        <f>VLOOKUP(A131,'JOGOS BASE'!A:H,8)</f>
        <v>15.01.2025 - Pinheiro - MA x Maranhão - MA</v>
      </c>
    </row>
    <row r="132" spans="1:18" ht="30.6">
      <c r="A132" s="15">
        <v>4</v>
      </c>
      <c r="B132" s="46">
        <v>15</v>
      </c>
      <c r="C132" s="45" t="s">
        <v>328</v>
      </c>
      <c r="D132" s="45" t="s">
        <v>329</v>
      </c>
      <c r="E132" s="47" t="s">
        <v>42</v>
      </c>
      <c r="F132" s="47" t="s">
        <v>56</v>
      </c>
      <c r="G132" s="46">
        <v>779893</v>
      </c>
      <c r="H132" s="18" t="s">
        <v>368</v>
      </c>
      <c r="I132" s="26" t="str">
        <f t="shared" si="15"/>
        <v>George</v>
      </c>
      <c r="J132" s="26" t="str">
        <f t="shared" si="16"/>
        <v>4Pinheiro - MA15</v>
      </c>
      <c r="K132" s="27" t="str">
        <f>IFERROR(VLOOKUP(J132,Substituicoes!J:J,1,0),"SS")</f>
        <v>SS</v>
      </c>
      <c r="L132" s="27" t="str">
        <f>IFERROR(VLOOKUP(J132,Substituicoes!K:K,1,0),"SS")</f>
        <v>SS</v>
      </c>
      <c r="M132" s="28" t="b">
        <f t="shared" si="17"/>
        <v>1</v>
      </c>
      <c r="N132" s="29">
        <f>IF(AND(K132=L132,LEFT(E132,1)="T"),VLOOKUP(A132,'JOGOS BASE'!A:E,4,0),IF(K132=J132,VLOOKUP(J132,Substituicoes!J:R,6,0),IF(L132=J132,VLOOKUP(Escalacao!J132,Substituicoes!K:R,7,0),0)))</f>
        <v>0</v>
      </c>
      <c r="O132" s="28">
        <f>IF(AND(K132=L132,LEFT(E132,1)="T"),VLOOKUP(A132,'JOGOS BASE'!A:E,5,0),IF(K132=J132,VLOOKUP(J132,Substituicoes!J:R,7,0),IF(L132=J132,VLOOKUP(Escalacao!J132,Substituicoes!K:R,8,0),0)))</f>
        <v>0</v>
      </c>
      <c r="P132" s="28">
        <f t="shared" si="18"/>
        <v>0</v>
      </c>
      <c r="Q132" s="28" t="str">
        <f t="shared" si="19"/>
        <v>415Pinheiro - MA</v>
      </c>
      <c r="R132" s="28" t="str">
        <f>VLOOKUP(A132,'JOGOS BASE'!A:H,8)</f>
        <v>15.01.2025 - Pinheiro - MA x Maranhão - MA</v>
      </c>
    </row>
    <row r="133" spans="1:18" ht="20.399999999999999">
      <c r="A133" s="15">
        <v>4</v>
      </c>
      <c r="B133" s="46">
        <v>16</v>
      </c>
      <c r="C133" s="45" t="s">
        <v>214</v>
      </c>
      <c r="D133" s="45" t="s">
        <v>330</v>
      </c>
      <c r="E133" s="47" t="s">
        <v>42</v>
      </c>
      <c r="F133" s="47" t="s">
        <v>24</v>
      </c>
      <c r="G133" s="46">
        <v>559235</v>
      </c>
      <c r="H133" s="18" t="s">
        <v>368</v>
      </c>
      <c r="I133" s="26" t="str">
        <f t="shared" si="15"/>
        <v>Jean</v>
      </c>
      <c r="J133" s="26" t="str">
        <f t="shared" si="16"/>
        <v>4Pinheiro - MA16</v>
      </c>
      <c r="K133" s="27" t="str">
        <f>IFERROR(VLOOKUP(J133,Substituicoes!J:J,1,0),"SS")</f>
        <v>SS</v>
      </c>
      <c r="L133" s="27" t="str">
        <f>IFERROR(VLOOKUP(J133,Substituicoes!K:K,1,0),"SS")</f>
        <v>SS</v>
      </c>
      <c r="M133" s="28" t="b">
        <f t="shared" si="17"/>
        <v>1</v>
      </c>
      <c r="N133" s="29">
        <f>IF(AND(K133=L133,LEFT(E133,1)="T"),VLOOKUP(A133,'JOGOS BASE'!A:E,4,0),IF(K133=J133,VLOOKUP(J133,Substituicoes!J:R,6,0),IF(L133=J133,VLOOKUP(Escalacao!J133,Substituicoes!K:R,7,0),0)))</f>
        <v>0</v>
      </c>
      <c r="O133" s="28">
        <f>IF(AND(K133=L133,LEFT(E133,1)="T"),VLOOKUP(A133,'JOGOS BASE'!A:E,5,0),IF(K133=J133,VLOOKUP(J133,Substituicoes!J:R,7,0),IF(L133=J133,VLOOKUP(Escalacao!J133,Substituicoes!K:R,8,0),0)))</f>
        <v>0</v>
      </c>
      <c r="P133" s="28">
        <f t="shared" si="18"/>
        <v>0</v>
      </c>
      <c r="Q133" s="28" t="str">
        <f t="shared" si="19"/>
        <v>416Pinheiro - MA</v>
      </c>
      <c r="R133" s="28" t="str">
        <f>VLOOKUP(A133,'JOGOS BASE'!A:H,8)</f>
        <v>15.01.2025 - Pinheiro - MA x Maranhão - MA</v>
      </c>
    </row>
    <row r="134" spans="1:18" ht="30.6">
      <c r="A134" s="15">
        <v>4</v>
      </c>
      <c r="B134" s="46">
        <v>17</v>
      </c>
      <c r="C134" s="45" t="s">
        <v>331</v>
      </c>
      <c r="D134" s="45" t="s">
        <v>332</v>
      </c>
      <c r="E134" s="47" t="s">
        <v>42</v>
      </c>
      <c r="F134" s="47" t="s">
        <v>24</v>
      </c>
      <c r="G134" s="46">
        <v>816868</v>
      </c>
      <c r="H134" s="18" t="s">
        <v>368</v>
      </c>
      <c r="I134" s="26" t="str">
        <f t="shared" si="15"/>
        <v>KAYKY</v>
      </c>
      <c r="J134" s="26" t="str">
        <f t="shared" si="16"/>
        <v>4Pinheiro - MA17</v>
      </c>
      <c r="K134" s="27" t="str">
        <f>IFERROR(VLOOKUP(J134,Substituicoes!J:J,1,0),"SS")</f>
        <v>4Pinheiro - MA17</v>
      </c>
      <c r="L134" s="27" t="str">
        <f>IFERROR(VLOOKUP(J134,Substituicoes!K:K,1,0),"SS")</f>
        <v>SS</v>
      </c>
      <c r="M134" s="28" t="b">
        <f t="shared" si="17"/>
        <v>0</v>
      </c>
      <c r="N134" s="29">
        <f>IF(AND(K134=L134,LEFT(E134,1)="T"),VLOOKUP(A134,'JOGOS BASE'!A:E,4,0),IF(K134=J134,VLOOKUP(J134,Substituicoes!J:R,6,0),IF(L134=J134,VLOOKUP(Escalacao!J134,Substituicoes!K:R,7,0),0)))</f>
        <v>0</v>
      </c>
      <c r="O134" s="28">
        <f>IF(AND(K134=L134,LEFT(E134,1)="T"),VLOOKUP(A134,'JOGOS BASE'!A:E,5,0),IF(K134=J134,VLOOKUP(J134,Substituicoes!J:R,7,0),IF(L134=J134,VLOOKUP(Escalacao!J134,Substituicoes!K:R,8,0),0)))</f>
        <v>8</v>
      </c>
      <c r="P134" s="28">
        <f t="shared" si="18"/>
        <v>8</v>
      </c>
      <c r="Q134" s="28" t="str">
        <f t="shared" si="19"/>
        <v>417Pinheiro - MA</v>
      </c>
      <c r="R134" s="28" t="str">
        <f>VLOOKUP(A134,'JOGOS BASE'!A:H,8)</f>
        <v>15.01.2025 - Pinheiro - MA x Maranhão - MA</v>
      </c>
    </row>
    <row r="135" spans="1:18" ht="30.6">
      <c r="A135" s="15">
        <v>4</v>
      </c>
      <c r="B135" s="46">
        <v>18</v>
      </c>
      <c r="C135" s="45" t="s">
        <v>333</v>
      </c>
      <c r="D135" s="45" t="s">
        <v>334</v>
      </c>
      <c r="E135" s="47" t="s">
        <v>42</v>
      </c>
      <c r="F135" s="47" t="s">
        <v>24</v>
      </c>
      <c r="G135" s="46">
        <v>710709</v>
      </c>
      <c r="H135" s="18" t="s">
        <v>368</v>
      </c>
      <c r="I135" s="26" t="str">
        <f t="shared" si="15"/>
        <v>BASTICO</v>
      </c>
      <c r="J135" s="26" t="str">
        <f t="shared" si="16"/>
        <v>4Pinheiro - MA18</v>
      </c>
      <c r="K135" s="27" t="str">
        <f>IFERROR(VLOOKUP(J135,Substituicoes!J:J,1,0),"SS")</f>
        <v>4Pinheiro - MA18</v>
      </c>
      <c r="L135" s="27" t="str">
        <f>IFERROR(VLOOKUP(J135,Substituicoes!K:K,1,0),"SS")</f>
        <v>SS</v>
      </c>
      <c r="M135" s="28" t="b">
        <f t="shared" si="17"/>
        <v>0</v>
      </c>
      <c r="N135" s="29">
        <f>IF(AND(K135=L135,LEFT(E135,1)="T"),VLOOKUP(A135,'JOGOS BASE'!A:E,4,0),IF(K135=J135,VLOOKUP(J135,Substituicoes!J:R,6,0),IF(L135=J135,VLOOKUP(Escalacao!J135,Substituicoes!K:R,7,0),0)))</f>
        <v>0</v>
      </c>
      <c r="O135" s="28">
        <f>IF(AND(K135=L135,LEFT(E135,1)="T"),VLOOKUP(A135,'JOGOS BASE'!A:E,5,0),IF(K135=J135,VLOOKUP(J135,Substituicoes!J:R,7,0),IF(L135=J135,VLOOKUP(Escalacao!J135,Substituicoes!K:R,8,0),0)))</f>
        <v>34</v>
      </c>
      <c r="P135" s="28">
        <f t="shared" si="18"/>
        <v>34</v>
      </c>
      <c r="Q135" s="28" t="str">
        <f t="shared" si="19"/>
        <v>418Pinheiro - MA</v>
      </c>
      <c r="R135" s="28" t="str">
        <f>VLOOKUP(A135,'JOGOS BASE'!A:H,8)</f>
        <v>15.01.2025 - Pinheiro - MA x Maranhão - MA</v>
      </c>
    </row>
    <row r="136" spans="1:18" ht="30.6">
      <c r="A136" s="15">
        <v>4</v>
      </c>
      <c r="B136" s="46">
        <v>19</v>
      </c>
      <c r="C136" s="45" t="s">
        <v>390</v>
      </c>
      <c r="D136" s="45" t="s">
        <v>391</v>
      </c>
      <c r="E136" s="47" t="s">
        <v>42</v>
      </c>
      <c r="F136" s="47" t="s">
        <v>24</v>
      </c>
      <c r="G136" s="46">
        <v>740175</v>
      </c>
      <c r="H136" s="18" t="s">
        <v>368</v>
      </c>
      <c r="I136" s="26" t="str">
        <f t="shared" si="15"/>
        <v>DANILO</v>
      </c>
      <c r="J136" s="26" t="str">
        <f t="shared" si="16"/>
        <v>4Pinheiro - MA19</v>
      </c>
      <c r="K136" s="27" t="str">
        <f>IFERROR(VLOOKUP(J136,Substituicoes!J:J,1,0),"SS")</f>
        <v>SS</v>
      </c>
      <c r="L136" s="27" t="str">
        <f>IFERROR(VLOOKUP(J136,Substituicoes!K:K,1,0),"SS")</f>
        <v>SS</v>
      </c>
      <c r="M136" s="28" t="b">
        <f t="shared" si="17"/>
        <v>1</v>
      </c>
      <c r="N136" s="29">
        <f>IF(AND(K136=L136,LEFT(E136,1)="T"),VLOOKUP(A136,'JOGOS BASE'!A:E,4,0),IF(K136=J136,VLOOKUP(J136,Substituicoes!J:R,6,0),IF(L136=J136,VLOOKUP(Escalacao!J136,Substituicoes!K:R,7,0),0)))</f>
        <v>0</v>
      </c>
      <c r="O136" s="28">
        <f>IF(AND(K136=L136,LEFT(E136,1)="T"),VLOOKUP(A136,'JOGOS BASE'!A:E,5,0),IF(K136=J136,VLOOKUP(J136,Substituicoes!J:R,7,0),IF(L136=J136,VLOOKUP(Escalacao!J136,Substituicoes!K:R,8,0),0)))</f>
        <v>0</v>
      </c>
      <c r="P136" s="28">
        <f t="shared" si="18"/>
        <v>0</v>
      </c>
      <c r="Q136" s="28" t="str">
        <f t="shared" si="19"/>
        <v>419Pinheiro - MA</v>
      </c>
      <c r="R136" s="28" t="str">
        <f>VLOOKUP(A136,'JOGOS BASE'!A:H,8)</f>
        <v>15.01.2025 - Pinheiro - MA x Maranhão - MA</v>
      </c>
    </row>
    <row r="137" spans="1:18" ht="30.6">
      <c r="A137" s="15">
        <v>4</v>
      </c>
      <c r="B137" s="46">
        <v>20</v>
      </c>
      <c r="C137" s="45" t="s">
        <v>392</v>
      </c>
      <c r="D137" s="45" t="s">
        <v>393</v>
      </c>
      <c r="E137" s="47" t="s">
        <v>42</v>
      </c>
      <c r="F137" s="47" t="s">
        <v>56</v>
      </c>
      <c r="G137" s="46">
        <v>894254</v>
      </c>
      <c r="H137" s="18" t="s">
        <v>368</v>
      </c>
      <c r="I137" s="26" t="str">
        <f t="shared" si="15"/>
        <v>ANDERSON</v>
      </c>
      <c r="J137" s="26" t="str">
        <f t="shared" si="16"/>
        <v>4Pinheiro - MA20</v>
      </c>
      <c r="K137" s="27" t="str">
        <f>IFERROR(VLOOKUP(J137,Substituicoes!J:J,1,0),"SS")</f>
        <v>SS</v>
      </c>
      <c r="L137" s="27" t="str">
        <f>IFERROR(VLOOKUP(J137,Substituicoes!K:K,1,0),"SS")</f>
        <v>SS</v>
      </c>
      <c r="M137" s="28" t="b">
        <f t="shared" si="17"/>
        <v>1</v>
      </c>
      <c r="N137" s="29">
        <f>IF(AND(K137=L137,LEFT(E137,1)="T"),VLOOKUP(A137,'JOGOS BASE'!A:E,4,0),IF(K137=J137,VLOOKUP(J137,Substituicoes!J:R,6,0),IF(L137=J137,VLOOKUP(Escalacao!J137,Substituicoes!K:R,7,0),0)))</f>
        <v>0</v>
      </c>
      <c r="O137" s="28">
        <f>IF(AND(K137=L137,LEFT(E137,1)="T"),VLOOKUP(A137,'JOGOS BASE'!A:E,5,0),IF(K137=J137,VLOOKUP(J137,Substituicoes!J:R,7,0),IF(L137=J137,VLOOKUP(Escalacao!J137,Substituicoes!K:R,8,0),0)))</f>
        <v>0</v>
      </c>
      <c r="P137" s="28">
        <f t="shared" si="18"/>
        <v>0</v>
      </c>
      <c r="Q137" s="28" t="str">
        <f t="shared" si="19"/>
        <v>420Pinheiro - MA</v>
      </c>
      <c r="R137" s="28" t="str">
        <f>VLOOKUP(A137,'JOGOS BASE'!A:H,8)</f>
        <v>15.01.2025 - Pinheiro - MA x Maranhão - MA</v>
      </c>
    </row>
    <row r="138" spans="1:18" ht="20.399999999999999">
      <c r="A138" s="15">
        <v>4</v>
      </c>
      <c r="B138" s="46">
        <v>1</v>
      </c>
      <c r="C138" s="45" t="s">
        <v>214</v>
      </c>
      <c r="D138" s="45" t="s">
        <v>215</v>
      </c>
      <c r="E138" s="47" t="s">
        <v>23</v>
      </c>
      <c r="F138" s="47" t="s">
        <v>24</v>
      </c>
      <c r="G138" s="46">
        <v>343441</v>
      </c>
      <c r="H138" s="18" t="s">
        <v>260</v>
      </c>
      <c r="I138" s="26" t="str">
        <f t="shared" si="15"/>
        <v>Jean</v>
      </c>
      <c r="J138" s="26" t="str">
        <f t="shared" si="16"/>
        <v>4Maranhão - MA1</v>
      </c>
      <c r="K138" s="27" t="str">
        <f>IFERROR(VLOOKUP(J138,Substituicoes!J:J,1,0),"SS")</f>
        <v>SS</v>
      </c>
      <c r="L138" s="27" t="str">
        <f>IFERROR(VLOOKUP(J138,Substituicoes!K:K,1,0),"SS")</f>
        <v>SS</v>
      </c>
      <c r="M138" s="28" t="b">
        <f t="shared" si="17"/>
        <v>1</v>
      </c>
      <c r="N138" s="29">
        <f>IF(AND(K138=L138,LEFT(E138,1)="T"),VLOOKUP(A138,'JOGOS BASE'!A:E,4,0),IF(K138=J138,VLOOKUP(J138,Substituicoes!J:R,6,0),IF(L138=J138,VLOOKUP(Escalacao!J138,Substituicoes!K:R,7,0),0)))</f>
        <v>49</v>
      </c>
      <c r="O138" s="28">
        <f>IF(AND(K138=L138,LEFT(E138,1)="T"),VLOOKUP(A138,'JOGOS BASE'!A:E,5,0),IF(K138=J138,VLOOKUP(J138,Substituicoes!J:R,7,0),IF(L138=J138,VLOOKUP(Escalacao!J138,Substituicoes!K:R,8,0),0)))</f>
        <v>51</v>
      </c>
      <c r="P138" s="28">
        <f t="shared" si="18"/>
        <v>100</v>
      </c>
      <c r="Q138" s="28" t="str">
        <f t="shared" si="19"/>
        <v>41Maranhão - MA</v>
      </c>
      <c r="R138" s="28" t="str">
        <f>VLOOKUP(A138,'JOGOS BASE'!A:H,8)</f>
        <v>15.01.2025 - Pinheiro - MA x Maranhão - MA</v>
      </c>
    </row>
    <row r="139" spans="1:18" ht="30.6">
      <c r="A139" s="15">
        <v>4</v>
      </c>
      <c r="B139" s="46">
        <v>2</v>
      </c>
      <c r="C139" s="45" t="s">
        <v>216</v>
      </c>
      <c r="D139" s="45" t="s">
        <v>217</v>
      </c>
      <c r="E139" s="47" t="s">
        <v>26</v>
      </c>
      <c r="F139" s="47" t="s">
        <v>24</v>
      </c>
      <c r="G139" s="46">
        <v>359014</v>
      </c>
      <c r="H139" s="18" t="s">
        <v>260</v>
      </c>
      <c r="I139" s="26" t="str">
        <f t="shared" si="15"/>
        <v>Franklin</v>
      </c>
      <c r="J139" s="26" t="str">
        <f t="shared" si="16"/>
        <v>4Maranhão - MA2</v>
      </c>
      <c r="K139" s="27" t="str">
        <f>IFERROR(VLOOKUP(J139,Substituicoes!J:J,1,0),"SS")</f>
        <v>SS</v>
      </c>
      <c r="L139" s="27" t="str">
        <f>IFERROR(VLOOKUP(J139,Substituicoes!K:K,1,0),"SS")</f>
        <v>SS</v>
      </c>
      <c r="M139" s="28" t="b">
        <f t="shared" si="17"/>
        <v>1</v>
      </c>
      <c r="N139" s="29">
        <f>IF(AND(K139=L139,LEFT(E139,1)="T"),VLOOKUP(A139,'JOGOS BASE'!A:E,4,0),IF(K139=J139,VLOOKUP(J139,Substituicoes!J:R,6,0),IF(L139=J139,VLOOKUP(Escalacao!J139,Substituicoes!K:R,7,0),0)))</f>
        <v>49</v>
      </c>
      <c r="O139" s="28">
        <f>IF(AND(K139=L139,LEFT(E139,1)="T"),VLOOKUP(A139,'JOGOS BASE'!A:E,5,0),IF(K139=J139,VLOOKUP(J139,Substituicoes!J:R,7,0),IF(L139=J139,VLOOKUP(Escalacao!J139,Substituicoes!K:R,8,0),0)))</f>
        <v>51</v>
      </c>
      <c r="P139" s="28">
        <f t="shared" si="18"/>
        <v>100</v>
      </c>
      <c r="Q139" s="28" t="str">
        <f t="shared" si="19"/>
        <v>42Maranhão - MA</v>
      </c>
      <c r="R139" s="28" t="str">
        <f>VLOOKUP(A139,'JOGOS BASE'!A:H,8)</f>
        <v>15.01.2025 - Pinheiro - MA x Maranhão - MA</v>
      </c>
    </row>
    <row r="140" spans="1:18" ht="30.6">
      <c r="A140" s="15">
        <v>4</v>
      </c>
      <c r="B140" s="46">
        <v>3</v>
      </c>
      <c r="C140" s="45" t="s">
        <v>218</v>
      </c>
      <c r="D140" s="45" t="s">
        <v>219</v>
      </c>
      <c r="E140" s="47" t="s">
        <v>26</v>
      </c>
      <c r="F140" s="47" t="s">
        <v>24</v>
      </c>
      <c r="G140" s="46">
        <v>401846</v>
      </c>
      <c r="H140" s="18" t="s">
        <v>260</v>
      </c>
      <c r="I140" s="26" t="str">
        <f t="shared" si="15"/>
        <v>Luiz Fernando</v>
      </c>
      <c r="J140" s="26" t="str">
        <f t="shared" si="16"/>
        <v>4Maranhão - MA3</v>
      </c>
      <c r="K140" s="27" t="str">
        <f>IFERROR(VLOOKUP(J140,Substituicoes!J:J,1,0),"SS")</f>
        <v>SS</v>
      </c>
      <c r="L140" s="27" t="str">
        <f>IFERROR(VLOOKUP(J140,Substituicoes!K:K,1,0),"SS")</f>
        <v>SS</v>
      </c>
      <c r="M140" s="28" t="b">
        <f t="shared" si="17"/>
        <v>1</v>
      </c>
      <c r="N140" s="29">
        <f>IF(AND(K140=L140,LEFT(E140,1)="T"),VLOOKUP(A140,'JOGOS BASE'!A:E,4,0),IF(K140=J140,VLOOKUP(J140,Substituicoes!J:R,6,0),IF(L140=J140,VLOOKUP(Escalacao!J140,Substituicoes!K:R,7,0),0)))</f>
        <v>49</v>
      </c>
      <c r="O140" s="28">
        <f>IF(AND(K140=L140,LEFT(E140,1)="T"),VLOOKUP(A140,'JOGOS BASE'!A:E,5,0),IF(K140=J140,VLOOKUP(J140,Substituicoes!J:R,7,0),IF(L140=J140,VLOOKUP(Escalacao!J140,Substituicoes!K:R,8,0),0)))</f>
        <v>51</v>
      </c>
      <c r="P140" s="28">
        <f t="shared" si="18"/>
        <v>100</v>
      </c>
      <c r="Q140" s="28" t="str">
        <f t="shared" si="19"/>
        <v>43Maranhão - MA</v>
      </c>
      <c r="R140" s="28" t="str">
        <f>VLOOKUP(A140,'JOGOS BASE'!A:H,8)</f>
        <v>15.01.2025 - Pinheiro - MA x Maranhão - MA</v>
      </c>
    </row>
    <row r="141" spans="1:18" ht="30.6">
      <c r="A141" s="15">
        <v>4</v>
      </c>
      <c r="B141" s="46">
        <v>4</v>
      </c>
      <c r="C141" s="45" t="s">
        <v>220</v>
      </c>
      <c r="D141" s="45" t="s">
        <v>221</v>
      </c>
      <c r="E141" s="47" t="s">
        <v>26</v>
      </c>
      <c r="F141" s="47" t="s">
        <v>24</v>
      </c>
      <c r="G141" s="46">
        <v>465714</v>
      </c>
      <c r="H141" s="18" t="s">
        <v>260</v>
      </c>
      <c r="I141" s="26" t="str">
        <f t="shared" si="15"/>
        <v>Maicon</v>
      </c>
      <c r="J141" s="26" t="str">
        <f t="shared" si="16"/>
        <v>4Maranhão - MA4</v>
      </c>
      <c r="K141" s="27" t="str">
        <f>IFERROR(VLOOKUP(J141,Substituicoes!J:J,1,0),"SS")</f>
        <v>SS</v>
      </c>
      <c r="L141" s="27" t="str">
        <f>IFERROR(VLOOKUP(J141,Substituicoes!K:K,1,0),"SS")</f>
        <v>4Maranhão - MA4</v>
      </c>
      <c r="M141" s="28" t="b">
        <f t="shared" si="17"/>
        <v>0</v>
      </c>
      <c r="N141" s="29">
        <f>IF(AND(K141=L141,LEFT(E141,1)="T"),VLOOKUP(A141,'JOGOS BASE'!A:E,4,0),IF(K141=J141,VLOOKUP(J141,Substituicoes!J:R,6,0),IF(L141=J141,VLOOKUP(Escalacao!J141,Substituicoes!K:R,7,0),0)))</f>
        <v>49</v>
      </c>
      <c r="O141" s="28">
        <f>IF(AND(K141=L141,LEFT(E141,1)="T"),VLOOKUP(A141,'JOGOS BASE'!A:E,5,0),IF(K141=J141,VLOOKUP(J141,Substituicoes!J:R,7,0),IF(L141=J141,VLOOKUP(Escalacao!J141,Substituicoes!K:R,8,0),0)))</f>
        <v>24</v>
      </c>
      <c r="P141" s="28">
        <f t="shared" si="18"/>
        <v>73</v>
      </c>
      <c r="Q141" s="28" t="str">
        <f t="shared" si="19"/>
        <v>44Maranhão - MA</v>
      </c>
      <c r="R141" s="28" t="str">
        <f>VLOOKUP(A141,'JOGOS BASE'!A:H,8)</f>
        <v>15.01.2025 - Pinheiro - MA x Maranhão - MA</v>
      </c>
    </row>
    <row r="142" spans="1:18" ht="30.6">
      <c r="A142" s="15">
        <v>4</v>
      </c>
      <c r="B142" s="46">
        <v>5</v>
      </c>
      <c r="C142" s="45" t="s">
        <v>248</v>
      </c>
      <c r="D142" s="45" t="s">
        <v>249</v>
      </c>
      <c r="E142" s="47" t="s">
        <v>26</v>
      </c>
      <c r="F142" s="47" t="s">
        <v>24</v>
      </c>
      <c r="G142" s="46">
        <v>747375</v>
      </c>
      <c r="H142" s="18" t="s">
        <v>260</v>
      </c>
      <c r="I142" s="26" t="str">
        <f t="shared" si="15"/>
        <v>MARCOS</v>
      </c>
      <c r="J142" s="26" t="str">
        <f t="shared" si="16"/>
        <v>4Maranhão - MA5</v>
      </c>
      <c r="K142" s="27" t="str">
        <f>IFERROR(VLOOKUP(J142,Substituicoes!J:J,1,0),"SS")</f>
        <v>SS</v>
      </c>
      <c r="L142" s="27" t="str">
        <f>IFERROR(VLOOKUP(J142,Substituicoes!K:K,1,0),"SS")</f>
        <v>SS</v>
      </c>
      <c r="M142" s="28" t="b">
        <f t="shared" si="17"/>
        <v>1</v>
      </c>
      <c r="N142" s="29">
        <f>IF(AND(K142=L142,LEFT(E142,1)="T"),VLOOKUP(A142,'JOGOS BASE'!A:E,4,0),IF(K142=J142,VLOOKUP(J142,Substituicoes!J:R,6,0),IF(L142=J142,VLOOKUP(Escalacao!J142,Substituicoes!K:R,7,0),0)))</f>
        <v>49</v>
      </c>
      <c r="O142" s="28">
        <f>IF(AND(K142=L142,LEFT(E142,1)="T"),VLOOKUP(A142,'JOGOS BASE'!A:E,5,0),IF(K142=J142,VLOOKUP(J142,Substituicoes!J:R,7,0),IF(L142=J142,VLOOKUP(Escalacao!J142,Substituicoes!K:R,8,0),0)))</f>
        <v>51</v>
      </c>
      <c r="P142" s="28">
        <f t="shared" si="18"/>
        <v>100</v>
      </c>
      <c r="Q142" s="28" t="str">
        <f t="shared" si="19"/>
        <v>45Maranhão - MA</v>
      </c>
      <c r="R142" s="28" t="str">
        <f>VLOOKUP(A142,'JOGOS BASE'!A:H,8)</f>
        <v>15.01.2025 - Pinheiro - MA x Maranhão - MA</v>
      </c>
    </row>
    <row r="143" spans="1:18" ht="30.6">
      <c r="A143" s="15">
        <v>4</v>
      </c>
      <c r="B143" s="46">
        <v>6</v>
      </c>
      <c r="C143" s="45" t="s">
        <v>224</v>
      </c>
      <c r="D143" s="45" t="s">
        <v>225</v>
      </c>
      <c r="E143" s="47" t="s">
        <v>26</v>
      </c>
      <c r="F143" s="47" t="s">
        <v>24</v>
      </c>
      <c r="G143" s="46">
        <v>414464</v>
      </c>
      <c r="H143" s="18" t="s">
        <v>260</v>
      </c>
      <c r="I143" s="26" t="str">
        <f t="shared" si="15"/>
        <v>Andre</v>
      </c>
      <c r="J143" s="26" t="str">
        <f t="shared" si="16"/>
        <v>4Maranhão - MA6</v>
      </c>
      <c r="K143" s="27" t="str">
        <f>IFERROR(VLOOKUP(J143,Substituicoes!J:J,1,0),"SS")</f>
        <v>SS</v>
      </c>
      <c r="L143" s="27" t="str">
        <f>IFERROR(VLOOKUP(J143,Substituicoes!K:K,1,0),"SS")</f>
        <v>SS</v>
      </c>
      <c r="M143" s="28" t="b">
        <f t="shared" si="17"/>
        <v>1</v>
      </c>
      <c r="N143" s="29">
        <f>IF(AND(K143=L143,LEFT(E143,1)="T"),VLOOKUP(A143,'JOGOS BASE'!A:E,4,0),IF(K143=J143,VLOOKUP(J143,Substituicoes!J:R,6,0),IF(L143=J143,VLOOKUP(Escalacao!J143,Substituicoes!K:R,7,0),0)))</f>
        <v>49</v>
      </c>
      <c r="O143" s="28">
        <f>IF(AND(K143=L143,LEFT(E143,1)="T"),VLOOKUP(A143,'JOGOS BASE'!A:E,5,0),IF(K143=J143,VLOOKUP(J143,Substituicoes!J:R,7,0),IF(L143=J143,VLOOKUP(Escalacao!J143,Substituicoes!K:R,8,0),0)))</f>
        <v>51</v>
      </c>
      <c r="P143" s="28">
        <f t="shared" si="18"/>
        <v>100</v>
      </c>
      <c r="Q143" s="28" t="str">
        <f t="shared" si="19"/>
        <v>46Maranhão - MA</v>
      </c>
      <c r="R143" s="28" t="str">
        <f>VLOOKUP(A143,'JOGOS BASE'!A:H,8)</f>
        <v>15.01.2025 - Pinheiro - MA x Maranhão - MA</v>
      </c>
    </row>
    <row r="144" spans="1:18" ht="30.6">
      <c r="A144" s="15">
        <v>4</v>
      </c>
      <c r="B144" s="46">
        <v>8</v>
      </c>
      <c r="C144" s="45" t="s">
        <v>250</v>
      </c>
      <c r="D144" s="45" t="s">
        <v>251</v>
      </c>
      <c r="E144" s="47" t="s">
        <v>26</v>
      </c>
      <c r="F144" s="47" t="s">
        <v>24</v>
      </c>
      <c r="G144" s="46">
        <v>629226</v>
      </c>
      <c r="H144" s="18" t="s">
        <v>260</v>
      </c>
      <c r="I144" s="26" t="str">
        <f t="shared" si="15"/>
        <v>LUCAS</v>
      </c>
      <c r="J144" s="26" t="str">
        <f t="shared" si="16"/>
        <v>4Maranhão - MA8</v>
      </c>
      <c r="K144" s="27" t="str">
        <f>IFERROR(VLOOKUP(J144,Substituicoes!J:J,1,0),"SS")</f>
        <v>SS</v>
      </c>
      <c r="L144" s="27" t="str">
        <f>IFERROR(VLOOKUP(J144,Substituicoes!K:K,1,0),"SS")</f>
        <v>4Maranhão - MA8</v>
      </c>
      <c r="M144" s="28" t="b">
        <f t="shared" si="17"/>
        <v>0</v>
      </c>
      <c r="N144" s="29">
        <f>IF(AND(K144=L144,LEFT(E144,1)="T"),VLOOKUP(A144,'JOGOS BASE'!A:E,4,0),IF(K144=J144,VLOOKUP(J144,Substituicoes!J:R,6,0),IF(L144=J144,VLOOKUP(Escalacao!J144,Substituicoes!K:R,7,0),0)))</f>
        <v>49</v>
      </c>
      <c r="O144" s="28">
        <f>IF(AND(K144=L144,LEFT(E144,1)="T"),VLOOKUP(A144,'JOGOS BASE'!A:E,5,0),IF(K144=J144,VLOOKUP(J144,Substituicoes!J:R,7,0),IF(L144=J144,VLOOKUP(Escalacao!J144,Substituicoes!K:R,8,0),0)))</f>
        <v>17</v>
      </c>
      <c r="P144" s="28">
        <f t="shared" si="18"/>
        <v>66</v>
      </c>
      <c r="Q144" s="28" t="str">
        <f t="shared" si="19"/>
        <v>48Maranhão - MA</v>
      </c>
      <c r="R144" s="28" t="str">
        <f>VLOOKUP(A144,'JOGOS BASE'!A:H,8)</f>
        <v>15.01.2025 - Pinheiro - MA x Maranhão - MA</v>
      </c>
    </row>
    <row r="145" spans="1:18" ht="30.6">
      <c r="A145" s="15">
        <v>4</v>
      </c>
      <c r="B145" s="46">
        <v>9</v>
      </c>
      <c r="C145" s="45" t="s">
        <v>228</v>
      </c>
      <c r="D145" s="45" t="s">
        <v>229</v>
      </c>
      <c r="E145" s="47" t="s">
        <v>26</v>
      </c>
      <c r="F145" s="47" t="s">
        <v>24</v>
      </c>
      <c r="G145" s="46">
        <v>610235</v>
      </c>
      <c r="H145" s="18" t="s">
        <v>260</v>
      </c>
      <c r="I145" s="26" t="str">
        <f t="shared" si="15"/>
        <v>loro</v>
      </c>
      <c r="J145" s="26" t="str">
        <f t="shared" si="16"/>
        <v>4Maranhão - MA9</v>
      </c>
      <c r="K145" s="27" t="str">
        <f>IFERROR(VLOOKUP(J145,Substituicoes!J:J,1,0),"SS")</f>
        <v>SS</v>
      </c>
      <c r="L145" s="27" t="str">
        <f>IFERROR(VLOOKUP(J145,Substituicoes!K:K,1,0),"SS")</f>
        <v>SS</v>
      </c>
      <c r="M145" s="28" t="b">
        <f t="shared" si="17"/>
        <v>1</v>
      </c>
      <c r="N145" s="29">
        <f>IF(AND(K145=L145,LEFT(E145,1)="T"),VLOOKUP(A145,'JOGOS BASE'!A:E,4,0),IF(K145=J145,VLOOKUP(J145,Substituicoes!J:R,6,0),IF(L145=J145,VLOOKUP(Escalacao!J145,Substituicoes!K:R,7,0),0)))</f>
        <v>49</v>
      </c>
      <c r="O145" s="28">
        <f>IF(AND(K145=L145,LEFT(E145,1)="T"),VLOOKUP(A145,'JOGOS BASE'!A:E,5,0),IF(K145=J145,VLOOKUP(J145,Substituicoes!J:R,7,0),IF(L145=J145,VLOOKUP(Escalacao!J145,Substituicoes!K:R,8,0),0)))</f>
        <v>51</v>
      </c>
      <c r="P145" s="28">
        <f t="shared" si="18"/>
        <v>100</v>
      </c>
      <c r="Q145" s="28" t="str">
        <f t="shared" si="19"/>
        <v>49Maranhão - MA</v>
      </c>
      <c r="R145" s="28" t="str">
        <f>VLOOKUP(A145,'JOGOS BASE'!A:H,8)</f>
        <v>15.01.2025 - Pinheiro - MA x Maranhão - MA</v>
      </c>
    </row>
    <row r="146" spans="1:18" ht="30.6">
      <c r="A146" s="15">
        <v>4</v>
      </c>
      <c r="B146" s="46">
        <v>10</v>
      </c>
      <c r="C146" s="45" t="s">
        <v>252</v>
      </c>
      <c r="D146" s="45" t="s">
        <v>253</v>
      </c>
      <c r="E146" s="47" t="s">
        <v>26</v>
      </c>
      <c r="F146" s="47" t="s">
        <v>24</v>
      </c>
      <c r="G146" s="46">
        <v>543877</v>
      </c>
      <c r="H146" s="18" t="s">
        <v>260</v>
      </c>
      <c r="I146" s="26" t="str">
        <f t="shared" si="15"/>
        <v>Emerson Fr ...</v>
      </c>
      <c r="J146" s="26" t="str">
        <f t="shared" si="16"/>
        <v>4Maranhão - MA10</v>
      </c>
      <c r="K146" s="27" t="str">
        <f>IFERROR(VLOOKUP(J146,Substituicoes!J:J,1,0),"SS")</f>
        <v>SS</v>
      </c>
      <c r="L146" s="27" t="str">
        <f>IFERROR(VLOOKUP(J146,Substituicoes!K:K,1,0),"SS")</f>
        <v>4Maranhão - MA10</v>
      </c>
      <c r="M146" s="28" t="b">
        <f t="shared" si="17"/>
        <v>0</v>
      </c>
      <c r="N146" s="29">
        <f>IF(AND(K146=L146,LEFT(E146,1)="T"),VLOOKUP(A146,'JOGOS BASE'!A:E,4,0),IF(K146=J146,VLOOKUP(J146,Substituicoes!J:R,6,0),IF(L146=J146,VLOOKUP(Escalacao!J146,Substituicoes!K:R,7,0),0)))</f>
        <v>49</v>
      </c>
      <c r="O146" s="28">
        <f>IF(AND(K146=L146,LEFT(E146,1)="T"),VLOOKUP(A146,'JOGOS BASE'!A:E,5,0),IF(K146=J146,VLOOKUP(J146,Substituicoes!J:R,7,0),IF(L146=J146,VLOOKUP(Escalacao!J146,Substituicoes!K:R,8,0),0)))</f>
        <v>41</v>
      </c>
      <c r="P146" s="28">
        <f t="shared" si="18"/>
        <v>90</v>
      </c>
      <c r="Q146" s="28" t="str">
        <f t="shared" si="19"/>
        <v>410Maranhão - MA</v>
      </c>
      <c r="R146" s="28" t="str">
        <f>VLOOKUP(A146,'JOGOS BASE'!A:H,8)</f>
        <v>15.01.2025 - Pinheiro - MA x Maranhão - MA</v>
      </c>
    </row>
    <row r="147" spans="1:18" ht="30.6">
      <c r="A147" s="15">
        <v>4</v>
      </c>
      <c r="B147" s="46">
        <v>11</v>
      </c>
      <c r="C147" s="45" t="s">
        <v>232</v>
      </c>
      <c r="D147" s="45" t="s">
        <v>233</v>
      </c>
      <c r="E147" s="47" t="s">
        <v>26</v>
      </c>
      <c r="F147" s="47" t="s">
        <v>24</v>
      </c>
      <c r="G147" s="46">
        <v>618785</v>
      </c>
      <c r="H147" s="18" t="s">
        <v>260</v>
      </c>
      <c r="I147" s="26" t="str">
        <f t="shared" si="15"/>
        <v>Ryan</v>
      </c>
      <c r="J147" s="26" t="str">
        <f t="shared" si="16"/>
        <v>4Maranhão - MA11</v>
      </c>
      <c r="K147" s="27" t="str">
        <f>IFERROR(VLOOKUP(J147,Substituicoes!J:J,1,0),"SS")</f>
        <v>SS</v>
      </c>
      <c r="L147" s="27" t="str">
        <f>IFERROR(VLOOKUP(J147,Substituicoes!K:K,1,0),"SS")</f>
        <v>4Maranhão - MA11</v>
      </c>
      <c r="M147" s="28" t="b">
        <f t="shared" si="17"/>
        <v>0</v>
      </c>
      <c r="N147" s="29">
        <f>IF(AND(K147=L147,LEFT(E147,1)="T"),VLOOKUP(A147,'JOGOS BASE'!A:E,4,0),IF(K147=J147,VLOOKUP(J147,Substituicoes!J:R,6,0),IF(L147=J147,VLOOKUP(Escalacao!J147,Substituicoes!K:R,7,0),0)))</f>
        <v>49</v>
      </c>
      <c r="O147" s="28">
        <f>IF(AND(K147=L147,LEFT(E147,1)="T"),VLOOKUP(A147,'JOGOS BASE'!A:E,5,0),IF(K147=J147,VLOOKUP(J147,Substituicoes!J:R,7,0),IF(L147=J147,VLOOKUP(Escalacao!J147,Substituicoes!K:R,8,0),0)))</f>
        <v>17</v>
      </c>
      <c r="P147" s="28">
        <f t="shared" si="18"/>
        <v>66</v>
      </c>
      <c r="Q147" s="28" t="str">
        <f t="shared" si="19"/>
        <v>411Maranhão - MA</v>
      </c>
      <c r="R147" s="28" t="str">
        <f>VLOOKUP(A147,'JOGOS BASE'!A:H,8)</f>
        <v>15.01.2025 - Pinheiro - MA x Maranhão - MA</v>
      </c>
    </row>
    <row r="148" spans="1:18" ht="30.6">
      <c r="A148" s="15">
        <v>4</v>
      </c>
      <c r="B148" s="46">
        <v>20</v>
      </c>
      <c r="C148" s="45" t="s">
        <v>254</v>
      </c>
      <c r="D148" s="45" t="s">
        <v>255</v>
      </c>
      <c r="E148" s="47" t="s">
        <v>26</v>
      </c>
      <c r="F148" s="47" t="s">
        <v>24</v>
      </c>
      <c r="G148" s="46">
        <v>557892</v>
      </c>
      <c r="H148" s="18" t="s">
        <v>260</v>
      </c>
      <c r="I148" s="26" t="str">
        <f t="shared" si="15"/>
        <v>Mikeias</v>
      </c>
      <c r="J148" s="26" t="str">
        <f t="shared" si="16"/>
        <v>4Maranhão - MA20</v>
      </c>
      <c r="K148" s="27" t="str">
        <f>IFERROR(VLOOKUP(J148,Substituicoes!J:J,1,0),"SS")</f>
        <v>SS</v>
      </c>
      <c r="L148" s="27" t="str">
        <f>IFERROR(VLOOKUP(J148,Substituicoes!K:K,1,0),"SS")</f>
        <v>4Maranhão - MA20</v>
      </c>
      <c r="M148" s="28" t="b">
        <f t="shared" si="17"/>
        <v>0</v>
      </c>
      <c r="N148" s="29">
        <f>IF(AND(K148=L148,LEFT(E148,1)="T"),VLOOKUP(A148,'JOGOS BASE'!A:E,4,0),IF(K148=J148,VLOOKUP(J148,Substituicoes!J:R,6,0),IF(L148=J148,VLOOKUP(Escalacao!J148,Substituicoes!K:R,7,0),0)))</f>
        <v>49</v>
      </c>
      <c r="O148" s="28">
        <f>IF(AND(K148=L148,LEFT(E148,1)="T"),VLOOKUP(A148,'JOGOS BASE'!A:E,5,0),IF(K148=J148,VLOOKUP(J148,Substituicoes!J:R,7,0),IF(L148=J148,VLOOKUP(Escalacao!J148,Substituicoes!K:R,8,0),0)))</f>
        <v>17</v>
      </c>
      <c r="P148" s="28">
        <f t="shared" si="18"/>
        <v>66</v>
      </c>
      <c r="Q148" s="28" t="str">
        <f t="shared" si="19"/>
        <v>420Maranhão - MA</v>
      </c>
      <c r="R148" s="28" t="str">
        <f>VLOOKUP(A148,'JOGOS BASE'!A:H,8)</f>
        <v>15.01.2025 - Pinheiro - MA x Maranhão - MA</v>
      </c>
    </row>
    <row r="149" spans="1:18" ht="30.6">
      <c r="A149" s="15">
        <v>4</v>
      </c>
      <c r="B149" s="46">
        <v>12</v>
      </c>
      <c r="C149" s="45" t="s">
        <v>236</v>
      </c>
      <c r="D149" s="45" t="s">
        <v>237</v>
      </c>
      <c r="E149" s="47" t="s">
        <v>40</v>
      </c>
      <c r="F149" s="47" t="s">
        <v>24</v>
      </c>
      <c r="G149" s="46">
        <v>565480</v>
      </c>
      <c r="H149" s="18" t="s">
        <v>260</v>
      </c>
      <c r="I149" s="26" t="str">
        <f t="shared" si="15"/>
        <v>Victor</v>
      </c>
      <c r="J149" s="26" t="str">
        <f t="shared" si="16"/>
        <v>4Maranhão - MA12</v>
      </c>
      <c r="K149" s="27" t="str">
        <f>IFERROR(VLOOKUP(J149,Substituicoes!J:J,1,0),"SS")</f>
        <v>SS</v>
      </c>
      <c r="L149" s="27" t="str">
        <f>IFERROR(VLOOKUP(J149,Substituicoes!K:K,1,0),"SS")</f>
        <v>SS</v>
      </c>
      <c r="M149" s="28" t="b">
        <f t="shared" si="17"/>
        <v>1</v>
      </c>
      <c r="N149" s="29">
        <f>IF(AND(K149=L149,LEFT(E149,1)="T"),VLOOKUP(A149,'JOGOS BASE'!A:E,4,0),IF(K149=J149,VLOOKUP(J149,Substituicoes!J:R,6,0),IF(L149=J149,VLOOKUP(Escalacao!J149,Substituicoes!K:R,7,0),0)))</f>
        <v>0</v>
      </c>
      <c r="O149" s="28">
        <f>IF(AND(K149=L149,LEFT(E149,1)="T"),VLOOKUP(A149,'JOGOS BASE'!A:E,5,0),IF(K149=J149,VLOOKUP(J149,Substituicoes!J:R,7,0),IF(L149=J149,VLOOKUP(Escalacao!J149,Substituicoes!K:R,8,0),0)))</f>
        <v>0</v>
      </c>
      <c r="P149" s="28">
        <f t="shared" si="18"/>
        <v>0</v>
      </c>
      <c r="Q149" s="28" t="str">
        <f t="shared" si="19"/>
        <v>412Maranhão - MA</v>
      </c>
      <c r="R149" s="28" t="str">
        <f>VLOOKUP(A149,'JOGOS BASE'!A:H,8)</f>
        <v>15.01.2025 - Pinheiro - MA x Maranhão - MA</v>
      </c>
    </row>
    <row r="150" spans="1:18" ht="20.399999999999999">
      <c r="A150" s="15">
        <v>4</v>
      </c>
      <c r="B150" s="46">
        <v>7</v>
      </c>
      <c r="C150" s="45" t="s">
        <v>238</v>
      </c>
      <c r="D150" s="45" t="s">
        <v>239</v>
      </c>
      <c r="E150" s="47" t="s">
        <v>42</v>
      </c>
      <c r="F150" s="47" t="s">
        <v>24</v>
      </c>
      <c r="G150" s="46">
        <v>739934</v>
      </c>
      <c r="H150" s="18" t="s">
        <v>260</v>
      </c>
      <c r="I150" s="26" t="str">
        <f t="shared" si="15"/>
        <v>GUILHERME</v>
      </c>
      <c r="J150" s="26" t="str">
        <f t="shared" si="16"/>
        <v>4Maranhão - MA7</v>
      </c>
      <c r="K150" s="27" t="str">
        <f>IFERROR(VLOOKUP(J150,Substituicoes!J:J,1,0),"SS")</f>
        <v>4Maranhão - MA7</v>
      </c>
      <c r="L150" s="27" t="str">
        <f>IFERROR(VLOOKUP(J150,Substituicoes!K:K,1,0),"SS")</f>
        <v>SS</v>
      </c>
      <c r="M150" s="28" t="b">
        <f t="shared" si="17"/>
        <v>0</v>
      </c>
      <c r="N150" s="29">
        <f>IF(AND(K150=L150,LEFT(E150,1)="T"),VLOOKUP(A150,'JOGOS BASE'!A:E,4,0),IF(K150=J150,VLOOKUP(J150,Substituicoes!J:R,6,0),IF(L150=J150,VLOOKUP(Escalacao!J150,Substituicoes!K:R,7,0),0)))</f>
        <v>0</v>
      </c>
      <c r="O150" s="28">
        <f>IF(AND(K150=L150,LEFT(E150,1)="T"),VLOOKUP(A150,'JOGOS BASE'!A:E,5,0),IF(K150=J150,VLOOKUP(J150,Substituicoes!J:R,7,0),IF(L150=J150,VLOOKUP(Escalacao!J150,Substituicoes!K:R,8,0),0)))</f>
        <v>34</v>
      </c>
      <c r="P150" s="28">
        <f t="shared" si="18"/>
        <v>34</v>
      </c>
      <c r="Q150" s="28" t="str">
        <f t="shared" si="19"/>
        <v>47Maranhão - MA</v>
      </c>
      <c r="R150" s="28" t="str">
        <f>VLOOKUP(A150,'JOGOS BASE'!A:H,8)</f>
        <v>15.01.2025 - Pinheiro - MA x Maranhão - MA</v>
      </c>
    </row>
    <row r="151" spans="1:18" ht="20.399999999999999">
      <c r="A151" s="15">
        <v>4</v>
      </c>
      <c r="B151" s="46">
        <v>13</v>
      </c>
      <c r="C151" s="45" t="s">
        <v>240</v>
      </c>
      <c r="D151" s="45" t="s">
        <v>241</v>
      </c>
      <c r="E151" s="47" t="s">
        <v>42</v>
      </c>
      <c r="F151" s="47" t="s">
        <v>24</v>
      </c>
      <c r="G151" s="46">
        <v>454987</v>
      </c>
      <c r="H151" s="18" t="s">
        <v>260</v>
      </c>
      <c r="I151" s="26" t="str">
        <f t="shared" si="15"/>
        <v>IGOR</v>
      </c>
      <c r="J151" s="26" t="str">
        <f t="shared" si="16"/>
        <v>4Maranhão - MA13</v>
      </c>
      <c r="K151" s="27" t="str">
        <f>IFERROR(VLOOKUP(J151,Substituicoes!J:J,1,0),"SS")</f>
        <v>SS</v>
      </c>
      <c r="L151" s="27" t="str">
        <f>IFERROR(VLOOKUP(J151,Substituicoes!K:K,1,0),"SS")</f>
        <v>SS</v>
      </c>
      <c r="M151" s="28" t="b">
        <f t="shared" si="17"/>
        <v>1</v>
      </c>
      <c r="N151" s="29">
        <f>IF(AND(K151=L151,LEFT(E151,1)="T"),VLOOKUP(A151,'JOGOS BASE'!A:E,4,0),IF(K151=J151,VLOOKUP(J151,Substituicoes!J:R,6,0),IF(L151=J151,VLOOKUP(Escalacao!J151,Substituicoes!K:R,7,0),0)))</f>
        <v>0</v>
      </c>
      <c r="O151" s="28">
        <f>IF(AND(K151=L151,LEFT(E151,1)="T"),VLOOKUP(A151,'JOGOS BASE'!A:E,5,0),IF(K151=J151,VLOOKUP(J151,Substituicoes!J:R,7,0),IF(L151=J151,VLOOKUP(Escalacao!J151,Substituicoes!K:R,8,0),0)))</f>
        <v>0</v>
      </c>
      <c r="P151" s="28">
        <f t="shared" si="18"/>
        <v>0</v>
      </c>
      <c r="Q151" s="28" t="str">
        <f t="shared" si="19"/>
        <v>413Maranhão - MA</v>
      </c>
      <c r="R151" s="28" t="str">
        <f>VLOOKUP(A151,'JOGOS BASE'!A:H,8)</f>
        <v>15.01.2025 - Pinheiro - MA x Maranhão - MA</v>
      </c>
    </row>
    <row r="152" spans="1:18" ht="20.399999999999999">
      <c r="A152" s="15">
        <v>4</v>
      </c>
      <c r="B152" s="46">
        <v>14</v>
      </c>
      <c r="C152" s="45" t="s">
        <v>242</v>
      </c>
      <c r="D152" s="45" t="s">
        <v>243</v>
      </c>
      <c r="E152" s="47" t="s">
        <v>42</v>
      </c>
      <c r="F152" s="47" t="s">
        <v>24</v>
      </c>
      <c r="G152" s="46">
        <v>375673</v>
      </c>
      <c r="H152" s="18" t="s">
        <v>260</v>
      </c>
      <c r="I152" s="26" t="str">
        <f t="shared" si="15"/>
        <v>Julio Nasc ...</v>
      </c>
      <c r="J152" s="26" t="str">
        <f t="shared" si="16"/>
        <v>4Maranhão - MA14</v>
      </c>
      <c r="K152" s="27" t="str">
        <f>IFERROR(VLOOKUP(J152,Substituicoes!J:J,1,0),"SS")</f>
        <v>4Maranhão - MA14</v>
      </c>
      <c r="L152" s="27" t="str">
        <f>IFERROR(VLOOKUP(J152,Substituicoes!K:K,1,0),"SS")</f>
        <v>SS</v>
      </c>
      <c r="M152" s="28" t="b">
        <f t="shared" si="17"/>
        <v>0</v>
      </c>
      <c r="N152" s="29">
        <f>IF(AND(K152=L152,LEFT(E152,1)="T"),VLOOKUP(A152,'JOGOS BASE'!A:E,4,0),IF(K152=J152,VLOOKUP(J152,Substituicoes!J:R,6,0),IF(L152=J152,VLOOKUP(Escalacao!J152,Substituicoes!K:R,7,0),0)))</f>
        <v>0</v>
      </c>
      <c r="O152" s="28">
        <f>IF(AND(K152=L152,LEFT(E152,1)="T"),VLOOKUP(A152,'JOGOS BASE'!A:E,5,0),IF(K152=J152,VLOOKUP(J152,Substituicoes!J:R,7,0),IF(L152=J152,VLOOKUP(Escalacao!J152,Substituicoes!K:R,8,0),0)))</f>
        <v>27</v>
      </c>
      <c r="P152" s="28">
        <f t="shared" si="18"/>
        <v>27</v>
      </c>
      <c r="Q152" s="28" t="str">
        <f t="shared" si="19"/>
        <v>414Maranhão - MA</v>
      </c>
      <c r="R152" s="28" t="str">
        <f>VLOOKUP(A152,'JOGOS BASE'!A:H,8)</f>
        <v>15.01.2025 - Pinheiro - MA x Maranhão - MA</v>
      </c>
    </row>
    <row r="153" spans="1:18" ht="30.6">
      <c r="A153" s="15">
        <v>4</v>
      </c>
      <c r="B153" s="46">
        <v>15</v>
      </c>
      <c r="C153" s="45" t="s">
        <v>246</v>
      </c>
      <c r="D153" s="45" t="s">
        <v>247</v>
      </c>
      <c r="E153" s="47" t="s">
        <v>42</v>
      </c>
      <c r="F153" s="47" t="s">
        <v>24</v>
      </c>
      <c r="G153" s="46">
        <v>595323</v>
      </c>
      <c r="H153" s="18" t="s">
        <v>260</v>
      </c>
      <c r="I153" s="26" t="str">
        <f t="shared" si="15"/>
        <v>Gabriel</v>
      </c>
      <c r="J153" s="26" t="str">
        <f t="shared" si="16"/>
        <v>4Maranhão - MA15</v>
      </c>
      <c r="K153" s="27" t="str">
        <f>IFERROR(VLOOKUP(J153,Substituicoes!J:J,1,0),"SS")</f>
        <v>SS</v>
      </c>
      <c r="L153" s="27" t="str">
        <f>IFERROR(VLOOKUP(J153,Substituicoes!K:K,1,0),"SS")</f>
        <v>SS</v>
      </c>
      <c r="M153" s="28" t="b">
        <f t="shared" si="17"/>
        <v>1</v>
      </c>
      <c r="N153" s="29">
        <f>IF(AND(K153=L153,LEFT(E153,1)="T"),VLOOKUP(A153,'JOGOS BASE'!A:E,4,0),IF(K153=J153,VLOOKUP(J153,Substituicoes!J:R,6,0),IF(L153=J153,VLOOKUP(Escalacao!J153,Substituicoes!K:R,7,0),0)))</f>
        <v>0</v>
      </c>
      <c r="O153" s="28">
        <f>IF(AND(K153=L153,LEFT(E153,1)="T"),VLOOKUP(A153,'JOGOS BASE'!A:E,5,0),IF(K153=J153,VLOOKUP(J153,Substituicoes!J:R,7,0),IF(L153=J153,VLOOKUP(Escalacao!J153,Substituicoes!K:R,8,0),0)))</f>
        <v>0</v>
      </c>
      <c r="P153" s="28">
        <f t="shared" si="18"/>
        <v>0</v>
      </c>
      <c r="Q153" s="28" t="str">
        <f t="shared" si="19"/>
        <v>415Maranhão - MA</v>
      </c>
      <c r="R153" s="28" t="str">
        <f>VLOOKUP(A153,'JOGOS BASE'!A:H,8)</f>
        <v>15.01.2025 - Pinheiro - MA x Maranhão - MA</v>
      </c>
    </row>
    <row r="154" spans="1:18" ht="30.6">
      <c r="A154" s="15">
        <v>4</v>
      </c>
      <c r="B154" s="46">
        <v>16</v>
      </c>
      <c r="C154" s="45" t="s">
        <v>226</v>
      </c>
      <c r="D154" s="45" t="s">
        <v>227</v>
      </c>
      <c r="E154" s="47" t="s">
        <v>42</v>
      </c>
      <c r="F154" s="47" t="s">
        <v>24</v>
      </c>
      <c r="G154" s="46">
        <v>545796</v>
      </c>
      <c r="H154" s="18" t="s">
        <v>260</v>
      </c>
      <c r="I154" s="26" t="str">
        <f t="shared" si="15"/>
        <v>Railson</v>
      </c>
      <c r="J154" s="26" t="str">
        <f t="shared" si="16"/>
        <v>4Maranhão - MA16</v>
      </c>
      <c r="K154" s="27" t="str">
        <f>IFERROR(VLOOKUP(J154,Substituicoes!J:J,1,0),"SS")</f>
        <v>SS</v>
      </c>
      <c r="L154" s="27" t="str">
        <f>IFERROR(VLOOKUP(J154,Substituicoes!K:K,1,0),"SS")</f>
        <v>SS</v>
      </c>
      <c r="M154" s="28" t="b">
        <f t="shared" si="17"/>
        <v>1</v>
      </c>
      <c r="N154" s="29">
        <f>IF(AND(K154=L154,LEFT(E154,1)="T"),VLOOKUP(A154,'JOGOS BASE'!A:E,4,0),IF(K154=J154,VLOOKUP(J154,Substituicoes!J:R,6,0),IF(L154=J154,VLOOKUP(Escalacao!J154,Substituicoes!K:R,7,0),0)))</f>
        <v>0</v>
      </c>
      <c r="O154" s="28">
        <f>IF(AND(K154=L154,LEFT(E154,1)="T"),VLOOKUP(A154,'JOGOS BASE'!A:E,5,0),IF(K154=J154,VLOOKUP(J154,Substituicoes!J:R,7,0),IF(L154=J154,VLOOKUP(Escalacao!J154,Substituicoes!K:R,8,0),0)))</f>
        <v>0</v>
      </c>
      <c r="P154" s="28">
        <f t="shared" si="18"/>
        <v>0</v>
      </c>
      <c r="Q154" s="28" t="str">
        <f t="shared" si="19"/>
        <v>416Maranhão - MA</v>
      </c>
      <c r="R154" s="28" t="str">
        <f>VLOOKUP(A154,'JOGOS BASE'!A:H,8)</f>
        <v>15.01.2025 - Pinheiro - MA x Maranhão - MA</v>
      </c>
    </row>
    <row r="155" spans="1:18" ht="30.6">
      <c r="A155" s="15">
        <v>4</v>
      </c>
      <c r="B155" s="46">
        <v>17</v>
      </c>
      <c r="C155" s="45" t="s">
        <v>394</v>
      </c>
      <c r="D155" s="45" t="s">
        <v>395</v>
      </c>
      <c r="E155" s="47" t="s">
        <v>42</v>
      </c>
      <c r="F155" s="47" t="s">
        <v>24</v>
      </c>
      <c r="G155" s="46">
        <v>545501</v>
      </c>
      <c r="H155" s="18" t="s">
        <v>260</v>
      </c>
      <c r="I155" s="26" t="str">
        <f t="shared" si="15"/>
        <v>Vinicius</v>
      </c>
      <c r="J155" s="26" t="str">
        <f t="shared" si="16"/>
        <v>4Maranhão - MA17</v>
      </c>
      <c r="K155" s="27" t="str">
        <f>IFERROR(VLOOKUP(J155,Substituicoes!J:J,1,0),"SS")</f>
        <v>SS</v>
      </c>
      <c r="L155" s="27" t="str">
        <f>IFERROR(VLOOKUP(J155,Substituicoes!K:K,1,0),"SS")</f>
        <v>SS</v>
      </c>
      <c r="M155" s="28" t="b">
        <f t="shared" si="17"/>
        <v>1</v>
      </c>
      <c r="N155" s="29">
        <f>IF(AND(K155=L155,LEFT(E155,1)="T"),VLOOKUP(A155,'JOGOS BASE'!A:E,4,0),IF(K155=J155,VLOOKUP(J155,Substituicoes!J:R,6,0),IF(L155=J155,VLOOKUP(Escalacao!J155,Substituicoes!K:R,7,0),0)))</f>
        <v>0</v>
      </c>
      <c r="O155" s="28">
        <f>IF(AND(K155=L155,LEFT(E155,1)="T"),VLOOKUP(A155,'JOGOS BASE'!A:E,5,0),IF(K155=J155,VLOOKUP(J155,Substituicoes!J:R,7,0),IF(L155=J155,VLOOKUP(Escalacao!J155,Substituicoes!K:R,8,0),0)))</f>
        <v>0</v>
      </c>
      <c r="P155" s="28">
        <f t="shared" si="18"/>
        <v>0</v>
      </c>
      <c r="Q155" s="28" t="str">
        <f t="shared" si="19"/>
        <v>417Maranhão - MA</v>
      </c>
      <c r="R155" s="28" t="str">
        <f>VLOOKUP(A155,'JOGOS BASE'!A:H,8)</f>
        <v>15.01.2025 - Pinheiro - MA x Maranhão - MA</v>
      </c>
    </row>
    <row r="156" spans="1:18" ht="30.6">
      <c r="A156" s="15">
        <v>4</v>
      </c>
      <c r="B156" s="46">
        <v>18</v>
      </c>
      <c r="C156" s="45" t="s">
        <v>230</v>
      </c>
      <c r="D156" s="45" t="s">
        <v>231</v>
      </c>
      <c r="E156" s="47" t="s">
        <v>42</v>
      </c>
      <c r="F156" s="47" t="s">
        <v>24</v>
      </c>
      <c r="G156" s="46">
        <v>699185</v>
      </c>
      <c r="H156" s="18" t="s">
        <v>260</v>
      </c>
      <c r="I156" s="26" t="str">
        <f t="shared" si="15"/>
        <v>Jorge Rocha</v>
      </c>
      <c r="J156" s="26" t="str">
        <f t="shared" si="16"/>
        <v>4Maranhão - MA18</v>
      </c>
      <c r="K156" s="27" t="str">
        <f>IFERROR(VLOOKUP(J156,Substituicoes!J:J,1,0),"SS")</f>
        <v>4Maranhão - MA18</v>
      </c>
      <c r="L156" s="27" t="str">
        <f>IFERROR(VLOOKUP(J156,Substituicoes!K:K,1,0),"SS")</f>
        <v>SS</v>
      </c>
      <c r="M156" s="28" t="b">
        <f t="shared" si="17"/>
        <v>0</v>
      </c>
      <c r="N156" s="29">
        <f>IF(AND(K156=L156,LEFT(E156,1)="T"),VLOOKUP(A156,'JOGOS BASE'!A:E,4,0),IF(K156=J156,VLOOKUP(J156,Substituicoes!J:R,6,0),IF(L156=J156,VLOOKUP(Escalacao!J156,Substituicoes!K:R,7,0),0)))</f>
        <v>0</v>
      </c>
      <c r="O156" s="28">
        <f>IF(AND(K156=L156,LEFT(E156,1)="T"),VLOOKUP(A156,'JOGOS BASE'!A:E,5,0),IF(K156=J156,VLOOKUP(J156,Substituicoes!J:R,7,0),IF(L156=J156,VLOOKUP(Escalacao!J156,Substituicoes!K:R,8,0),0)))</f>
        <v>34</v>
      </c>
      <c r="P156" s="28">
        <f t="shared" si="18"/>
        <v>34</v>
      </c>
      <c r="Q156" s="28" t="str">
        <f t="shared" si="19"/>
        <v>418Maranhão - MA</v>
      </c>
      <c r="R156" s="28" t="str">
        <f>VLOOKUP(A156,'JOGOS BASE'!A:H,8)</f>
        <v>15.01.2025 - Pinheiro - MA x Maranhão - MA</v>
      </c>
    </row>
    <row r="157" spans="1:18" ht="30.6">
      <c r="A157" s="15">
        <v>4</v>
      </c>
      <c r="B157" s="46">
        <v>19</v>
      </c>
      <c r="C157" s="45" t="s">
        <v>256</v>
      </c>
      <c r="D157" s="45" t="s">
        <v>257</v>
      </c>
      <c r="E157" s="47" t="s">
        <v>42</v>
      </c>
      <c r="F157" s="47" t="s">
        <v>24</v>
      </c>
      <c r="G157" s="46">
        <v>673956</v>
      </c>
      <c r="H157" s="18" t="s">
        <v>260</v>
      </c>
      <c r="I157" s="26" t="str">
        <f t="shared" si="15"/>
        <v>Diego Cant ...</v>
      </c>
      <c r="J157" s="26" t="str">
        <f t="shared" si="16"/>
        <v>4Maranhão - MA19</v>
      </c>
      <c r="K157" s="27" t="str">
        <f>IFERROR(VLOOKUP(J157,Substituicoes!J:J,1,0),"SS")</f>
        <v>4Maranhão - MA19</v>
      </c>
      <c r="L157" s="27" t="str">
        <f>IFERROR(VLOOKUP(J157,Substituicoes!K:K,1,0),"SS")</f>
        <v>SS</v>
      </c>
      <c r="M157" s="28" t="b">
        <f t="shared" si="17"/>
        <v>0</v>
      </c>
      <c r="N157" s="29">
        <f>IF(AND(K157=L157,LEFT(E157,1)="T"),VLOOKUP(A157,'JOGOS BASE'!A:E,4,0),IF(K157=J157,VLOOKUP(J157,Substituicoes!J:R,6,0),IF(L157=J157,VLOOKUP(Escalacao!J157,Substituicoes!K:R,7,0),0)))</f>
        <v>0</v>
      </c>
      <c r="O157" s="28">
        <f>IF(AND(K157=L157,LEFT(E157,1)="T"),VLOOKUP(A157,'JOGOS BASE'!A:E,5,0),IF(K157=J157,VLOOKUP(J157,Substituicoes!J:R,7,0),IF(L157=J157,VLOOKUP(Escalacao!J157,Substituicoes!K:R,8,0),0)))</f>
        <v>10</v>
      </c>
      <c r="P157" s="28">
        <f t="shared" si="18"/>
        <v>10</v>
      </c>
      <c r="Q157" s="28" t="str">
        <f t="shared" si="19"/>
        <v>419Maranhão - MA</v>
      </c>
      <c r="R157" s="28" t="str">
        <f>VLOOKUP(A157,'JOGOS BASE'!A:H,8)</f>
        <v>15.01.2025 - Pinheiro - MA x Maranhão - MA</v>
      </c>
    </row>
    <row r="158" spans="1:18" ht="30.6">
      <c r="A158" s="15">
        <v>4</v>
      </c>
      <c r="B158" s="46">
        <v>22</v>
      </c>
      <c r="C158" s="45" t="s">
        <v>234</v>
      </c>
      <c r="D158" s="45" t="s">
        <v>235</v>
      </c>
      <c r="E158" s="47" t="s">
        <v>42</v>
      </c>
      <c r="F158" s="47" t="s">
        <v>24</v>
      </c>
      <c r="G158" s="46">
        <v>393714</v>
      </c>
      <c r="H158" s="18" t="s">
        <v>260</v>
      </c>
      <c r="I158" s="26" t="str">
        <f t="shared" si="15"/>
        <v>Jerry</v>
      </c>
      <c r="J158" s="26" t="str">
        <f t="shared" si="16"/>
        <v>4Maranhão - MA22</v>
      </c>
      <c r="K158" s="27" t="str">
        <f>IFERROR(VLOOKUP(J158,Substituicoes!J:J,1,0),"SS")</f>
        <v>4Maranhão - MA22</v>
      </c>
      <c r="L158" s="27" t="str">
        <f>IFERROR(VLOOKUP(J158,Substituicoes!K:K,1,0),"SS")</f>
        <v>SS</v>
      </c>
      <c r="M158" s="28" t="b">
        <f t="shared" si="17"/>
        <v>0</v>
      </c>
      <c r="N158" s="29">
        <f>IF(AND(K158=L158,LEFT(E158,1)="T"),VLOOKUP(A158,'JOGOS BASE'!A:E,4,0),IF(K158=J158,VLOOKUP(J158,Substituicoes!J:R,6,0),IF(L158=J158,VLOOKUP(Escalacao!J158,Substituicoes!K:R,7,0),0)))</f>
        <v>0</v>
      </c>
      <c r="O158" s="28">
        <f>IF(AND(K158=L158,LEFT(E158,1)="T"),VLOOKUP(A158,'JOGOS BASE'!A:E,5,0),IF(K158=J158,VLOOKUP(J158,Substituicoes!J:R,7,0),IF(L158=J158,VLOOKUP(Escalacao!J158,Substituicoes!K:R,8,0),0)))</f>
        <v>34</v>
      </c>
      <c r="P158" s="28">
        <f t="shared" si="18"/>
        <v>34</v>
      </c>
      <c r="Q158" s="28" t="str">
        <f t="shared" si="19"/>
        <v>422Maranhão - MA</v>
      </c>
      <c r="R158" s="28" t="str">
        <f>VLOOKUP(A158,'JOGOS BASE'!A:H,8)</f>
        <v>15.01.2025 - Pinheiro - MA x Maranhão - MA</v>
      </c>
    </row>
    <row r="159" spans="1:18" ht="20.399999999999999">
      <c r="A159" s="15">
        <v>5</v>
      </c>
      <c r="B159" s="46">
        <v>1</v>
      </c>
      <c r="C159" s="45" t="s">
        <v>432</v>
      </c>
      <c r="D159" s="45" t="s">
        <v>433</v>
      </c>
      <c r="E159" s="47" t="s">
        <v>23</v>
      </c>
      <c r="F159" s="47" t="s">
        <v>24</v>
      </c>
      <c r="G159" s="46">
        <v>559682</v>
      </c>
      <c r="H159" s="18" t="s">
        <v>386</v>
      </c>
      <c r="I159" s="26" t="str">
        <f t="shared" ref="I159:I204" si="20">C159</f>
        <v>Wenderson</v>
      </c>
      <c r="J159" s="26" t="str">
        <f t="shared" ref="J159:J204" si="21">A159&amp;H159&amp;B159</f>
        <v>5IAPE - MA1</v>
      </c>
      <c r="K159" s="27" t="str">
        <f>IFERROR(VLOOKUP(J159,Substituicoes!J:J,1,0),"SS")</f>
        <v>SS</v>
      </c>
      <c r="L159" s="27" t="str">
        <f>IFERROR(VLOOKUP(J159,Substituicoes!K:K,1,0),"SS")</f>
        <v>SS</v>
      </c>
      <c r="M159" s="28" t="b">
        <f t="shared" ref="M159:M204" si="22">K159=L159</f>
        <v>1</v>
      </c>
      <c r="N159" s="29">
        <f>IF(AND(K159=L159,LEFT(E159,1)="T"),VLOOKUP(A159,'JOGOS BASE'!A:E,4,0),IF(K159=J159,VLOOKUP(J159,Substituicoes!J:R,6,0),IF(L159=J159,VLOOKUP(Escalacao!J159,Substituicoes!K:R,7,0),0)))</f>
        <v>46</v>
      </c>
      <c r="O159" s="28">
        <f>IF(AND(K159=L159,LEFT(E159,1)="T"),VLOOKUP(A159,'JOGOS BASE'!A:E,5,0),IF(K159=J159,VLOOKUP(J159,Substituicoes!J:R,7,0),IF(L159=J159,VLOOKUP(Escalacao!J159,Substituicoes!K:R,8,0),0)))</f>
        <v>48</v>
      </c>
      <c r="P159" s="28">
        <f t="shared" ref="P159:P204" si="23">N159+O159</f>
        <v>94</v>
      </c>
      <c r="Q159" s="28" t="str">
        <f t="shared" ref="Q159:Q204" si="24">A159&amp;B159&amp;H159</f>
        <v>51IAPE - MA</v>
      </c>
      <c r="R159" s="28" t="str">
        <f>VLOOKUP(A159,'JOGOS BASE'!A:H,8)</f>
        <v>15.01.2025 - IAPE - MA x Sampaio Corrêa - MA</v>
      </c>
    </row>
    <row r="160" spans="1:18" ht="30.6">
      <c r="A160" s="15">
        <v>5</v>
      </c>
      <c r="B160" s="46">
        <v>3</v>
      </c>
      <c r="C160" s="45" t="s">
        <v>434</v>
      </c>
      <c r="D160" s="45" t="s">
        <v>435</v>
      </c>
      <c r="E160" s="47" t="s">
        <v>26</v>
      </c>
      <c r="F160" s="47" t="s">
        <v>24</v>
      </c>
      <c r="G160" s="46">
        <v>421460</v>
      </c>
      <c r="H160" s="18" t="s">
        <v>386</v>
      </c>
      <c r="I160" s="26" t="str">
        <f t="shared" si="20"/>
        <v>Patrick</v>
      </c>
      <c r="J160" s="26" t="str">
        <f t="shared" si="21"/>
        <v>5IAPE - MA3</v>
      </c>
      <c r="K160" s="27" t="str">
        <f>IFERROR(VLOOKUP(J160,Substituicoes!J:J,1,0),"SS")</f>
        <v>SS</v>
      </c>
      <c r="L160" s="27" t="str">
        <f>IFERROR(VLOOKUP(J160,Substituicoes!K:K,1,0),"SS")</f>
        <v>SS</v>
      </c>
      <c r="M160" s="28" t="b">
        <f t="shared" si="22"/>
        <v>1</v>
      </c>
      <c r="N160" s="29">
        <f>IF(AND(K160=L160,LEFT(E160,1)="T"),VLOOKUP(A160,'JOGOS BASE'!A:E,4,0),IF(K160=J160,VLOOKUP(J160,Substituicoes!J:R,6,0),IF(L160=J160,VLOOKUP(Escalacao!J160,Substituicoes!K:R,7,0),0)))</f>
        <v>46</v>
      </c>
      <c r="O160" s="28">
        <f>IF(AND(K160=L160,LEFT(E160,1)="T"),VLOOKUP(A160,'JOGOS BASE'!A:E,5,0),IF(K160=J160,VLOOKUP(J160,Substituicoes!J:R,7,0),IF(L160=J160,VLOOKUP(Escalacao!J160,Substituicoes!K:R,8,0),0)))</f>
        <v>48</v>
      </c>
      <c r="P160" s="28">
        <f t="shared" si="23"/>
        <v>94</v>
      </c>
      <c r="Q160" s="28" t="str">
        <f t="shared" si="24"/>
        <v>53IAPE - MA</v>
      </c>
      <c r="R160" s="28" t="str">
        <f>VLOOKUP(A160,'JOGOS BASE'!A:H,8)</f>
        <v>15.01.2025 - IAPE - MA x Sampaio Corrêa - MA</v>
      </c>
    </row>
    <row r="161" spans="1:18" ht="30.6">
      <c r="A161" s="15">
        <v>5</v>
      </c>
      <c r="B161" s="46">
        <v>4</v>
      </c>
      <c r="C161" s="45" t="s">
        <v>436</v>
      </c>
      <c r="D161" s="45" t="s">
        <v>437</v>
      </c>
      <c r="E161" s="47" t="s">
        <v>26</v>
      </c>
      <c r="F161" s="47" t="s">
        <v>24</v>
      </c>
      <c r="G161" s="46">
        <v>450022</v>
      </c>
      <c r="H161" s="18" t="s">
        <v>386</v>
      </c>
      <c r="I161" s="26" t="str">
        <f t="shared" si="20"/>
        <v>Denilson</v>
      </c>
      <c r="J161" s="26" t="str">
        <f t="shared" si="21"/>
        <v>5IAPE - MA4</v>
      </c>
      <c r="K161" s="27" t="str">
        <f>IFERROR(VLOOKUP(J161,Substituicoes!J:J,1,0),"SS")</f>
        <v>SS</v>
      </c>
      <c r="L161" s="27" t="str">
        <f>IFERROR(VLOOKUP(J161,Substituicoes!K:K,1,0),"SS")</f>
        <v>SS</v>
      </c>
      <c r="M161" s="28" t="b">
        <f t="shared" si="22"/>
        <v>1</v>
      </c>
      <c r="N161" s="29">
        <f>IF(AND(K161=L161,LEFT(E161,1)="T"),VLOOKUP(A161,'JOGOS BASE'!A:E,4,0),IF(K161=J161,VLOOKUP(J161,Substituicoes!J:R,6,0),IF(L161=J161,VLOOKUP(Escalacao!J161,Substituicoes!K:R,7,0),0)))</f>
        <v>46</v>
      </c>
      <c r="O161" s="28">
        <f>IF(AND(K161=L161,LEFT(E161,1)="T"),VLOOKUP(A161,'JOGOS BASE'!A:E,5,0),IF(K161=J161,VLOOKUP(J161,Substituicoes!J:R,7,0),IF(L161=J161,VLOOKUP(Escalacao!J161,Substituicoes!K:R,8,0),0)))</f>
        <v>48</v>
      </c>
      <c r="P161" s="28">
        <f t="shared" si="23"/>
        <v>94</v>
      </c>
      <c r="Q161" s="28" t="str">
        <f t="shared" si="24"/>
        <v>54IAPE - MA</v>
      </c>
      <c r="R161" s="28" t="str">
        <f>VLOOKUP(A161,'JOGOS BASE'!A:H,8)</f>
        <v>15.01.2025 - IAPE - MA x Sampaio Corrêa - MA</v>
      </c>
    </row>
    <row r="162" spans="1:18" ht="20.399999999999999">
      <c r="A162" s="15">
        <v>5</v>
      </c>
      <c r="B162" s="46">
        <v>5</v>
      </c>
      <c r="C162" s="45" t="s">
        <v>438</v>
      </c>
      <c r="D162" s="45" t="s">
        <v>439</v>
      </c>
      <c r="E162" s="47" t="s">
        <v>26</v>
      </c>
      <c r="F162" s="47" t="s">
        <v>24</v>
      </c>
      <c r="G162" s="46">
        <v>637155</v>
      </c>
      <c r="H162" s="18" t="s">
        <v>386</v>
      </c>
      <c r="I162" s="26" t="str">
        <f t="shared" si="20"/>
        <v>Iuri</v>
      </c>
      <c r="J162" s="26" t="str">
        <f t="shared" si="21"/>
        <v>5IAPE - MA5</v>
      </c>
      <c r="K162" s="27" t="str">
        <f>IFERROR(VLOOKUP(J162,Substituicoes!J:J,1,0),"SS")</f>
        <v>SS</v>
      </c>
      <c r="L162" s="27" t="str">
        <f>IFERROR(VLOOKUP(J162,Substituicoes!K:K,1,0),"SS")</f>
        <v>SS</v>
      </c>
      <c r="M162" s="28" t="b">
        <f t="shared" si="22"/>
        <v>1</v>
      </c>
      <c r="N162" s="29">
        <f>IF(AND(K162=L162,LEFT(E162,1)="T"),VLOOKUP(A162,'JOGOS BASE'!A:E,4,0),IF(K162=J162,VLOOKUP(J162,Substituicoes!J:R,6,0),IF(L162=J162,VLOOKUP(Escalacao!J162,Substituicoes!K:R,7,0),0)))</f>
        <v>46</v>
      </c>
      <c r="O162" s="28">
        <f>IF(AND(K162=L162,LEFT(E162,1)="T"),VLOOKUP(A162,'JOGOS BASE'!A:E,5,0),IF(K162=J162,VLOOKUP(J162,Substituicoes!J:R,7,0),IF(L162=J162,VLOOKUP(Escalacao!J162,Substituicoes!K:R,8,0),0)))</f>
        <v>48</v>
      </c>
      <c r="P162" s="28">
        <f t="shared" si="23"/>
        <v>94</v>
      </c>
      <c r="Q162" s="28" t="str">
        <f t="shared" si="24"/>
        <v>55IAPE - MA</v>
      </c>
      <c r="R162" s="28" t="str">
        <f>VLOOKUP(A162,'JOGOS BASE'!A:H,8)</f>
        <v>15.01.2025 - IAPE - MA x Sampaio Corrêa - MA</v>
      </c>
    </row>
    <row r="163" spans="1:18" ht="30.6">
      <c r="A163" s="15">
        <v>5</v>
      </c>
      <c r="B163" s="46">
        <v>6</v>
      </c>
      <c r="C163" s="45" t="s">
        <v>440</v>
      </c>
      <c r="D163" s="45" t="s">
        <v>441</v>
      </c>
      <c r="E163" s="47" t="s">
        <v>26</v>
      </c>
      <c r="F163" s="47" t="s">
        <v>24</v>
      </c>
      <c r="G163" s="46">
        <v>389895</v>
      </c>
      <c r="H163" s="18" t="s">
        <v>386</v>
      </c>
      <c r="I163" s="26" t="str">
        <f t="shared" si="20"/>
        <v>Carioca</v>
      </c>
      <c r="J163" s="26" t="str">
        <f t="shared" si="21"/>
        <v>5IAPE - MA6</v>
      </c>
      <c r="K163" s="27" t="str">
        <f>IFERROR(VLOOKUP(J163,Substituicoes!J:J,1,0),"SS")</f>
        <v>SS</v>
      </c>
      <c r="L163" s="27" t="str">
        <f>IFERROR(VLOOKUP(J163,Substituicoes!K:K,1,0),"SS")</f>
        <v>SS</v>
      </c>
      <c r="M163" s="28" t="b">
        <f t="shared" si="22"/>
        <v>1</v>
      </c>
      <c r="N163" s="29">
        <f>IF(AND(K163=L163,LEFT(E163,1)="T"),VLOOKUP(A163,'JOGOS BASE'!A:E,4,0),IF(K163=J163,VLOOKUP(J163,Substituicoes!J:R,6,0),IF(L163=J163,VLOOKUP(Escalacao!J163,Substituicoes!K:R,7,0),0)))</f>
        <v>46</v>
      </c>
      <c r="O163" s="28">
        <f>IF(AND(K163=L163,LEFT(E163,1)="T"),VLOOKUP(A163,'JOGOS BASE'!A:E,5,0),IF(K163=J163,VLOOKUP(J163,Substituicoes!J:R,7,0),IF(L163=J163,VLOOKUP(Escalacao!J163,Substituicoes!K:R,8,0),0)))</f>
        <v>48</v>
      </c>
      <c r="P163" s="28">
        <f t="shared" si="23"/>
        <v>94</v>
      </c>
      <c r="Q163" s="28" t="str">
        <f t="shared" si="24"/>
        <v>56IAPE - MA</v>
      </c>
      <c r="R163" s="28" t="str">
        <f>VLOOKUP(A163,'JOGOS BASE'!A:H,8)</f>
        <v>15.01.2025 - IAPE - MA x Sampaio Corrêa - MA</v>
      </c>
    </row>
    <row r="164" spans="1:18" ht="30.6">
      <c r="A164" s="15">
        <v>5</v>
      </c>
      <c r="B164" s="46">
        <v>7</v>
      </c>
      <c r="C164" s="45" t="s">
        <v>442</v>
      </c>
      <c r="D164" s="45" t="s">
        <v>443</v>
      </c>
      <c r="E164" s="47" t="s">
        <v>26</v>
      </c>
      <c r="F164" s="47" t="s">
        <v>24</v>
      </c>
      <c r="G164" s="46">
        <v>295956</v>
      </c>
      <c r="H164" s="18" t="s">
        <v>386</v>
      </c>
      <c r="I164" s="26" t="str">
        <f t="shared" si="20"/>
        <v>Jhonnatan</v>
      </c>
      <c r="J164" s="26" t="str">
        <f t="shared" si="21"/>
        <v>5IAPE - MA7</v>
      </c>
      <c r="K164" s="27" t="str">
        <f>IFERROR(VLOOKUP(J164,Substituicoes!J:J,1,0),"SS")</f>
        <v>SS</v>
      </c>
      <c r="L164" s="27" t="str">
        <f>IFERROR(VLOOKUP(J164,Substituicoes!K:K,1,0),"SS")</f>
        <v>5Iape - MA7</v>
      </c>
      <c r="M164" s="28" t="b">
        <f t="shared" si="22"/>
        <v>0</v>
      </c>
      <c r="N164" s="29">
        <f>IF(AND(K164=L164,LEFT(E164,1)="T"),VLOOKUP(A164,'JOGOS BASE'!A:E,4,0),IF(K164=J164,VLOOKUP(J164,Substituicoes!J:R,6,0),IF(L164=J164,VLOOKUP(Escalacao!J164,Substituicoes!K:R,7,0),0)))</f>
        <v>46</v>
      </c>
      <c r="O164" s="28">
        <f>IF(AND(K164=L164,LEFT(E164,1)="T"),VLOOKUP(A164,'JOGOS BASE'!A:E,5,0),IF(K164=J164,VLOOKUP(J164,Substituicoes!J:R,7,0),IF(L164=J164,VLOOKUP(Escalacao!J164,Substituicoes!K:R,8,0),0)))</f>
        <v>0</v>
      </c>
      <c r="P164" s="28">
        <f t="shared" si="23"/>
        <v>46</v>
      </c>
      <c r="Q164" s="28" t="str">
        <f t="shared" si="24"/>
        <v>57IAPE - MA</v>
      </c>
      <c r="R164" s="28" t="str">
        <f>VLOOKUP(A164,'JOGOS BASE'!A:H,8)</f>
        <v>15.01.2025 - IAPE - MA x Sampaio Corrêa - MA</v>
      </c>
    </row>
    <row r="165" spans="1:18" ht="30.6">
      <c r="A165" s="15">
        <v>5</v>
      </c>
      <c r="B165" s="46">
        <v>9</v>
      </c>
      <c r="C165" s="45" t="s">
        <v>444</v>
      </c>
      <c r="D165" s="45" t="s">
        <v>445</v>
      </c>
      <c r="E165" s="47" t="s">
        <v>26</v>
      </c>
      <c r="F165" s="47" t="s">
        <v>24</v>
      </c>
      <c r="G165" s="46">
        <v>531274</v>
      </c>
      <c r="H165" s="18" t="s">
        <v>386</v>
      </c>
      <c r="I165" s="26" t="str">
        <f t="shared" si="20"/>
        <v>Erivelton</v>
      </c>
      <c r="J165" s="26" t="str">
        <f t="shared" si="21"/>
        <v>5IAPE - MA9</v>
      </c>
      <c r="K165" s="27" t="str">
        <f>IFERROR(VLOOKUP(J165,Substituicoes!J:J,1,0),"SS")</f>
        <v>SS</v>
      </c>
      <c r="L165" s="27" t="str">
        <f>IFERROR(VLOOKUP(J165,Substituicoes!K:K,1,0),"SS")</f>
        <v>5Iape - MA9</v>
      </c>
      <c r="M165" s="28" t="b">
        <f t="shared" si="22"/>
        <v>0</v>
      </c>
      <c r="N165" s="29">
        <f>IF(AND(K165=L165,LEFT(E165,1)="T"),VLOOKUP(A165,'JOGOS BASE'!A:E,4,0),IF(K165=J165,VLOOKUP(J165,Substituicoes!J:R,6,0),IF(L165=J165,VLOOKUP(Escalacao!J165,Substituicoes!K:R,7,0),0)))</f>
        <v>46</v>
      </c>
      <c r="O165" s="28">
        <f>IF(AND(K165=L165,LEFT(E165,1)="T"),VLOOKUP(A165,'JOGOS BASE'!A:E,5,0),IF(K165=J165,VLOOKUP(J165,Substituicoes!J:R,7,0),IF(L165=J165,VLOOKUP(Escalacao!J165,Substituicoes!K:R,8,0),0)))</f>
        <v>16</v>
      </c>
      <c r="P165" s="28">
        <f t="shared" si="23"/>
        <v>62</v>
      </c>
      <c r="Q165" s="28" t="str">
        <f t="shared" si="24"/>
        <v>59IAPE - MA</v>
      </c>
      <c r="R165" s="28" t="str">
        <f>VLOOKUP(A165,'JOGOS BASE'!A:H,8)</f>
        <v>15.01.2025 - IAPE - MA x Sampaio Corrêa - MA</v>
      </c>
    </row>
    <row r="166" spans="1:18" ht="20.399999999999999">
      <c r="A166" s="15">
        <v>5</v>
      </c>
      <c r="B166" s="46">
        <v>10</v>
      </c>
      <c r="C166" s="45" t="s">
        <v>446</v>
      </c>
      <c r="D166" s="45" t="s">
        <v>447</v>
      </c>
      <c r="E166" s="47" t="s">
        <v>26</v>
      </c>
      <c r="F166" s="47" t="s">
        <v>24</v>
      </c>
      <c r="G166" s="46">
        <v>184656</v>
      </c>
      <c r="H166" s="18" t="s">
        <v>386</v>
      </c>
      <c r="I166" s="26" t="str">
        <f t="shared" si="20"/>
        <v>Eloir</v>
      </c>
      <c r="J166" s="26" t="str">
        <f t="shared" si="21"/>
        <v>5IAPE - MA10</v>
      </c>
      <c r="K166" s="27" t="str">
        <f>IFERROR(VLOOKUP(J166,Substituicoes!J:J,1,0),"SS")</f>
        <v>SS</v>
      </c>
      <c r="L166" s="27" t="str">
        <f>IFERROR(VLOOKUP(J166,Substituicoes!K:K,1,0),"SS")</f>
        <v>5Iape - MA10</v>
      </c>
      <c r="M166" s="28" t="b">
        <f t="shared" si="22"/>
        <v>0</v>
      </c>
      <c r="N166" s="29">
        <f>IF(AND(K166=L166,LEFT(E166,1)="T"),VLOOKUP(A166,'JOGOS BASE'!A:E,4,0),IF(K166=J166,VLOOKUP(J166,Substituicoes!J:R,6,0),IF(L166=J166,VLOOKUP(Escalacao!J166,Substituicoes!K:R,7,0),0)))</f>
        <v>46</v>
      </c>
      <c r="O166" s="28">
        <f>IF(AND(K166=L166,LEFT(E166,1)="T"),VLOOKUP(A166,'JOGOS BASE'!A:E,5,0),IF(K166=J166,VLOOKUP(J166,Substituicoes!J:R,7,0),IF(L166=J166,VLOOKUP(Escalacao!J166,Substituicoes!K:R,8,0),0)))</f>
        <v>24</v>
      </c>
      <c r="P166" s="28">
        <f t="shared" si="23"/>
        <v>70</v>
      </c>
      <c r="Q166" s="28" t="str">
        <f t="shared" si="24"/>
        <v>510IAPE - MA</v>
      </c>
      <c r="R166" s="28" t="str">
        <f>VLOOKUP(A166,'JOGOS BASE'!A:H,8)</f>
        <v>15.01.2025 - IAPE - MA x Sampaio Corrêa - MA</v>
      </c>
    </row>
    <row r="167" spans="1:18" ht="20.399999999999999">
      <c r="A167" s="15">
        <v>5</v>
      </c>
      <c r="B167" s="46">
        <v>11</v>
      </c>
      <c r="C167" s="45" t="s">
        <v>448</v>
      </c>
      <c r="D167" s="45" t="s">
        <v>449</v>
      </c>
      <c r="E167" s="47" t="s">
        <v>26</v>
      </c>
      <c r="F167" s="47" t="s">
        <v>24</v>
      </c>
      <c r="G167" s="46">
        <v>367629</v>
      </c>
      <c r="H167" s="18" t="s">
        <v>386</v>
      </c>
      <c r="I167" s="26" t="str">
        <f t="shared" si="20"/>
        <v>Gleyson</v>
      </c>
      <c r="J167" s="26" t="str">
        <f t="shared" si="21"/>
        <v>5IAPE - MA11</v>
      </c>
      <c r="K167" s="27" t="str">
        <f>IFERROR(VLOOKUP(J167,Substituicoes!J:J,1,0),"SS")</f>
        <v>SS</v>
      </c>
      <c r="L167" s="27" t="str">
        <f>IFERROR(VLOOKUP(J167,Substituicoes!K:K,1,0),"SS")</f>
        <v>5Iape - MA11</v>
      </c>
      <c r="M167" s="28" t="b">
        <f t="shared" si="22"/>
        <v>0</v>
      </c>
      <c r="N167" s="29">
        <f>IF(AND(K167=L167,LEFT(E167,1)="T"),VLOOKUP(A167,'JOGOS BASE'!A:E,4,0),IF(K167=J167,VLOOKUP(J167,Substituicoes!J:R,6,0),IF(L167=J167,VLOOKUP(Escalacao!J167,Substituicoes!K:R,7,0),0)))</f>
        <v>46</v>
      </c>
      <c r="O167" s="28">
        <f>IF(AND(K167=L167,LEFT(E167,1)="T"),VLOOKUP(A167,'JOGOS BASE'!A:E,5,0),IF(K167=J167,VLOOKUP(J167,Substituicoes!J:R,7,0),IF(L167=J167,VLOOKUP(Escalacao!J167,Substituicoes!K:R,8,0),0)))</f>
        <v>0</v>
      </c>
      <c r="P167" s="28">
        <f t="shared" si="23"/>
        <v>46</v>
      </c>
      <c r="Q167" s="28" t="str">
        <f t="shared" si="24"/>
        <v>511IAPE - MA</v>
      </c>
      <c r="R167" s="28" t="str">
        <f>VLOOKUP(A167,'JOGOS BASE'!A:H,8)</f>
        <v>15.01.2025 - IAPE - MA x Sampaio Corrêa - MA</v>
      </c>
    </row>
    <row r="168" spans="1:18" ht="30.6">
      <c r="A168" s="15">
        <v>5</v>
      </c>
      <c r="B168" s="46">
        <v>16</v>
      </c>
      <c r="C168" s="45" t="s">
        <v>450</v>
      </c>
      <c r="D168" s="45" t="s">
        <v>451</v>
      </c>
      <c r="E168" s="47" t="s">
        <v>26</v>
      </c>
      <c r="F168" s="47" t="s">
        <v>24</v>
      </c>
      <c r="G168" s="46">
        <v>419381</v>
      </c>
      <c r="H168" s="18" t="s">
        <v>386</v>
      </c>
      <c r="I168" s="26" t="str">
        <f t="shared" si="20"/>
        <v>Guilherme</v>
      </c>
      <c r="J168" s="26" t="str">
        <f t="shared" si="21"/>
        <v>5IAPE - MA16</v>
      </c>
      <c r="K168" s="27" t="str">
        <f>IFERROR(VLOOKUP(J168,Substituicoes!J:J,1,0),"SS")</f>
        <v>SS</v>
      </c>
      <c r="L168" s="27" t="str">
        <f>IFERROR(VLOOKUP(J168,Substituicoes!K:K,1,0),"SS")</f>
        <v>SS</v>
      </c>
      <c r="M168" s="28" t="b">
        <f t="shared" si="22"/>
        <v>1</v>
      </c>
      <c r="N168" s="29">
        <f>IF(AND(K168=L168,LEFT(E168,1)="T"),VLOOKUP(A168,'JOGOS BASE'!A:E,4,0),IF(K168=J168,VLOOKUP(J168,Substituicoes!J:R,6,0),IF(L168=J168,VLOOKUP(Escalacao!J168,Substituicoes!K:R,7,0),0)))</f>
        <v>46</v>
      </c>
      <c r="O168" s="28">
        <f>IF(AND(K168=L168,LEFT(E168,1)="T"),VLOOKUP(A168,'JOGOS BASE'!A:E,5,0),IF(K168=J168,VLOOKUP(J168,Substituicoes!J:R,7,0),IF(L168=J168,VLOOKUP(Escalacao!J168,Substituicoes!K:R,8,0),0)))</f>
        <v>48</v>
      </c>
      <c r="P168" s="28">
        <f t="shared" si="23"/>
        <v>94</v>
      </c>
      <c r="Q168" s="28" t="str">
        <f t="shared" si="24"/>
        <v>516IAPE - MA</v>
      </c>
      <c r="R168" s="28" t="str">
        <f>VLOOKUP(A168,'JOGOS BASE'!A:H,8)</f>
        <v>15.01.2025 - IAPE - MA x Sampaio Corrêa - MA</v>
      </c>
    </row>
    <row r="169" spans="1:18" ht="30.6">
      <c r="A169" s="15">
        <v>5</v>
      </c>
      <c r="B169" s="46">
        <v>25</v>
      </c>
      <c r="C169" s="45" t="s">
        <v>305</v>
      </c>
      <c r="D169" s="45" t="s">
        <v>452</v>
      </c>
      <c r="E169" s="47" t="s">
        <v>26</v>
      </c>
      <c r="F169" s="47" t="s">
        <v>24</v>
      </c>
      <c r="G169" s="46">
        <v>430582</v>
      </c>
      <c r="H169" s="18" t="s">
        <v>386</v>
      </c>
      <c r="I169" s="26" t="str">
        <f t="shared" si="20"/>
        <v>Henrique</v>
      </c>
      <c r="J169" s="26" t="str">
        <f t="shared" si="21"/>
        <v>5IAPE - MA25</v>
      </c>
      <c r="K169" s="27" t="str">
        <f>IFERROR(VLOOKUP(J169,Substituicoes!J:J,1,0),"SS")</f>
        <v>SS</v>
      </c>
      <c r="L169" s="27" t="str">
        <f>IFERROR(VLOOKUP(J169,Substituicoes!K:K,1,0),"SS")</f>
        <v>5Iape - MA25</v>
      </c>
      <c r="M169" s="28" t="b">
        <f t="shared" si="22"/>
        <v>0</v>
      </c>
      <c r="N169" s="29">
        <f>IF(AND(K169=L169,LEFT(E169,1)="T"),VLOOKUP(A169,'JOGOS BASE'!A:E,4,0),IF(K169=J169,VLOOKUP(J169,Substituicoes!J:R,6,0),IF(L169=J169,VLOOKUP(Escalacao!J169,Substituicoes!K:R,7,0),0)))</f>
        <v>46</v>
      </c>
      <c r="O169" s="28">
        <f>IF(AND(K169=L169,LEFT(E169,1)="T"),VLOOKUP(A169,'JOGOS BASE'!A:E,5,0),IF(K169=J169,VLOOKUP(J169,Substituicoes!J:R,7,0),IF(L169=J169,VLOOKUP(Escalacao!J169,Substituicoes!K:R,8,0),0)))</f>
        <v>10</v>
      </c>
      <c r="P169" s="28">
        <f t="shared" si="23"/>
        <v>56</v>
      </c>
      <c r="Q169" s="28" t="str">
        <f t="shared" si="24"/>
        <v>525IAPE - MA</v>
      </c>
      <c r="R169" s="28" t="str">
        <f>VLOOKUP(A169,'JOGOS BASE'!A:H,8)</f>
        <v>15.01.2025 - IAPE - MA x Sampaio Corrêa - MA</v>
      </c>
    </row>
    <row r="170" spans="1:18" ht="30.6">
      <c r="A170" s="15">
        <v>5</v>
      </c>
      <c r="B170" s="46">
        <v>12</v>
      </c>
      <c r="C170" s="45" t="s">
        <v>453</v>
      </c>
      <c r="D170" s="45" t="s">
        <v>454</v>
      </c>
      <c r="E170" s="47" t="s">
        <v>40</v>
      </c>
      <c r="F170" s="47" t="s">
        <v>56</v>
      </c>
      <c r="G170" s="46">
        <v>686771</v>
      </c>
      <c r="H170" s="18" t="s">
        <v>386</v>
      </c>
      <c r="I170" s="26" t="str">
        <f t="shared" si="20"/>
        <v>KENNEDY</v>
      </c>
      <c r="J170" s="26" t="str">
        <f t="shared" si="21"/>
        <v>5IAPE - MA12</v>
      </c>
      <c r="K170" s="27" t="str">
        <f>IFERROR(VLOOKUP(J170,Substituicoes!J:J,1,0),"SS")</f>
        <v>SS</v>
      </c>
      <c r="L170" s="27" t="str">
        <f>IFERROR(VLOOKUP(J170,Substituicoes!K:K,1,0),"SS")</f>
        <v>SS</v>
      </c>
      <c r="M170" s="28" t="b">
        <f t="shared" si="22"/>
        <v>1</v>
      </c>
      <c r="N170" s="29">
        <f>IF(AND(K170=L170,LEFT(E170,1)="T"),VLOOKUP(A170,'JOGOS BASE'!A:E,4,0),IF(K170=J170,VLOOKUP(J170,Substituicoes!J:R,6,0),IF(L170=J170,VLOOKUP(Escalacao!J170,Substituicoes!K:R,7,0),0)))</f>
        <v>0</v>
      </c>
      <c r="O170" s="28">
        <f>IF(AND(K170=L170,LEFT(E170,1)="T"),VLOOKUP(A170,'JOGOS BASE'!A:E,5,0),IF(K170=J170,VLOOKUP(J170,Substituicoes!J:R,7,0),IF(L170=J170,VLOOKUP(Escalacao!J170,Substituicoes!K:R,8,0),0)))</f>
        <v>0</v>
      </c>
      <c r="P170" s="28">
        <f t="shared" si="23"/>
        <v>0</v>
      </c>
      <c r="Q170" s="28" t="str">
        <f t="shared" si="24"/>
        <v>512IAPE - MA</v>
      </c>
      <c r="R170" s="28" t="str">
        <f>VLOOKUP(A170,'JOGOS BASE'!A:H,8)</f>
        <v>15.01.2025 - IAPE - MA x Sampaio Corrêa - MA</v>
      </c>
    </row>
    <row r="171" spans="1:18" ht="30.6">
      <c r="A171" s="15">
        <v>5</v>
      </c>
      <c r="B171" s="46">
        <v>2</v>
      </c>
      <c r="C171" s="45" t="s">
        <v>455</v>
      </c>
      <c r="D171" s="45" t="s">
        <v>456</v>
      </c>
      <c r="E171" s="47" t="s">
        <v>42</v>
      </c>
      <c r="F171" s="47" t="s">
        <v>24</v>
      </c>
      <c r="G171" s="46">
        <v>541756</v>
      </c>
      <c r="H171" s="18" t="s">
        <v>386</v>
      </c>
      <c r="I171" s="26" t="str">
        <f t="shared" si="20"/>
        <v>Pablo</v>
      </c>
      <c r="J171" s="26" t="str">
        <f t="shared" si="21"/>
        <v>5IAPE - MA2</v>
      </c>
      <c r="K171" s="27" t="str">
        <f>IFERROR(VLOOKUP(J171,Substituicoes!J:J,1,0),"SS")</f>
        <v>SS</v>
      </c>
      <c r="L171" s="27" t="str">
        <f>IFERROR(VLOOKUP(J171,Substituicoes!K:K,1,0),"SS")</f>
        <v>SS</v>
      </c>
      <c r="M171" s="28" t="b">
        <f t="shared" si="22"/>
        <v>1</v>
      </c>
      <c r="N171" s="29">
        <f>IF(AND(K171=L171,LEFT(E171,1)="T"),VLOOKUP(A171,'JOGOS BASE'!A:E,4,0),IF(K171=J171,VLOOKUP(J171,Substituicoes!J:R,6,0),IF(L171=J171,VLOOKUP(Escalacao!J171,Substituicoes!K:R,7,0),0)))</f>
        <v>0</v>
      </c>
      <c r="O171" s="28">
        <f>IF(AND(K171=L171,LEFT(E171,1)="T"),VLOOKUP(A171,'JOGOS BASE'!A:E,5,0),IF(K171=J171,VLOOKUP(J171,Substituicoes!J:R,7,0),IF(L171=J171,VLOOKUP(Escalacao!J171,Substituicoes!K:R,8,0),0)))</f>
        <v>0</v>
      </c>
      <c r="P171" s="28">
        <f t="shared" si="23"/>
        <v>0</v>
      </c>
      <c r="Q171" s="28" t="str">
        <f t="shared" si="24"/>
        <v>52IAPE - MA</v>
      </c>
      <c r="R171" s="28" t="str">
        <f>VLOOKUP(A171,'JOGOS BASE'!A:H,8)</f>
        <v>15.01.2025 - IAPE - MA x Sampaio Corrêa - MA</v>
      </c>
    </row>
    <row r="172" spans="1:18" ht="30.6">
      <c r="A172" s="15">
        <v>5</v>
      </c>
      <c r="B172" s="46">
        <v>8</v>
      </c>
      <c r="C172" s="45" t="s">
        <v>457</v>
      </c>
      <c r="D172" s="45" t="s">
        <v>458</v>
      </c>
      <c r="E172" s="47" t="s">
        <v>42</v>
      </c>
      <c r="F172" s="47" t="s">
        <v>24</v>
      </c>
      <c r="G172" s="46">
        <v>709062</v>
      </c>
      <c r="H172" s="18" t="s">
        <v>386</v>
      </c>
      <c r="I172" s="26" t="str">
        <f t="shared" si="20"/>
        <v>Maykon</v>
      </c>
      <c r="J172" s="26" t="str">
        <f t="shared" si="21"/>
        <v>5IAPE - MA8</v>
      </c>
      <c r="K172" s="27" t="str">
        <f>IFERROR(VLOOKUP(J172,Substituicoes!J:J,1,0),"SS")</f>
        <v>5Iape - MA8</v>
      </c>
      <c r="L172" s="27" t="str">
        <f>IFERROR(VLOOKUP(J172,Substituicoes!K:K,1,0),"SS")</f>
        <v>SS</v>
      </c>
      <c r="M172" s="28" t="b">
        <f t="shared" si="22"/>
        <v>0</v>
      </c>
      <c r="N172" s="29">
        <f>IF(AND(K172=L172,LEFT(E172,1)="T"),VLOOKUP(A172,'JOGOS BASE'!A:E,4,0),IF(K172=J172,VLOOKUP(J172,Substituicoes!J:R,6,0),IF(L172=J172,VLOOKUP(Escalacao!J172,Substituicoes!K:R,7,0),0)))</f>
        <v>0</v>
      </c>
      <c r="O172" s="28">
        <f>IF(AND(K172=L172,LEFT(E172,1)="T"),VLOOKUP(A172,'JOGOS BASE'!A:E,5,0),IF(K172=J172,VLOOKUP(J172,Substituicoes!J:R,7,0),IF(L172=J172,VLOOKUP(Escalacao!J172,Substituicoes!K:R,8,0),0)))</f>
        <v>48</v>
      </c>
      <c r="P172" s="28">
        <f t="shared" si="23"/>
        <v>48</v>
      </c>
      <c r="Q172" s="28" t="str">
        <f t="shared" si="24"/>
        <v>58IAPE - MA</v>
      </c>
      <c r="R172" s="28" t="str">
        <f>VLOOKUP(A172,'JOGOS BASE'!A:H,8)</f>
        <v>15.01.2025 - IAPE - MA x Sampaio Corrêa - MA</v>
      </c>
    </row>
    <row r="173" spans="1:18" ht="30.6">
      <c r="A173" s="15">
        <v>5</v>
      </c>
      <c r="B173" s="46">
        <v>13</v>
      </c>
      <c r="C173" s="45" t="s">
        <v>459</v>
      </c>
      <c r="D173" s="45" t="s">
        <v>460</v>
      </c>
      <c r="E173" s="47" t="s">
        <v>42</v>
      </c>
      <c r="F173" s="47" t="s">
        <v>56</v>
      </c>
      <c r="G173" s="46">
        <v>767170</v>
      </c>
      <c r="H173" s="18" t="s">
        <v>386</v>
      </c>
      <c r="I173" s="26" t="str">
        <f t="shared" si="20"/>
        <v>Emerson</v>
      </c>
      <c r="J173" s="26" t="str">
        <f t="shared" si="21"/>
        <v>5IAPE - MA13</v>
      </c>
      <c r="K173" s="27" t="str">
        <f>IFERROR(VLOOKUP(J173,Substituicoes!J:J,1,0),"SS")</f>
        <v>SS</v>
      </c>
      <c r="L173" s="27" t="str">
        <f>IFERROR(VLOOKUP(J173,Substituicoes!K:K,1,0),"SS")</f>
        <v>SS</v>
      </c>
      <c r="M173" s="28" t="b">
        <f t="shared" si="22"/>
        <v>1</v>
      </c>
      <c r="N173" s="29">
        <f>IF(AND(K173=L173,LEFT(E173,1)="T"),VLOOKUP(A173,'JOGOS BASE'!A:E,4,0),IF(K173=J173,VLOOKUP(J173,Substituicoes!J:R,6,0),IF(L173=J173,VLOOKUP(Escalacao!J173,Substituicoes!K:R,7,0),0)))</f>
        <v>0</v>
      </c>
      <c r="O173" s="28">
        <f>IF(AND(K173=L173,LEFT(E173,1)="T"),VLOOKUP(A173,'JOGOS BASE'!A:E,5,0),IF(K173=J173,VLOOKUP(J173,Substituicoes!J:R,7,0),IF(L173=J173,VLOOKUP(Escalacao!J173,Substituicoes!K:R,8,0),0)))</f>
        <v>0</v>
      </c>
      <c r="P173" s="28">
        <f t="shared" si="23"/>
        <v>0</v>
      </c>
      <c r="Q173" s="28" t="str">
        <f t="shared" si="24"/>
        <v>513IAPE - MA</v>
      </c>
      <c r="R173" s="28" t="str">
        <f>VLOOKUP(A173,'JOGOS BASE'!A:H,8)</f>
        <v>15.01.2025 - IAPE - MA x Sampaio Corrêa - MA</v>
      </c>
    </row>
    <row r="174" spans="1:18" ht="30.6">
      <c r="A174" s="15">
        <v>5</v>
      </c>
      <c r="B174" s="46">
        <v>14</v>
      </c>
      <c r="C174" s="45" t="s">
        <v>461</v>
      </c>
      <c r="D174" s="45" t="s">
        <v>462</v>
      </c>
      <c r="E174" s="47" t="s">
        <v>42</v>
      </c>
      <c r="F174" s="47" t="s">
        <v>24</v>
      </c>
      <c r="G174" s="46">
        <v>505180</v>
      </c>
      <c r="H174" s="18" t="s">
        <v>386</v>
      </c>
      <c r="I174" s="26" t="str">
        <f t="shared" si="20"/>
        <v>VITAO</v>
      </c>
      <c r="J174" s="26" t="str">
        <f t="shared" si="21"/>
        <v>5IAPE - MA14</v>
      </c>
      <c r="K174" s="27" t="str">
        <f>IFERROR(VLOOKUP(J174,Substituicoes!J:J,1,0),"SS")</f>
        <v>5Iape - MA14</v>
      </c>
      <c r="L174" s="27" t="str">
        <f>IFERROR(VLOOKUP(J174,Substituicoes!K:K,1,0),"SS")</f>
        <v>SS</v>
      </c>
      <c r="M174" s="28" t="b">
        <f t="shared" si="22"/>
        <v>0</v>
      </c>
      <c r="N174" s="29">
        <f>IF(AND(K174=L174,LEFT(E174,1)="T"),VLOOKUP(A174,'JOGOS BASE'!A:E,4,0),IF(K174=J174,VLOOKUP(J174,Substituicoes!J:R,6,0),IF(L174=J174,VLOOKUP(Escalacao!J174,Substituicoes!K:R,7,0),0)))</f>
        <v>0</v>
      </c>
      <c r="O174" s="28">
        <f>IF(AND(K174=L174,LEFT(E174,1)="T"),VLOOKUP(A174,'JOGOS BASE'!A:E,5,0),IF(K174=J174,VLOOKUP(J174,Substituicoes!J:R,7,0),IF(L174=J174,VLOOKUP(Escalacao!J174,Substituicoes!K:R,8,0),0)))</f>
        <v>48</v>
      </c>
      <c r="P174" s="28">
        <f t="shared" si="23"/>
        <v>48</v>
      </c>
      <c r="Q174" s="28" t="str">
        <f t="shared" si="24"/>
        <v>514IAPE - MA</v>
      </c>
      <c r="R174" s="28" t="str">
        <f>VLOOKUP(A174,'JOGOS BASE'!A:H,8)</f>
        <v>15.01.2025 - IAPE - MA x Sampaio Corrêa - MA</v>
      </c>
    </row>
    <row r="175" spans="1:18" ht="30.6">
      <c r="A175" s="15">
        <v>5</v>
      </c>
      <c r="B175" s="46">
        <v>15</v>
      </c>
      <c r="C175" s="45" t="s">
        <v>463</v>
      </c>
      <c r="D175" s="45" t="s">
        <v>464</v>
      </c>
      <c r="E175" s="47" t="s">
        <v>42</v>
      </c>
      <c r="F175" s="47" t="s">
        <v>24</v>
      </c>
      <c r="G175" s="46">
        <v>608948</v>
      </c>
      <c r="H175" s="18" t="s">
        <v>386</v>
      </c>
      <c r="I175" s="26" t="str">
        <f t="shared" si="20"/>
        <v>Nathan</v>
      </c>
      <c r="J175" s="26" t="str">
        <f t="shared" si="21"/>
        <v>5IAPE - MA15</v>
      </c>
      <c r="K175" s="27" t="str">
        <f>IFERROR(VLOOKUP(J175,Substituicoes!J:J,1,0),"SS")</f>
        <v>SS</v>
      </c>
      <c r="L175" s="27" t="str">
        <f>IFERROR(VLOOKUP(J175,Substituicoes!K:K,1,0),"SS")</f>
        <v>SS</v>
      </c>
      <c r="M175" s="28" t="b">
        <f t="shared" si="22"/>
        <v>1</v>
      </c>
      <c r="N175" s="29">
        <f>IF(AND(K175=L175,LEFT(E175,1)="T"),VLOOKUP(A175,'JOGOS BASE'!A:E,4,0),IF(K175=J175,VLOOKUP(J175,Substituicoes!J:R,6,0),IF(L175=J175,VLOOKUP(Escalacao!J175,Substituicoes!K:R,7,0),0)))</f>
        <v>0</v>
      </c>
      <c r="O175" s="28">
        <f>IF(AND(K175=L175,LEFT(E175,1)="T"),VLOOKUP(A175,'JOGOS BASE'!A:E,5,0),IF(K175=J175,VLOOKUP(J175,Substituicoes!J:R,7,0),IF(L175=J175,VLOOKUP(Escalacao!J175,Substituicoes!K:R,8,0),0)))</f>
        <v>0</v>
      </c>
      <c r="P175" s="28">
        <f t="shared" si="23"/>
        <v>0</v>
      </c>
      <c r="Q175" s="28" t="str">
        <f t="shared" si="24"/>
        <v>515IAPE - MA</v>
      </c>
      <c r="R175" s="28" t="str">
        <f>VLOOKUP(A175,'JOGOS BASE'!A:H,8)</f>
        <v>15.01.2025 - IAPE - MA x Sampaio Corrêa - MA</v>
      </c>
    </row>
    <row r="176" spans="1:18" ht="30.6">
      <c r="A176" s="15">
        <v>5</v>
      </c>
      <c r="B176" s="46">
        <v>17</v>
      </c>
      <c r="C176" s="45" t="s">
        <v>465</v>
      </c>
      <c r="D176" s="45" t="s">
        <v>466</v>
      </c>
      <c r="E176" s="47" t="s">
        <v>42</v>
      </c>
      <c r="F176" s="47" t="s">
        <v>24</v>
      </c>
      <c r="G176" s="46">
        <v>565551</v>
      </c>
      <c r="H176" s="18" t="s">
        <v>386</v>
      </c>
      <c r="I176" s="26" t="str">
        <f t="shared" si="20"/>
        <v>Jojo</v>
      </c>
      <c r="J176" s="26" t="str">
        <f t="shared" si="21"/>
        <v>5IAPE - MA17</v>
      </c>
      <c r="K176" s="27" t="str">
        <f>IFERROR(VLOOKUP(J176,Substituicoes!J:J,1,0),"SS")</f>
        <v>5Iape - MA17</v>
      </c>
      <c r="L176" s="27" t="str">
        <f>IFERROR(VLOOKUP(J176,Substituicoes!K:K,1,0),"SS")</f>
        <v>SS</v>
      </c>
      <c r="M176" s="28" t="b">
        <f t="shared" si="22"/>
        <v>0</v>
      </c>
      <c r="N176" s="29">
        <f>IF(AND(K176=L176,LEFT(E176,1)="T"),VLOOKUP(A176,'JOGOS BASE'!A:E,4,0),IF(K176=J176,VLOOKUP(J176,Substituicoes!J:R,6,0),IF(L176=J176,VLOOKUP(Escalacao!J176,Substituicoes!K:R,7,0),0)))</f>
        <v>0</v>
      </c>
      <c r="O176" s="28">
        <f>IF(AND(K176=L176,LEFT(E176,1)="T"),VLOOKUP(A176,'JOGOS BASE'!A:E,5,0),IF(K176=J176,VLOOKUP(J176,Substituicoes!J:R,7,0),IF(L176=J176,VLOOKUP(Escalacao!J176,Substituicoes!K:R,8,0),0)))</f>
        <v>32</v>
      </c>
      <c r="P176" s="28">
        <f t="shared" si="23"/>
        <v>32</v>
      </c>
      <c r="Q176" s="28" t="str">
        <f t="shared" si="24"/>
        <v>517IAPE - MA</v>
      </c>
      <c r="R176" s="28" t="str">
        <f>VLOOKUP(A176,'JOGOS BASE'!A:H,8)</f>
        <v>15.01.2025 - IAPE - MA x Sampaio Corrêa - MA</v>
      </c>
    </row>
    <row r="177" spans="1:18" ht="20.399999999999999">
      <c r="A177" s="15">
        <v>5</v>
      </c>
      <c r="B177" s="46">
        <v>18</v>
      </c>
      <c r="C177" s="45" t="s">
        <v>467</v>
      </c>
      <c r="D177" s="45" t="s">
        <v>468</v>
      </c>
      <c r="E177" s="47" t="s">
        <v>42</v>
      </c>
      <c r="F177" s="47" t="s">
        <v>56</v>
      </c>
      <c r="G177" s="46">
        <v>748771</v>
      </c>
      <c r="H177" s="18" t="s">
        <v>386</v>
      </c>
      <c r="I177" s="26" t="str">
        <f t="shared" si="20"/>
        <v>EDU</v>
      </c>
      <c r="J177" s="26" t="str">
        <f t="shared" si="21"/>
        <v>5IAPE - MA18</v>
      </c>
      <c r="K177" s="27" t="str">
        <f>IFERROR(VLOOKUP(J177,Substituicoes!J:J,1,0),"SS")</f>
        <v>SS</v>
      </c>
      <c r="L177" s="27" t="str">
        <f>IFERROR(VLOOKUP(J177,Substituicoes!K:K,1,0),"SS")</f>
        <v>SS</v>
      </c>
      <c r="M177" s="28" t="b">
        <f t="shared" si="22"/>
        <v>1</v>
      </c>
      <c r="N177" s="29">
        <f>IF(AND(K177=L177,LEFT(E177,1)="T"),VLOOKUP(A177,'JOGOS BASE'!A:E,4,0),IF(K177=J177,VLOOKUP(J177,Substituicoes!J:R,6,0),IF(L177=J177,VLOOKUP(Escalacao!J177,Substituicoes!K:R,7,0),0)))</f>
        <v>0</v>
      </c>
      <c r="O177" s="28">
        <f>IF(AND(K177=L177,LEFT(E177,1)="T"),VLOOKUP(A177,'JOGOS BASE'!A:E,5,0),IF(K177=J177,VLOOKUP(J177,Substituicoes!J:R,7,0),IF(L177=J177,VLOOKUP(Escalacao!J177,Substituicoes!K:R,8,0),0)))</f>
        <v>0</v>
      </c>
      <c r="P177" s="28">
        <f t="shared" si="23"/>
        <v>0</v>
      </c>
      <c r="Q177" s="28" t="str">
        <f t="shared" si="24"/>
        <v>518IAPE - MA</v>
      </c>
      <c r="R177" s="28" t="str">
        <f>VLOOKUP(A177,'JOGOS BASE'!A:H,8)</f>
        <v>15.01.2025 - IAPE - MA x Sampaio Corrêa - MA</v>
      </c>
    </row>
    <row r="178" spans="1:18" ht="30.6">
      <c r="A178" s="15">
        <v>5</v>
      </c>
      <c r="B178" s="46">
        <v>19</v>
      </c>
      <c r="C178" s="45" t="s">
        <v>469</v>
      </c>
      <c r="D178" s="45" t="s">
        <v>470</v>
      </c>
      <c r="E178" s="47" t="s">
        <v>42</v>
      </c>
      <c r="F178" s="47" t="s">
        <v>56</v>
      </c>
      <c r="G178" s="46">
        <v>865525</v>
      </c>
      <c r="H178" s="18" t="s">
        <v>386</v>
      </c>
      <c r="I178" s="26" t="str">
        <f t="shared" si="20"/>
        <v>ESQUERDIN</v>
      </c>
      <c r="J178" s="26" t="str">
        <f t="shared" si="21"/>
        <v>5IAPE - MA19</v>
      </c>
      <c r="K178" s="27" t="str">
        <f>IFERROR(VLOOKUP(J178,Substituicoes!J:J,1,0),"SS")</f>
        <v>SS</v>
      </c>
      <c r="L178" s="27" t="str">
        <f>IFERROR(VLOOKUP(J178,Substituicoes!K:K,1,0),"SS")</f>
        <v>SS</v>
      </c>
      <c r="M178" s="28" t="b">
        <f t="shared" si="22"/>
        <v>1</v>
      </c>
      <c r="N178" s="29">
        <f>IF(AND(K178=L178,LEFT(E178,1)="T"),VLOOKUP(A178,'JOGOS BASE'!A:E,4,0),IF(K178=J178,VLOOKUP(J178,Substituicoes!J:R,6,0),IF(L178=J178,VLOOKUP(Escalacao!J178,Substituicoes!K:R,7,0),0)))</f>
        <v>0</v>
      </c>
      <c r="O178" s="28">
        <f>IF(AND(K178=L178,LEFT(E178,1)="T"),VLOOKUP(A178,'JOGOS BASE'!A:E,5,0),IF(K178=J178,VLOOKUP(J178,Substituicoes!J:R,7,0),IF(L178=J178,VLOOKUP(Escalacao!J178,Substituicoes!K:R,8,0),0)))</f>
        <v>0</v>
      </c>
      <c r="P178" s="28">
        <f t="shared" si="23"/>
        <v>0</v>
      </c>
      <c r="Q178" s="28" t="str">
        <f t="shared" si="24"/>
        <v>519IAPE - MA</v>
      </c>
      <c r="R178" s="28" t="str">
        <f>VLOOKUP(A178,'JOGOS BASE'!A:H,8)</f>
        <v>15.01.2025 - IAPE - MA x Sampaio Corrêa - MA</v>
      </c>
    </row>
    <row r="179" spans="1:18" ht="20.399999999999999">
      <c r="A179" s="15">
        <v>5</v>
      </c>
      <c r="B179" s="46">
        <v>20</v>
      </c>
      <c r="C179" s="45" t="s">
        <v>471</v>
      </c>
      <c r="D179" s="45" t="s">
        <v>472</v>
      </c>
      <c r="E179" s="47" t="s">
        <v>42</v>
      </c>
      <c r="F179" s="47" t="s">
        <v>24</v>
      </c>
      <c r="G179" s="46">
        <v>538940</v>
      </c>
      <c r="H179" s="18" t="s">
        <v>386</v>
      </c>
      <c r="I179" s="26" t="str">
        <f t="shared" si="20"/>
        <v>Paulo Victor</v>
      </c>
      <c r="J179" s="26" t="str">
        <f t="shared" si="21"/>
        <v>5IAPE - MA20</v>
      </c>
      <c r="K179" s="27" t="str">
        <f>IFERROR(VLOOKUP(J179,Substituicoes!J:J,1,0),"SS")</f>
        <v>5Iape - MA20</v>
      </c>
      <c r="L179" s="27" t="str">
        <f>IFERROR(VLOOKUP(J179,Substituicoes!K:K,1,0),"SS")</f>
        <v>SS</v>
      </c>
      <c r="M179" s="28" t="b">
        <f t="shared" si="22"/>
        <v>0</v>
      </c>
      <c r="N179" s="29">
        <f>IF(AND(K179=L179,LEFT(E179,1)="T"),VLOOKUP(A179,'JOGOS BASE'!A:E,4,0),IF(K179=J179,VLOOKUP(J179,Substituicoes!J:R,6,0),IF(L179=J179,VLOOKUP(Escalacao!J179,Substituicoes!K:R,7,0),0)))</f>
        <v>0</v>
      </c>
      <c r="O179" s="28">
        <f>IF(AND(K179=L179,LEFT(E179,1)="T"),VLOOKUP(A179,'JOGOS BASE'!A:E,5,0),IF(K179=J179,VLOOKUP(J179,Substituicoes!J:R,7,0),IF(L179=J179,VLOOKUP(Escalacao!J179,Substituicoes!K:R,8,0),0)))</f>
        <v>24</v>
      </c>
      <c r="P179" s="28">
        <f t="shared" si="23"/>
        <v>24</v>
      </c>
      <c r="Q179" s="28" t="str">
        <f t="shared" si="24"/>
        <v>520IAPE - MA</v>
      </c>
      <c r="R179" s="28" t="str">
        <f>VLOOKUP(A179,'JOGOS BASE'!A:H,8)</f>
        <v>15.01.2025 - IAPE - MA x Sampaio Corrêa - MA</v>
      </c>
    </row>
    <row r="180" spans="1:18" ht="30.6">
      <c r="A180" s="15">
        <v>5</v>
      </c>
      <c r="B180" s="46">
        <v>21</v>
      </c>
      <c r="C180" s="45" t="s">
        <v>473</v>
      </c>
      <c r="D180" s="45" t="s">
        <v>474</v>
      </c>
      <c r="E180" s="47" t="s">
        <v>42</v>
      </c>
      <c r="F180" s="47" t="s">
        <v>56</v>
      </c>
      <c r="G180" s="46">
        <v>789699</v>
      </c>
      <c r="H180" s="18" t="s">
        <v>386</v>
      </c>
      <c r="I180" s="26" t="str">
        <f t="shared" si="20"/>
        <v>Kaio Camara</v>
      </c>
      <c r="J180" s="26" t="str">
        <f t="shared" si="21"/>
        <v>5IAPE - MA21</v>
      </c>
      <c r="K180" s="27" t="str">
        <f>IFERROR(VLOOKUP(J180,Substituicoes!J:J,1,0),"SS")</f>
        <v>SS</v>
      </c>
      <c r="L180" s="27" t="str">
        <f>IFERROR(VLOOKUP(J180,Substituicoes!K:K,1,0),"SS")</f>
        <v>SS</v>
      </c>
      <c r="M180" s="28" t="b">
        <f t="shared" si="22"/>
        <v>1</v>
      </c>
      <c r="N180" s="29">
        <f>IF(AND(K180=L180,LEFT(E180,1)="T"),VLOOKUP(A180,'JOGOS BASE'!A:E,4,0),IF(K180=J180,VLOOKUP(J180,Substituicoes!J:R,6,0),IF(L180=J180,VLOOKUP(Escalacao!J180,Substituicoes!K:R,7,0),0)))</f>
        <v>0</v>
      </c>
      <c r="O180" s="28">
        <f>IF(AND(K180=L180,LEFT(E180,1)="T"),VLOOKUP(A180,'JOGOS BASE'!A:E,5,0),IF(K180=J180,VLOOKUP(J180,Substituicoes!J:R,7,0),IF(L180=J180,VLOOKUP(Escalacao!J180,Substituicoes!K:R,8,0),0)))</f>
        <v>0</v>
      </c>
      <c r="P180" s="28">
        <f t="shared" si="23"/>
        <v>0</v>
      </c>
      <c r="Q180" s="28" t="str">
        <f t="shared" si="24"/>
        <v>521IAPE - MA</v>
      </c>
      <c r="R180" s="28" t="str">
        <f>VLOOKUP(A180,'JOGOS BASE'!A:H,8)</f>
        <v>15.01.2025 - IAPE - MA x Sampaio Corrêa - MA</v>
      </c>
    </row>
    <row r="181" spans="1:18" ht="20.399999999999999">
      <c r="A181" s="15">
        <v>5</v>
      </c>
      <c r="B181" s="46">
        <v>22</v>
      </c>
      <c r="C181" s="45" t="s">
        <v>471</v>
      </c>
      <c r="D181" s="45" t="s">
        <v>475</v>
      </c>
      <c r="E181" s="47" t="s">
        <v>42</v>
      </c>
      <c r="F181" s="47" t="s">
        <v>24</v>
      </c>
      <c r="G181" s="46">
        <v>533063</v>
      </c>
      <c r="H181" s="18" t="s">
        <v>386</v>
      </c>
      <c r="I181" s="26" t="str">
        <f t="shared" si="20"/>
        <v>Paulo Victor</v>
      </c>
      <c r="J181" s="26" t="str">
        <f t="shared" si="21"/>
        <v>5IAPE - MA22</v>
      </c>
      <c r="K181" s="27" t="str">
        <f>IFERROR(VLOOKUP(J181,Substituicoes!J:J,1,0),"SS")</f>
        <v>5Iape - MA22</v>
      </c>
      <c r="L181" s="27" t="str">
        <f>IFERROR(VLOOKUP(J181,Substituicoes!K:K,1,0),"SS")</f>
        <v>SS</v>
      </c>
      <c r="M181" s="28" t="b">
        <f t="shared" si="22"/>
        <v>0</v>
      </c>
      <c r="N181" s="29">
        <f>IF(AND(K181=L181,LEFT(E181,1)="T"),VLOOKUP(A181,'JOGOS BASE'!A:E,4,0),IF(K181=J181,VLOOKUP(J181,Substituicoes!J:R,6,0),IF(L181=J181,VLOOKUP(Escalacao!J181,Substituicoes!K:R,7,0),0)))</f>
        <v>0</v>
      </c>
      <c r="O181" s="28">
        <f>IF(AND(K181=L181,LEFT(E181,1)="T"),VLOOKUP(A181,'JOGOS BASE'!A:E,5,0),IF(K181=J181,VLOOKUP(J181,Substituicoes!J:R,7,0),IF(L181=J181,VLOOKUP(Escalacao!J181,Substituicoes!K:R,8,0),0)))</f>
        <v>38</v>
      </c>
      <c r="P181" s="28">
        <f t="shared" si="23"/>
        <v>38</v>
      </c>
      <c r="Q181" s="28" t="str">
        <f t="shared" si="24"/>
        <v>522IAPE - MA</v>
      </c>
      <c r="R181" s="28" t="str">
        <f>VLOOKUP(A181,'JOGOS BASE'!A:H,8)</f>
        <v>15.01.2025 - IAPE - MA x Sampaio Corrêa - MA</v>
      </c>
    </row>
    <row r="182" spans="1:18" ht="30.6">
      <c r="A182" s="15">
        <v>5</v>
      </c>
      <c r="B182" s="46">
        <v>1</v>
      </c>
      <c r="C182" s="45" t="s">
        <v>59</v>
      </c>
      <c r="D182" s="45" t="s">
        <v>60</v>
      </c>
      <c r="E182" s="47" t="s">
        <v>23</v>
      </c>
      <c r="F182" s="47" t="s">
        <v>24</v>
      </c>
      <c r="G182" s="46">
        <v>639922</v>
      </c>
      <c r="H182" s="15" t="s">
        <v>122</v>
      </c>
      <c r="I182" s="26" t="str">
        <f t="shared" si="20"/>
        <v>ALAN</v>
      </c>
      <c r="J182" s="26" t="str">
        <f t="shared" si="21"/>
        <v>5Sampaio Corrêa - MA1</v>
      </c>
      <c r="K182" s="27" t="str">
        <f>IFERROR(VLOOKUP(J182,Substituicoes!J:J,1,0),"SS")</f>
        <v>SS</v>
      </c>
      <c r="L182" s="27" t="str">
        <f>IFERROR(VLOOKUP(J182,Substituicoes!K:K,1,0),"SS")</f>
        <v>SS</v>
      </c>
      <c r="M182" s="28" t="b">
        <f t="shared" si="22"/>
        <v>1</v>
      </c>
      <c r="N182" s="29">
        <f>IF(AND(K182=L182,LEFT(E182,1)="T"),VLOOKUP(A182,'JOGOS BASE'!A:E,4,0),IF(K182=J182,VLOOKUP(J182,Substituicoes!J:R,6,0),IF(L182=J182,VLOOKUP(Escalacao!J182,Substituicoes!K:R,7,0),0)))</f>
        <v>46</v>
      </c>
      <c r="O182" s="28">
        <f>IF(AND(K182=L182,LEFT(E182,1)="T"),VLOOKUP(A182,'JOGOS BASE'!A:E,5,0),IF(K182=J182,VLOOKUP(J182,Substituicoes!J:R,7,0),IF(L182=J182,VLOOKUP(Escalacao!J182,Substituicoes!K:R,8,0),0)))</f>
        <v>48</v>
      </c>
      <c r="P182" s="28">
        <f t="shared" si="23"/>
        <v>94</v>
      </c>
      <c r="Q182" s="28" t="str">
        <f t="shared" si="24"/>
        <v>51Sampaio Corrêa - MA</v>
      </c>
      <c r="R182" s="28" t="str">
        <f>VLOOKUP(A182,'JOGOS BASE'!A:H,8)</f>
        <v>15.01.2025 - IAPE - MA x Sampaio Corrêa - MA</v>
      </c>
    </row>
    <row r="183" spans="1:18" ht="30.6">
      <c r="A183" s="15">
        <v>5</v>
      </c>
      <c r="B183" s="46">
        <v>2</v>
      </c>
      <c r="C183" s="45" t="s">
        <v>61</v>
      </c>
      <c r="D183" s="45" t="s">
        <v>62</v>
      </c>
      <c r="E183" s="47" t="s">
        <v>26</v>
      </c>
      <c r="F183" s="47" t="s">
        <v>24</v>
      </c>
      <c r="G183" s="46">
        <v>400878</v>
      </c>
      <c r="H183" s="15" t="s">
        <v>122</v>
      </c>
      <c r="I183" s="26" t="str">
        <f t="shared" si="20"/>
        <v>JÔ</v>
      </c>
      <c r="J183" s="26" t="str">
        <f t="shared" si="21"/>
        <v>5Sampaio Corrêa - MA2</v>
      </c>
      <c r="K183" s="27" t="str">
        <f>IFERROR(VLOOKUP(J183,Substituicoes!J:J,1,0),"SS")</f>
        <v>SS</v>
      </c>
      <c r="L183" s="27" t="str">
        <f>IFERROR(VLOOKUP(J183,Substituicoes!K:K,1,0),"SS")</f>
        <v>SS</v>
      </c>
      <c r="M183" s="28" t="b">
        <f t="shared" si="22"/>
        <v>1</v>
      </c>
      <c r="N183" s="29">
        <f>IF(AND(K183=L183,LEFT(E183,1)="T"),VLOOKUP(A183,'JOGOS BASE'!A:E,4,0),IF(K183=J183,VLOOKUP(J183,Substituicoes!J:R,6,0),IF(L183=J183,VLOOKUP(Escalacao!J183,Substituicoes!K:R,7,0),0)))</f>
        <v>46</v>
      </c>
      <c r="O183" s="28">
        <f>IF(AND(K183=L183,LEFT(E183,1)="T"),VLOOKUP(A183,'JOGOS BASE'!A:E,5,0),IF(K183=J183,VLOOKUP(J183,Substituicoes!J:R,7,0),IF(L183=J183,VLOOKUP(Escalacao!J183,Substituicoes!K:R,8,0),0)))</f>
        <v>48</v>
      </c>
      <c r="P183" s="28">
        <f t="shared" si="23"/>
        <v>94</v>
      </c>
      <c r="Q183" s="28" t="str">
        <f t="shared" si="24"/>
        <v>52Sampaio Corrêa - MA</v>
      </c>
      <c r="R183" s="28" t="str">
        <f>VLOOKUP(A183,'JOGOS BASE'!A:H,8)</f>
        <v>15.01.2025 - IAPE - MA x Sampaio Corrêa - MA</v>
      </c>
    </row>
    <row r="184" spans="1:18" ht="30.6">
      <c r="A184" s="15">
        <v>5</v>
      </c>
      <c r="B184" s="46">
        <v>3</v>
      </c>
      <c r="C184" s="45" t="s">
        <v>13</v>
      </c>
      <c r="D184" s="45" t="s">
        <v>63</v>
      </c>
      <c r="E184" s="47" t="s">
        <v>26</v>
      </c>
      <c r="F184" s="47" t="s">
        <v>24</v>
      </c>
      <c r="G184" s="46">
        <v>657429</v>
      </c>
      <c r="H184" s="15" t="s">
        <v>122</v>
      </c>
      <c r="I184" s="26" t="str">
        <f t="shared" si="20"/>
        <v>Eduardo</v>
      </c>
      <c r="J184" s="26" t="str">
        <f t="shared" si="21"/>
        <v>5Sampaio Corrêa - MA3</v>
      </c>
      <c r="K184" s="27" t="str">
        <f>IFERROR(VLOOKUP(J184,Substituicoes!J:J,1,0),"SS")</f>
        <v>SS</v>
      </c>
      <c r="L184" s="27" t="str">
        <f>IFERROR(VLOOKUP(J184,Substituicoes!K:K,1,0),"SS")</f>
        <v>SS</v>
      </c>
      <c r="M184" s="28" t="b">
        <f t="shared" si="22"/>
        <v>1</v>
      </c>
      <c r="N184" s="29">
        <f>IF(AND(K184=L184,LEFT(E184,1)="T"),VLOOKUP(A184,'JOGOS BASE'!A:E,4,0),IF(K184=J184,VLOOKUP(J184,Substituicoes!J:R,6,0),IF(L184=J184,VLOOKUP(Escalacao!J184,Substituicoes!K:R,7,0),0)))</f>
        <v>46</v>
      </c>
      <c r="O184" s="28">
        <f>IF(AND(K184=L184,LEFT(E184,1)="T"),VLOOKUP(A184,'JOGOS BASE'!A:E,5,0),IF(K184=J184,VLOOKUP(J184,Substituicoes!J:R,7,0),IF(L184=J184,VLOOKUP(Escalacao!J184,Substituicoes!K:R,8,0),0)))</f>
        <v>48</v>
      </c>
      <c r="P184" s="28">
        <f t="shared" si="23"/>
        <v>94</v>
      </c>
      <c r="Q184" s="28" t="str">
        <f t="shared" si="24"/>
        <v>53Sampaio Corrêa - MA</v>
      </c>
      <c r="R184" s="28" t="str">
        <f>VLOOKUP(A184,'JOGOS BASE'!A:H,8)</f>
        <v>15.01.2025 - IAPE - MA x Sampaio Corrêa - MA</v>
      </c>
    </row>
    <row r="185" spans="1:18" ht="30.6">
      <c r="A185" s="15">
        <v>5</v>
      </c>
      <c r="B185" s="46">
        <v>4</v>
      </c>
      <c r="C185" s="45" t="s">
        <v>14</v>
      </c>
      <c r="D185" s="45" t="s">
        <v>64</v>
      </c>
      <c r="E185" s="47" t="s">
        <v>26</v>
      </c>
      <c r="F185" s="47" t="s">
        <v>24</v>
      </c>
      <c r="G185" s="46">
        <v>298371</v>
      </c>
      <c r="H185" s="15" t="s">
        <v>122</v>
      </c>
      <c r="I185" s="26" t="str">
        <f t="shared" si="20"/>
        <v>Fabio</v>
      </c>
      <c r="J185" s="26" t="str">
        <f t="shared" si="21"/>
        <v>5Sampaio Corrêa - MA4</v>
      </c>
      <c r="K185" s="27" t="str">
        <f>IFERROR(VLOOKUP(J185,Substituicoes!J:J,1,0),"SS")</f>
        <v>SS</v>
      </c>
      <c r="L185" s="27" t="str">
        <f>IFERROR(VLOOKUP(J185,Substituicoes!K:K,1,0),"SS")</f>
        <v>SS</v>
      </c>
      <c r="M185" s="28" t="b">
        <f t="shared" si="22"/>
        <v>1</v>
      </c>
      <c r="N185" s="29">
        <f>IF(AND(K185=L185,LEFT(E185,1)="T"),VLOOKUP(A185,'JOGOS BASE'!A:E,4,0),IF(K185=J185,VLOOKUP(J185,Substituicoes!J:R,6,0),IF(L185=J185,VLOOKUP(Escalacao!J185,Substituicoes!K:R,7,0),0)))</f>
        <v>46</v>
      </c>
      <c r="O185" s="28">
        <f>IF(AND(K185=L185,LEFT(E185,1)="T"),VLOOKUP(A185,'JOGOS BASE'!A:E,5,0),IF(K185=J185,VLOOKUP(J185,Substituicoes!J:R,7,0),IF(L185=J185,VLOOKUP(Escalacao!J185,Substituicoes!K:R,8,0),0)))</f>
        <v>48</v>
      </c>
      <c r="P185" s="28">
        <f t="shared" si="23"/>
        <v>94</v>
      </c>
      <c r="Q185" s="28" t="str">
        <f t="shared" si="24"/>
        <v>54Sampaio Corrêa - MA</v>
      </c>
      <c r="R185" s="28" t="str">
        <f>VLOOKUP(A185,'JOGOS BASE'!A:H,8)</f>
        <v>15.01.2025 - IAPE - MA x Sampaio Corrêa - MA</v>
      </c>
    </row>
    <row r="186" spans="1:18" ht="30.6">
      <c r="A186" s="15">
        <v>5</v>
      </c>
      <c r="B186" s="46">
        <v>5</v>
      </c>
      <c r="C186" s="45" t="s">
        <v>15</v>
      </c>
      <c r="D186" s="45" t="s">
        <v>65</v>
      </c>
      <c r="E186" s="47" t="s">
        <v>26</v>
      </c>
      <c r="F186" s="47" t="s">
        <v>24</v>
      </c>
      <c r="G186" s="46">
        <v>509723</v>
      </c>
      <c r="H186" s="15" t="s">
        <v>122</v>
      </c>
      <c r="I186" s="26" t="str">
        <f t="shared" si="20"/>
        <v>Cavi</v>
      </c>
      <c r="J186" s="26" t="str">
        <f t="shared" si="21"/>
        <v>5Sampaio Corrêa - MA5</v>
      </c>
      <c r="K186" s="27" t="str">
        <f>IFERROR(VLOOKUP(J186,Substituicoes!J:J,1,0),"SS")</f>
        <v>SS</v>
      </c>
      <c r="L186" s="27" t="str">
        <f>IFERROR(VLOOKUP(J186,Substituicoes!K:K,1,0),"SS")</f>
        <v>SS</v>
      </c>
      <c r="M186" s="28" t="b">
        <f t="shared" si="22"/>
        <v>1</v>
      </c>
      <c r="N186" s="29">
        <f>IF(AND(K186=L186,LEFT(E186,1)="T"),VLOOKUP(A186,'JOGOS BASE'!A:E,4,0),IF(K186=J186,VLOOKUP(J186,Substituicoes!J:R,6,0),IF(L186=J186,VLOOKUP(Escalacao!J186,Substituicoes!K:R,7,0),0)))</f>
        <v>46</v>
      </c>
      <c r="O186" s="28">
        <f>IF(AND(K186=L186,LEFT(E186,1)="T"),VLOOKUP(A186,'JOGOS BASE'!A:E,5,0),IF(K186=J186,VLOOKUP(J186,Substituicoes!J:R,7,0),IF(L186=J186,VLOOKUP(Escalacao!J186,Substituicoes!K:R,8,0),0)))</f>
        <v>48</v>
      </c>
      <c r="P186" s="28">
        <f t="shared" si="23"/>
        <v>94</v>
      </c>
      <c r="Q186" s="28" t="str">
        <f t="shared" si="24"/>
        <v>55Sampaio Corrêa - MA</v>
      </c>
      <c r="R186" s="28" t="str">
        <f>VLOOKUP(A186,'JOGOS BASE'!A:H,8)</f>
        <v>15.01.2025 - IAPE - MA x Sampaio Corrêa - MA</v>
      </c>
    </row>
    <row r="187" spans="1:18" ht="30.6">
      <c r="A187" s="15">
        <v>5</v>
      </c>
      <c r="B187" s="46">
        <v>6</v>
      </c>
      <c r="C187" s="45" t="s">
        <v>66</v>
      </c>
      <c r="D187" s="45" t="s">
        <v>67</v>
      </c>
      <c r="E187" s="47" t="s">
        <v>26</v>
      </c>
      <c r="F187" s="47" t="s">
        <v>24</v>
      </c>
      <c r="G187" s="46">
        <v>520878</v>
      </c>
      <c r="H187" s="15" t="s">
        <v>122</v>
      </c>
      <c r="I187" s="26" t="str">
        <f t="shared" si="20"/>
        <v>Thiago Rosa</v>
      </c>
      <c r="J187" s="26" t="str">
        <f t="shared" si="21"/>
        <v>5Sampaio Corrêa - MA6</v>
      </c>
      <c r="K187" s="27" t="str">
        <f>IFERROR(VLOOKUP(J187,Substituicoes!J:J,1,0),"SS")</f>
        <v>SS</v>
      </c>
      <c r="L187" s="27" t="str">
        <f>IFERROR(VLOOKUP(J187,Substituicoes!K:K,1,0),"SS")</f>
        <v>SS</v>
      </c>
      <c r="M187" s="28" t="b">
        <f t="shared" si="22"/>
        <v>1</v>
      </c>
      <c r="N187" s="29">
        <f>IF(AND(K187=L187,LEFT(E187,1)="T"),VLOOKUP(A187,'JOGOS BASE'!A:E,4,0),IF(K187=J187,VLOOKUP(J187,Substituicoes!J:R,6,0),IF(L187=J187,VLOOKUP(Escalacao!J187,Substituicoes!K:R,7,0),0)))</f>
        <v>46</v>
      </c>
      <c r="O187" s="28">
        <f>IF(AND(K187=L187,LEFT(E187,1)="T"),VLOOKUP(A187,'JOGOS BASE'!A:E,5,0),IF(K187=J187,VLOOKUP(J187,Substituicoes!J:R,7,0),IF(L187=J187,VLOOKUP(Escalacao!J187,Substituicoes!K:R,8,0),0)))</f>
        <v>48</v>
      </c>
      <c r="P187" s="28">
        <f t="shared" si="23"/>
        <v>94</v>
      </c>
      <c r="Q187" s="28" t="str">
        <f t="shared" si="24"/>
        <v>56Sampaio Corrêa - MA</v>
      </c>
      <c r="R187" s="28" t="str">
        <f>VLOOKUP(A187,'JOGOS BASE'!A:H,8)</f>
        <v>15.01.2025 - IAPE - MA x Sampaio Corrêa - MA</v>
      </c>
    </row>
    <row r="188" spans="1:18" ht="30.6">
      <c r="A188" s="15">
        <v>5</v>
      </c>
      <c r="B188" s="46">
        <v>7</v>
      </c>
      <c r="C188" s="45" t="s">
        <v>92</v>
      </c>
      <c r="D188" s="45" t="s">
        <v>93</v>
      </c>
      <c r="E188" s="47" t="s">
        <v>26</v>
      </c>
      <c r="F188" s="47" t="s">
        <v>24</v>
      </c>
      <c r="G188" s="46">
        <v>432056</v>
      </c>
      <c r="H188" s="15" t="s">
        <v>122</v>
      </c>
      <c r="I188" s="26" t="str">
        <f t="shared" si="20"/>
        <v>Thiago</v>
      </c>
      <c r="J188" s="26" t="str">
        <f t="shared" si="21"/>
        <v>5Sampaio Corrêa - MA7</v>
      </c>
      <c r="K188" s="27" t="str">
        <f>IFERROR(VLOOKUP(J188,Substituicoes!J:J,1,0),"SS")</f>
        <v>SS</v>
      </c>
      <c r="L188" s="27" t="str">
        <f>IFERROR(VLOOKUP(J188,Substituicoes!K:K,1,0),"SS")</f>
        <v>5Sampaio Corrêa - MA7</v>
      </c>
      <c r="M188" s="28" t="b">
        <f t="shared" si="22"/>
        <v>0</v>
      </c>
      <c r="N188" s="29">
        <f>IF(AND(K188=L188,LEFT(E188,1)="T"),VLOOKUP(A188,'JOGOS BASE'!A:E,4,0),IF(K188=J188,VLOOKUP(J188,Substituicoes!J:R,6,0),IF(L188=J188,VLOOKUP(Escalacao!J188,Substituicoes!K:R,7,0),0)))</f>
        <v>46</v>
      </c>
      <c r="O188" s="28">
        <f>IF(AND(K188=L188,LEFT(E188,1)="T"),VLOOKUP(A188,'JOGOS BASE'!A:E,5,0),IF(K188=J188,VLOOKUP(J188,Substituicoes!J:R,7,0),IF(L188=J188,VLOOKUP(Escalacao!J188,Substituicoes!K:R,8,0),0)))</f>
        <v>14</v>
      </c>
      <c r="P188" s="28">
        <f t="shared" si="23"/>
        <v>60</v>
      </c>
      <c r="Q188" s="28" t="str">
        <f t="shared" si="24"/>
        <v>57Sampaio Corrêa - MA</v>
      </c>
      <c r="R188" s="28" t="str">
        <f>VLOOKUP(A188,'JOGOS BASE'!A:H,8)</f>
        <v>15.01.2025 - IAPE - MA x Sampaio Corrêa - MA</v>
      </c>
    </row>
    <row r="189" spans="1:18" ht="30.6">
      <c r="A189" s="15">
        <v>5</v>
      </c>
      <c r="B189" s="46">
        <v>8</v>
      </c>
      <c r="C189" s="45" t="s">
        <v>70</v>
      </c>
      <c r="D189" s="45" t="s">
        <v>71</v>
      </c>
      <c r="E189" s="47" t="s">
        <v>26</v>
      </c>
      <c r="F189" s="47" t="s">
        <v>24</v>
      </c>
      <c r="G189" s="46">
        <v>525569</v>
      </c>
      <c r="H189" s="15" t="s">
        <v>122</v>
      </c>
      <c r="I189" s="26" t="str">
        <f t="shared" si="20"/>
        <v>Isaias</v>
      </c>
      <c r="J189" s="26" t="str">
        <f t="shared" si="21"/>
        <v>5Sampaio Corrêa - MA8</v>
      </c>
      <c r="K189" s="27" t="str">
        <f>IFERROR(VLOOKUP(J189,Substituicoes!J:J,1,0),"SS")</f>
        <v>SS</v>
      </c>
      <c r="L189" s="27" t="str">
        <f>IFERROR(VLOOKUP(J189,Substituicoes!K:K,1,0),"SS")</f>
        <v>5Sampaio Corrêa - MA8</v>
      </c>
      <c r="M189" s="28" t="b">
        <f t="shared" si="22"/>
        <v>0</v>
      </c>
      <c r="N189" s="29">
        <f>IF(AND(K189=L189,LEFT(E189,1)="T"),VLOOKUP(A189,'JOGOS BASE'!A:E,4,0),IF(K189=J189,VLOOKUP(J189,Substituicoes!J:R,6,0),IF(L189=J189,VLOOKUP(Escalacao!J189,Substituicoes!K:R,7,0),0)))</f>
        <v>46</v>
      </c>
      <c r="O189" s="28">
        <f>IF(AND(K189=L189,LEFT(E189,1)="T"),VLOOKUP(A189,'JOGOS BASE'!A:E,5,0),IF(K189=J189,VLOOKUP(J189,Substituicoes!J:R,7,0),IF(L189=J189,VLOOKUP(Escalacao!J189,Substituicoes!K:R,8,0),0)))</f>
        <v>33</v>
      </c>
      <c r="P189" s="28">
        <f t="shared" si="23"/>
        <v>79</v>
      </c>
      <c r="Q189" s="28" t="str">
        <f t="shared" si="24"/>
        <v>58Sampaio Corrêa - MA</v>
      </c>
      <c r="R189" s="28" t="str">
        <f>VLOOKUP(A189,'JOGOS BASE'!A:H,8)</f>
        <v>15.01.2025 - IAPE - MA x Sampaio Corrêa - MA</v>
      </c>
    </row>
    <row r="190" spans="1:18" ht="30.6">
      <c r="A190" s="15">
        <v>5</v>
      </c>
      <c r="B190" s="46">
        <v>9</v>
      </c>
      <c r="C190" s="45" t="s">
        <v>72</v>
      </c>
      <c r="D190" s="45" t="s">
        <v>73</v>
      </c>
      <c r="E190" s="47" t="s">
        <v>26</v>
      </c>
      <c r="F190" s="47" t="s">
        <v>24</v>
      </c>
      <c r="G190" s="46">
        <v>436356</v>
      </c>
      <c r="H190" s="15" t="s">
        <v>122</v>
      </c>
      <c r="I190" s="26" t="str">
        <f t="shared" si="20"/>
        <v>Alan James</v>
      </c>
      <c r="J190" s="26" t="str">
        <f t="shared" si="21"/>
        <v>5Sampaio Corrêa - MA9</v>
      </c>
      <c r="K190" s="27" t="str">
        <f>IFERROR(VLOOKUP(J190,Substituicoes!J:J,1,0),"SS")</f>
        <v>SS</v>
      </c>
      <c r="L190" s="27" t="str">
        <f>IFERROR(VLOOKUP(J190,Substituicoes!K:K,1,0),"SS")</f>
        <v>5Sampaio Corrêa - MA9</v>
      </c>
      <c r="M190" s="28" t="b">
        <f t="shared" si="22"/>
        <v>0</v>
      </c>
      <c r="N190" s="29">
        <f>IF(AND(K190=L190,LEFT(E190,1)="T"),VLOOKUP(A190,'JOGOS BASE'!A:E,4,0),IF(K190=J190,VLOOKUP(J190,Substituicoes!J:R,6,0),IF(L190=J190,VLOOKUP(Escalacao!J190,Substituicoes!K:R,7,0),0)))</f>
        <v>46</v>
      </c>
      <c r="O190" s="28">
        <f>IF(AND(K190=L190,LEFT(E190,1)="T"),VLOOKUP(A190,'JOGOS BASE'!A:E,5,0),IF(K190=J190,VLOOKUP(J190,Substituicoes!J:R,7,0),IF(L190=J190,VLOOKUP(Escalacao!J190,Substituicoes!K:R,8,0),0)))</f>
        <v>35</v>
      </c>
      <c r="P190" s="28">
        <f t="shared" si="23"/>
        <v>81</v>
      </c>
      <c r="Q190" s="28" t="str">
        <f t="shared" si="24"/>
        <v>59Sampaio Corrêa - MA</v>
      </c>
      <c r="R190" s="28" t="str">
        <f>VLOOKUP(A190,'JOGOS BASE'!A:H,8)</f>
        <v>15.01.2025 - IAPE - MA x Sampaio Corrêa - MA</v>
      </c>
    </row>
    <row r="191" spans="1:18" ht="30.6">
      <c r="A191" s="15">
        <v>5</v>
      </c>
      <c r="B191" s="46">
        <v>10</v>
      </c>
      <c r="C191" s="45" t="s">
        <v>74</v>
      </c>
      <c r="D191" s="45" t="s">
        <v>75</v>
      </c>
      <c r="E191" s="47" t="s">
        <v>26</v>
      </c>
      <c r="F191" s="47" t="s">
        <v>24</v>
      </c>
      <c r="G191" s="46">
        <v>668800</v>
      </c>
      <c r="H191" s="15" t="s">
        <v>122</v>
      </c>
      <c r="I191" s="26" t="str">
        <f t="shared" si="20"/>
        <v>STENCE</v>
      </c>
      <c r="J191" s="26" t="str">
        <f t="shared" si="21"/>
        <v>5Sampaio Corrêa - MA10</v>
      </c>
      <c r="K191" s="27" t="str">
        <f>IFERROR(VLOOKUP(J191,Substituicoes!J:J,1,0),"SS")</f>
        <v>SS</v>
      </c>
      <c r="L191" s="27" t="str">
        <f>IFERROR(VLOOKUP(J191,Substituicoes!K:K,1,0),"SS")</f>
        <v>5Sampaio Corrêa - MA10</v>
      </c>
      <c r="M191" s="28" t="b">
        <f t="shared" si="22"/>
        <v>0</v>
      </c>
      <c r="N191" s="29">
        <f>IF(AND(K191=L191,LEFT(E191,1)="T"),VLOOKUP(A191,'JOGOS BASE'!A:E,4,0),IF(K191=J191,VLOOKUP(J191,Substituicoes!J:R,6,0),IF(L191=J191,VLOOKUP(Escalacao!J191,Substituicoes!K:R,7,0),0)))</f>
        <v>46</v>
      </c>
      <c r="O191" s="28">
        <f>IF(AND(K191=L191,LEFT(E191,1)="T"),VLOOKUP(A191,'JOGOS BASE'!A:E,5,0),IF(K191=J191,VLOOKUP(J191,Substituicoes!J:R,7,0),IF(L191=J191,VLOOKUP(Escalacao!J191,Substituicoes!K:R,8,0),0)))</f>
        <v>0</v>
      </c>
      <c r="P191" s="28">
        <f t="shared" si="23"/>
        <v>46</v>
      </c>
      <c r="Q191" s="28" t="str">
        <f t="shared" si="24"/>
        <v>510Sampaio Corrêa - MA</v>
      </c>
      <c r="R191" s="28" t="str">
        <f>VLOOKUP(A191,'JOGOS BASE'!A:H,8)</f>
        <v>15.01.2025 - IAPE - MA x Sampaio Corrêa - MA</v>
      </c>
    </row>
    <row r="192" spans="1:18" ht="30.6">
      <c r="A192" s="15">
        <v>5</v>
      </c>
      <c r="B192" s="46">
        <v>17</v>
      </c>
      <c r="C192" s="45" t="s">
        <v>76</v>
      </c>
      <c r="D192" s="45" t="s">
        <v>77</v>
      </c>
      <c r="E192" s="47" t="s">
        <v>26</v>
      </c>
      <c r="F192" s="47" t="s">
        <v>24</v>
      </c>
      <c r="G192" s="46">
        <v>612220</v>
      </c>
      <c r="H192" s="15" t="s">
        <v>122</v>
      </c>
      <c r="I192" s="26" t="str">
        <f t="shared" si="20"/>
        <v>Wendell</v>
      </c>
      <c r="J192" s="26" t="str">
        <f t="shared" si="21"/>
        <v>5Sampaio Corrêa - MA17</v>
      </c>
      <c r="K192" s="27" t="str">
        <f>IFERROR(VLOOKUP(J192,Substituicoes!J:J,1,0),"SS")</f>
        <v>SS</v>
      </c>
      <c r="L192" s="27" t="str">
        <f>IFERROR(VLOOKUP(J192,Substituicoes!K:K,1,0),"SS")</f>
        <v>5Sampaio Corrêa - MA17</v>
      </c>
      <c r="M192" s="28" t="b">
        <f t="shared" si="22"/>
        <v>0</v>
      </c>
      <c r="N192" s="29">
        <f>IF(AND(K192=L192,LEFT(E192,1)="T"),VLOOKUP(A192,'JOGOS BASE'!A:E,4,0),IF(K192=J192,VLOOKUP(J192,Substituicoes!J:R,6,0),IF(L192=J192,VLOOKUP(Escalacao!J192,Substituicoes!K:R,7,0),0)))</f>
        <v>46</v>
      </c>
      <c r="O192" s="28">
        <f>IF(AND(K192=L192,LEFT(E192,1)="T"),VLOOKUP(A192,'JOGOS BASE'!A:E,5,0),IF(K192=J192,VLOOKUP(J192,Substituicoes!J:R,7,0),IF(L192=J192,VLOOKUP(Escalacao!J192,Substituicoes!K:R,8,0),0)))</f>
        <v>0</v>
      </c>
      <c r="P192" s="28">
        <f t="shared" si="23"/>
        <v>46</v>
      </c>
      <c r="Q192" s="28" t="str">
        <f t="shared" si="24"/>
        <v>517Sampaio Corrêa - MA</v>
      </c>
      <c r="R192" s="28" t="str">
        <f>VLOOKUP(A192,'JOGOS BASE'!A:H,8)</f>
        <v>15.01.2025 - IAPE - MA x Sampaio Corrêa - MA</v>
      </c>
    </row>
    <row r="193" spans="1:18" ht="30.6">
      <c r="A193" s="15">
        <v>5</v>
      </c>
      <c r="B193" s="46">
        <v>12</v>
      </c>
      <c r="C193" s="45" t="s">
        <v>78</v>
      </c>
      <c r="D193" s="45" t="s">
        <v>79</v>
      </c>
      <c r="E193" s="47" t="s">
        <v>40</v>
      </c>
      <c r="F193" s="47" t="s">
        <v>24</v>
      </c>
      <c r="G193" s="46">
        <v>387319</v>
      </c>
      <c r="H193" s="15" t="s">
        <v>122</v>
      </c>
      <c r="I193" s="26" t="str">
        <f t="shared" si="20"/>
        <v>Rhuan</v>
      </c>
      <c r="J193" s="26" t="str">
        <f t="shared" si="21"/>
        <v>5Sampaio Corrêa - MA12</v>
      </c>
      <c r="K193" s="27" t="str">
        <f>IFERROR(VLOOKUP(J193,Substituicoes!J:J,1,0),"SS")</f>
        <v>SS</v>
      </c>
      <c r="L193" s="27" t="str">
        <f>IFERROR(VLOOKUP(J193,Substituicoes!K:K,1,0),"SS")</f>
        <v>SS</v>
      </c>
      <c r="M193" s="28" t="b">
        <f t="shared" si="22"/>
        <v>1</v>
      </c>
      <c r="N193" s="29">
        <f>IF(AND(K193=L193,LEFT(E193,1)="T"),VLOOKUP(A193,'JOGOS BASE'!A:E,4,0),IF(K193=J193,VLOOKUP(J193,Substituicoes!J:R,6,0),IF(L193=J193,VLOOKUP(Escalacao!J193,Substituicoes!K:R,7,0),0)))</f>
        <v>0</v>
      </c>
      <c r="O193" s="28">
        <f>IF(AND(K193=L193,LEFT(E193,1)="T"),VLOOKUP(A193,'JOGOS BASE'!A:E,5,0),IF(K193=J193,VLOOKUP(J193,Substituicoes!J:R,7,0),IF(L193=J193,VLOOKUP(Escalacao!J193,Substituicoes!K:R,8,0),0)))</f>
        <v>0</v>
      </c>
      <c r="P193" s="28">
        <f t="shared" si="23"/>
        <v>0</v>
      </c>
      <c r="Q193" s="28" t="str">
        <f t="shared" si="24"/>
        <v>512Sampaio Corrêa - MA</v>
      </c>
      <c r="R193" s="28" t="str">
        <f>VLOOKUP(A193,'JOGOS BASE'!A:H,8)</f>
        <v>15.01.2025 - IAPE - MA x Sampaio Corrêa - MA</v>
      </c>
    </row>
    <row r="194" spans="1:18" ht="30.6">
      <c r="A194" s="15">
        <v>5</v>
      </c>
      <c r="B194" s="46">
        <v>11</v>
      </c>
      <c r="C194" s="45" t="s">
        <v>476</v>
      </c>
      <c r="D194" s="45" t="s">
        <v>477</v>
      </c>
      <c r="E194" s="47" t="s">
        <v>42</v>
      </c>
      <c r="F194" s="47" t="s">
        <v>24</v>
      </c>
      <c r="G194" s="46">
        <v>183546</v>
      </c>
      <c r="H194" s="15" t="s">
        <v>122</v>
      </c>
      <c r="I194" s="26" t="str">
        <f t="shared" si="20"/>
        <v>Pimentinha</v>
      </c>
      <c r="J194" s="26" t="str">
        <f t="shared" si="21"/>
        <v>5Sampaio Corrêa - MA11</v>
      </c>
      <c r="K194" s="27" t="str">
        <f>IFERROR(VLOOKUP(J194,Substituicoes!J:J,1,0),"SS")</f>
        <v>5Sampaio Corrêa - MA11</v>
      </c>
      <c r="L194" s="27" t="str">
        <f>IFERROR(VLOOKUP(J194,Substituicoes!K:K,1,0),"SS")</f>
        <v>SS</v>
      </c>
      <c r="M194" s="28" t="b">
        <f t="shared" si="22"/>
        <v>0</v>
      </c>
      <c r="N194" s="29">
        <f>IF(AND(K194=L194,LEFT(E194,1)="T"),VLOOKUP(A194,'JOGOS BASE'!A:E,4,0),IF(K194=J194,VLOOKUP(J194,Substituicoes!J:R,6,0),IF(L194=J194,VLOOKUP(Escalacao!J194,Substituicoes!K:R,7,0),0)))</f>
        <v>0</v>
      </c>
      <c r="O194" s="28">
        <f>IF(AND(K194=L194,LEFT(E194,1)="T"),VLOOKUP(A194,'JOGOS BASE'!A:E,5,0),IF(K194=J194,VLOOKUP(J194,Substituicoes!J:R,7,0),IF(L194=J194,VLOOKUP(Escalacao!J194,Substituicoes!K:R,8,0),0)))</f>
        <v>34</v>
      </c>
      <c r="P194" s="28">
        <f t="shared" si="23"/>
        <v>34</v>
      </c>
      <c r="Q194" s="28" t="str">
        <f t="shared" si="24"/>
        <v>511Sampaio Corrêa - MA</v>
      </c>
      <c r="R194" s="28" t="str">
        <f>VLOOKUP(A194,'JOGOS BASE'!A:H,8)</f>
        <v>15.01.2025 - IAPE - MA x Sampaio Corrêa - MA</v>
      </c>
    </row>
    <row r="195" spans="1:18" ht="30.6">
      <c r="A195" s="15">
        <v>5</v>
      </c>
      <c r="B195" s="46">
        <v>13</v>
      </c>
      <c r="C195" s="45" t="s">
        <v>80</v>
      </c>
      <c r="D195" s="45" t="s">
        <v>81</v>
      </c>
      <c r="E195" s="47" t="s">
        <v>42</v>
      </c>
      <c r="F195" s="47" t="s">
        <v>24</v>
      </c>
      <c r="G195" s="46">
        <v>590518</v>
      </c>
      <c r="H195" s="15" t="s">
        <v>122</v>
      </c>
      <c r="I195" s="26" t="str">
        <f t="shared" si="20"/>
        <v>GALVÃO</v>
      </c>
      <c r="J195" s="26" t="str">
        <f t="shared" si="21"/>
        <v>5Sampaio Corrêa - MA13</v>
      </c>
      <c r="K195" s="27" t="str">
        <f>IFERROR(VLOOKUP(J195,Substituicoes!J:J,1,0),"SS")</f>
        <v>SS</v>
      </c>
      <c r="L195" s="27" t="str">
        <f>IFERROR(VLOOKUP(J195,Substituicoes!K:K,1,0),"SS")</f>
        <v>SS</v>
      </c>
      <c r="M195" s="28" t="b">
        <f t="shared" si="22"/>
        <v>1</v>
      </c>
      <c r="N195" s="29">
        <f>IF(AND(K195=L195,LEFT(E195,1)="T"),VLOOKUP(A195,'JOGOS BASE'!A:E,4,0),IF(K195=J195,VLOOKUP(J195,Substituicoes!J:R,6,0),IF(L195=J195,VLOOKUP(Escalacao!J195,Substituicoes!K:R,7,0),0)))</f>
        <v>0</v>
      </c>
      <c r="O195" s="28">
        <f>IF(AND(K195=L195,LEFT(E195,1)="T"),VLOOKUP(A195,'JOGOS BASE'!A:E,5,0),IF(K195=J195,VLOOKUP(J195,Substituicoes!J:R,7,0),IF(L195=J195,VLOOKUP(Escalacao!J195,Substituicoes!K:R,8,0),0)))</f>
        <v>0</v>
      </c>
      <c r="P195" s="28">
        <f t="shared" si="23"/>
        <v>0</v>
      </c>
      <c r="Q195" s="28" t="str">
        <f t="shared" si="24"/>
        <v>513Sampaio Corrêa - MA</v>
      </c>
      <c r="R195" s="28" t="str">
        <f>VLOOKUP(A195,'JOGOS BASE'!A:H,8)</f>
        <v>15.01.2025 - IAPE - MA x Sampaio Corrêa - MA</v>
      </c>
    </row>
    <row r="196" spans="1:18" ht="30.6">
      <c r="A196" s="15">
        <v>5</v>
      </c>
      <c r="B196" s="46">
        <v>14</v>
      </c>
      <c r="C196" s="45" t="s">
        <v>82</v>
      </c>
      <c r="D196" s="45" t="s">
        <v>83</v>
      </c>
      <c r="E196" s="47" t="s">
        <v>42</v>
      </c>
      <c r="F196" s="47" t="s">
        <v>24</v>
      </c>
      <c r="G196" s="46">
        <v>552526</v>
      </c>
      <c r="H196" s="15" t="s">
        <v>122</v>
      </c>
      <c r="I196" s="26" t="str">
        <f t="shared" si="20"/>
        <v>Ray</v>
      </c>
      <c r="J196" s="26" t="str">
        <f t="shared" si="21"/>
        <v>5Sampaio Corrêa - MA14</v>
      </c>
      <c r="K196" s="27" t="str">
        <f>IFERROR(VLOOKUP(J196,Substituicoes!J:J,1,0),"SS")</f>
        <v>SS</v>
      </c>
      <c r="L196" s="27" t="str">
        <f>IFERROR(VLOOKUP(J196,Substituicoes!K:K,1,0),"SS")</f>
        <v>SS</v>
      </c>
      <c r="M196" s="28" t="b">
        <f t="shared" si="22"/>
        <v>1</v>
      </c>
      <c r="N196" s="29">
        <f>IF(AND(K196=L196,LEFT(E196,1)="T"),VLOOKUP(A196,'JOGOS BASE'!A:E,4,0),IF(K196=J196,VLOOKUP(J196,Substituicoes!J:R,6,0),IF(L196=J196,VLOOKUP(Escalacao!J196,Substituicoes!K:R,7,0),0)))</f>
        <v>0</v>
      </c>
      <c r="O196" s="28">
        <f>IF(AND(K196=L196,LEFT(E196,1)="T"),VLOOKUP(A196,'JOGOS BASE'!A:E,5,0),IF(K196=J196,VLOOKUP(J196,Substituicoes!J:R,7,0),IF(L196=J196,VLOOKUP(Escalacao!J196,Substituicoes!K:R,8,0),0)))</f>
        <v>0</v>
      </c>
      <c r="P196" s="28">
        <f t="shared" si="23"/>
        <v>0</v>
      </c>
      <c r="Q196" s="28" t="str">
        <f t="shared" si="24"/>
        <v>514Sampaio Corrêa - MA</v>
      </c>
      <c r="R196" s="28" t="str">
        <f>VLOOKUP(A196,'JOGOS BASE'!A:H,8)</f>
        <v>15.01.2025 - IAPE - MA x Sampaio Corrêa - MA</v>
      </c>
    </row>
    <row r="197" spans="1:18" ht="30.6">
      <c r="A197" s="15">
        <v>5</v>
      </c>
      <c r="B197" s="46">
        <v>15</v>
      </c>
      <c r="C197" s="45" t="s">
        <v>84</v>
      </c>
      <c r="D197" s="45" t="s">
        <v>85</v>
      </c>
      <c r="E197" s="47" t="s">
        <v>42</v>
      </c>
      <c r="F197" s="47" t="s">
        <v>24</v>
      </c>
      <c r="G197" s="46">
        <v>523681</v>
      </c>
      <c r="H197" s="15" t="s">
        <v>122</v>
      </c>
      <c r="I197" s="26" t="str">
        <f t="shared" si="20"/>
        <v>Jairzinho</v>
      </c>
      <c r="J197" s="26" t="str">
        <f t="shared" si="21"/>
        <v>5Sampaio Corrêa - MA15</v>
      </c>
      <c r="K197" s="27" t="str">
        <f>IFERROR(VLOOKUP(J197,Substituicoes!J:J,1,0),"SS")</f>
        <v>5Sampaio Corrêa - MA15</v>
      </c>
      <c r="L197" s="27" t="str">
        <f>IFERROR(VLOOKUP(J197,Substituicoes!K:K,1,0),"SS")</f>
        <v>SS</v>
      </c>
      <c r="M197" s="28" t="b">
        <f t="shared" si="22"/>
        <v>0</v>
      </c>
      <c r="N197" s="29">
        <f>IF(AND(K197=L197,LEFT(E197,1)="T"),VLOOKUP(A197,'JOGOS BASE'!A:E,4,0),IF(K197=J197,VLOOKUP(J197,Substituicoes!J:R,6,0),IF(L197=J197,VLOOKUP(Escalacao!J197,Substituicoes!K:R,7,0),0)))</f>
        <v>0</v>
      </c>
      <c r="O197" s="28">
        <f>IF(AND(K197=L197,LEFT(E197,1)="T"),VLOOKUP(A197,'JOGOS BASE'!A:E,5,0),IF(K197=J197,VLOOKUP(J197,Substituicoes!J:R,7,0),IF(L197=J197,VLOOKUP(Escalacao!J197,Substituicoes!K:R,8,0),0)))</f>
        <v>15</v>
      </c>
      <c r="P197" s="28">
        <f t="shared" si="23"/>
        <v>15</v>
      </c>
      <c r="Q197" s="28" t="str">
        <f t="shared" si="24"/>
        <v>515Sampaio Corrêa - MA</v>
      </c>
      <c r="R197" s="28" t="str">
        <f>VLOOKUP(A197,'JOGOS BASE'!A:H,8)</f>
        <v>15.01.2025 - IAPE - MA x Sampaio Corrêa - MA</v>
      </c>
    </row>
    <row r="198" spans="1:18" ht="30.6">
      <c r="A198" s="15">
        <v>5</v>
      </c>
      <c r="B198" s="46">
        <v>16</v>
      </c>
      <c r="C198" s="45" t="s">
        <v>478</v>
      </c>
      <c r="D198" s="45" t="s">
        <v>479</v>
      </c>
      <c r="E198" s="47" t="s">
        <v>42</v>
      </c>
      <c r="F198" s="47" t="s">
        <v>24</v>
      </c>
      <c r="G198" s="46">
        <v>636795</v>
      </c>
      <c r="H198" s="15" t="s">
        <v>122</v>
      </c>
      <c r="I198" s="26" t="str">
        <f t="shared" si="20"/>
        <v>Elivelton</v>
      </c>
      <c r="J198" s="26" t="str">
        <f t="shared" si="21"/>
        <v>5Sampaio Corrêa - MA16</v>
      </c>
      <c r="K198" s="27" t="str">
        <f>IFERROR(VLOOKUP(J198,Substituicoes!J:J,1,0),"SS")</f>
        <v>SS</v>
      </c>
      <c r="L198" s="27" t="str">
        <f>IFERROR(VLOOKUP(J198,Substituicoes!K:K,1,0),"SS")</f>
        <v>SS</v>
      </c>
      <c r="M198" s="28" t="b">
        <f t="shared" si="22"/>
        <v>1</v>
      </c>
      <c r="N198" s="29">
        <f>IF(AND(K198=L198,LEFT(E198,1)="T"),VLOOKUP(A198,'JOGOS BASE'!A:E,4,0),IF(K198=J198,VLOOKUP(J198,Substituicoes!J:R,6,0),IF(L198=J198,VLOOKUP(Escalacao!J198,Substituicoes!K:R,7,0),0)))</f>
        <v>0</v>
      </c>
      <c r="O198" s="28">
        <f>IF(AND(K198=L198,LEFT(E198,1)="T"),VLOOKUP(A198,'JOGOS BASE'!A:E,5,0),IF(K198=J198,VLOOKUP(J198,Substituicoes!J:R,7,0),IF(L198=J198,VLOOKUP(Escalacao!J198,Substituicoes!K:R,8,0),0)))</f>
        <v>0</v>
      </c>
      <c r="P198" s="28">
        <f t="shared" si="23"/>
        <v>0</v>
      </c>
      <c r="Q198" s="28" t="str">
        <f t="shared" si="24"/>
        <v>516Sampaio Corrêa - MA</v>
      </c>
      <c r="R198" s="28" t="str">
        <f>VLOOKUP(A198,'JOGOS BASE'!A:H,8)</f>
        <v>15.01.2025 - IAPE - MA x Sampaio Corrêa - MA</v>
      </c>
    </row>
    <row r="199" spans="1:18" ht="30.6">
      <c r="A199" s="15">
        <v>5</v>
      </c>
      <c r="B199" s="46">
        <v>18</v>
      </c>
      <c r="C199" s="45" t="s">
        <v>90</v>
      </c>
      <c r="D199" s="45" t="s">
        <v>91</v>
      </c>
      <c r="E199" s="47" t="s">
        <v>42</v>
      </c>
      <c r="F199" s="47" t="s">
        <v>24</v>
      </c>
      <c r="G199" s="46">
        <v>335977</v>
      </c>
      <c r="H199" s="15" t="s">
        <v>122</v>
      </c>
      <c r="I199" s="26" t="str">
        <f t="shared" si="20"/>
        <v>Bruno Matos</v>
      </c>
      <c r="J199" s="26" t="str">
        <f t="shared" si="21"/>
        <v>5Sampaio Corrêa - MA18</v>
      </c>
      <c r="K199" s="27" t="str">
        <f>IFERROR(VLOOKUP(J199,Substituicoes!J:J,1,0),"SS")</f>
        <v>5Sampaio Corrêa - MA18</v>
      </c>
      <c r="L199" s="27" t="str">
        <f>IFERROR(VLOOKUP(J199,Substituicoes!K:K,1,0),"SS")</f>
        <v>SS</v>
      </c>
      <c r="M199" s="28" t="b">
        <f t="shared" si="22"/>
        <v>0</v>
      </c>
      <c r="N199" s="29">
        <f>IF(AND(K199=L199,LEFT(E199,1)="T"),VLOOKUP(A199,'JOGOS BASE'!A:E,4,0),IF(K199=J199,VLOOKUP(J199,Substituicoes!J:R,6,0),IF(L199=J199,VLOOKUP(Escalacao!J199,Substituicoes!K:R,7,0),0)))</f>
        <v>0</v>
      </c>
      <c r="O199" s="28">
        <f>IF(AND(K199=L199,LEFT(E199,1)="T"),VLOOKUP(A199,'JOGOS BASE'!A:E,5,0),IF(K199=J199,VLOOKUP(J199,Substituicoes!J:R,7,0),IF(L199=J199,VLOOKUP(Escalacao!J199,Substituicoes!K:R,8,0),0)))</f>
        <v>48</v>
      </c>
      <c r="P199" s="28">
        <f t="shared" si="23"/>
        <v>48</v>
      </c>
      <c r="Q199" s="28" t="str">
        <f t="shared" si="24"/>
        <v>518Sampaio Corrêa - MA</v>
      </c>
      <c r="R199" s="28" t="str">
        <f>VLOOKUP(A199,'JOGOS BASE'!A:H,8)</f>
        <v>15.01.2025 - IAPE - MA x Sampaio Corrêa - MA</v>
      </c>
    </row>
    <row r="200" spans="1:18" ht="30.6">
      <c r="A200" s="15">
        <v>5</v>
      </c>
      <c r="B200" s="46">
        <v>19</v>
      </c>
      <c r="C200" s="45" t="s">
        <v>88</v>
      </c>
      <c r="D200" s="45" t="s">
        <v>89</v>
      </c>
      <c r="E200" s="47" t="s">
        <v>42</v>
      </c>
      <c r="F200" s="47" t="s">
        <v>24</v>
      </c>
      <c r="G200" s="46">
        <v>673834</v>
      </c>
      <c r="H200" s="15" t="s">
        <v>122</v>
      </c>
      <c r="I200" s="26" t="str">
        <f t="shared" si="20"/>
        <v>L7</v>
      </c>
      <c r="J200" s="26" t="str">
        <f t="shared" si="21"/>
        <v>5Sampaio Corrêa - MA19</v>
      </c>
      <c r="K200" s="27" t="str">
        <f>IFERROR(VLOOKUP(J200,Substituicoes!J:J,1,0),"SS")</f>
        <v>5Sampaio Corrêa - MA19</v>
      </c>
      <c r="L200" s="27" t="str">
        <f>IFERROR(VLOOKUP(J200,Substituicoes!K:K,1,0),"SS")</f>
        <v>SS</v>
      </c>
      <c r="M200" s="28" t="b">
        <f t="shared" si="22"/>
        <v>0</v>
      </c>
      <c r="N200" s="29">
        <f>IF(AND(K200=L200,LEFT(E200,1)="T"),VLOOKUP(A200,'JOGOS BASE'!A:E,4,0),IF(K200=J200,VLOOKUP(J200,Substituicoes!J:R,6,0),IF(L200=J200,VLOOKUP(Escalacao!J200,Substituicoes!K:R,7,0),0)))</f>
        <v>0</v>
      </c>
      <c r="O200" s="28">
        <f>IF(AND(K200=L200,LEFT(E200,1)="T"),VLOOKUP(A200,'JOGOS BASE'!A:E,5,0),IF(K200=J200,VLOOKUP(J200,Substituicoes!J:R,7,0),IF(L200=J200,VLOOKUP(Escalacao!J200,Substituicoes!K:R,8,0),0)))</f>
        <v>13</v>
      </c>
      <c r="P200" s="28">
        <f t="shared" si="23"/>
        <v>13</v>
      </c>
      <c r="Q200" s="28" t="str">
        <f t="shared" si="24"/>
        <v>519Sampaio Corrêa - MA</v>
      </c>
      <c r="R200" s="28" t="str">
        <f>VLOOKUP(A200,'JOGOS BASE'!A:H,8)</f>
        <v>15.01.2025 - IAPE - MA x Sampaio Corrêa - MA</v>
      </c>
    </row>
    <row r="201" spans="1:18" ht="30.6">
      <c r="A201" s="15">
        <v>5</v>
      </c>
      <c r="B201" s="46">
        <v>20</v>
      </c>
      <c r="C201" s="45" t="s">
        <v>480</v>
      </c>
      <c r="D201" s="45" t="s">
        <v>481</v>
      </c>
      <c r="E201" s="47" t="s">
        <v>42</v>
      </c>
      <c r="F201" s="47" t="s">
        <v>24</v>
      </c>
      <c r="G201" s="46">
        <v>724360</v>
      </c>
      <c r="H201" s="15" t="s">
        <v>122</v>
      </c>
      <c r="I201" s="26" t="str">
        <f t="shared" si="20"/>
        <v>BACURAU</v>
      </c>
      <c r="J201" s="26" t="str">
        <f t="shared" si="21"/>
        <v>5Sampaio Corrêa - MA20</v>
      </c>
      <c r="K201" s="27" t="str">
        <f>IFERROR(VLOOKUP(J201,Substituicoes!J:J,1,0),"SS")</f>
        <v>SS</v>
      </c>
      <c r="L201" s="27" t="str">
        <f>IFERROR(VLOOKUP(J201,Substituicoes!K:K,1,0),"SS")</f>
        <v>SS</v>
      </c>
      <c r="M201" s="28" t="b">
        <f t="shared" si="22"/>
        <v>1</v>
      </c>
      <c r="N201" s="29">
        <f>IF(AND(K201=L201,LEFT(E201,1)="T"),VLOOKUP(A201,'JOGOS BASE'!A:E,4,0),IF(K201=J201,VLOOKUP(J201,Substituicoes!J:R,6,0),IF(L201=J201,VLOOKUP(Escalacao!J201,Substituicoes!K:R,7,0),0)))</f>
        <v>0</v>
      </c>
      <c r="O201" s="28">
        <f>IF(AND(K201=L201,LEFT(E201,1)="T"),VLOOKUP(A201,'JOGOS BASE'!A:E,5,0),IF(K201=J201,VLOOKUP(J201,Substituicoes!J:R,7,0),IF(L201=J201,VLOOKUP(Escalacao!J201,Substituicoes!K:R,8,0),0)))</f>
        <v>0</v>
      </c>
      <c r="P201" s="28">
        <f t="shared" si="23"/>
        <v>0</v>
      </c>
      <c r="Q201" s="28" t="str">
        <f t="shared" si="24"/>
        <v>520Sampaio Corrêa - MA</v>
      </c>
      <c r="R201" s="28" t="str">
        <f>VLOOKUP(A201,'JOGOS BASE'!A:H,8)</f>
        <v>15.01.2025 - IAPE - MA x Sampaio Corrêa - MA</v>
      </c>
    </row>
    <row r="202" spans="1:18" ht="30.6">
      <c r="A202" s="15">
        <v>5</v>
      </c>
      <c r="B202" s="46">
        <v>21</v>
      </c>
      <c r="C202" s="45" t="s">
        <v>96</v>
      </c>
      <c r="D202" s="45" t="s">
        <v>97</v>
      </c>
      <c r="E202" s="47" t="s">
        <v>42</v>
      </c>
      <c r="F202" s="47" t="s">
        <v>24</v>
      </c>
      <c r="G202" s="46">
        <v>748572</v>
      </c>
      <c r="H202" s="15" t="s">
        <v>122</v>
      </c>
      <c r="I202" s="26" t="str">
        <f t="shared" si="20"/>
        <v>ADRIANO</v>
      </c>
      <c r="J202" s="26" t="str">
        <f t="shared" si="21"/>
        <v>5Sampaio Corrêa - MA21</v>
      </c>
      <c r="K202" s="27" t="str">
        <f>IFERROR(VLOOKUP(J202,Substituicoes!J:J,1,0),"SS")</f>
        <v>SS</v>
      </c>
      <c r="L202" s="27" t="str">
        <f>IFERROR(VLOOKUP(J202,Substituicoes!K:K,1,0),"SS")</f>
        <v>SS</v>
      </c>
      <c r="M202" s="28" t="b">
        <f t="shared" si="22"/>
        <v>1</v>
      </c>
      <c r="N202" s="29">
        <f>IF(AND(K202=L202,LEFT(E202,1)="T"),VLOOKUP(A202,'JOGOS BASE'!A:E,4,0),IF(K202=J202,VLOOKUP(J202,Substituicoes!J:R,6,0),IF(L202=J202,VLOOKUP(Escalacao!J202,Substituicoes!K:R,7,0),0)))</f>
        <v>0</v>
      </c>
      <c r="O202" s="28">
        <f>IF(AND(K202=L202,LEFT(E202,1)="T"),VLOOKUP(A202,'JOGOS BASE'!A:E,5,0),IF(K202=J202,VLOOKUP(J202,Substituicoes!J:R,7,0),IF(L202=J202,VLOOKUP(Escalacao!J202,Substituicoes!K:R,8,0),0)))</f>
        <v>0</v>
      </c>
      <c r="P202" s="28">
        <f t="shared" si="23"/>
        <v>0</v>
      </c>
      <c r="Q202" s="28" t="str">
        <f t="shared" si="24"/>
        <v>521Sampaio Corrêa - MA</v>
      </c>
      <c r="R202" s="28" t="str">
        <f>VLOOKUP(A202,'JOGOS BASE'!A:H,8)</f>
        <v>15.01.2025 - IAPE - MA x Sampaio Corrêa - MA</v>
      </c>
    </row>
    <row r="203" spans="1:18" ht="30.6">
      <c r="A203" s="15">
        <v>5</v>
      </c>
      <c r="B203" s="46">
        <v>22</v>
      </c>
      <c r="C203" s="45" t="s">
        <v>68</v>
      </c>
      <c r="D203" s="45" t="s">
        <v>69</v>
      </c>
      <c r="E203" s="47" t="s">
        <v>42</v>
      </c>
      <c r="F203" s="47" t="s">
        <v>24</v>
      </c>
      <c r="G203" s="46">
        <v>725771</v>
      </c>
      <c r="H203" s="15" t="s">
        <v>122</v>
      </c>
      <c r="I203" s="26" t="str">
        <f t="shared" si="20"/>
        <v>JOÃO LENGE</v>
      </c>
      <c r="J203" s="26" t="str">
        <f t="shared" si="21"/>
        <v>5Sampaio Corrêa - MA22</v>
      </c>
      <c r="K203" s="27" t="str">
        <f>IFERROR(VLOOKUP(J203,Substituicoes!J:J,1,0),"SS")</f>
        <v>SS</v>
      </c>
      <c r="L203" s="27" t="str">
        <f>IFERROR(VLOOKUP(J203,Substituicoes!K:K,1,0),"SS")</f>
        <v>SS</v>
      </c>
      <c r="M203" s="28" t="b">
        <f t="shared" si="22"/>
        <v>1</v>
      </c>
      <c r="N203" s="29">
        <f>IF(AND(K203=L203,LEFT(E203,1)="T"),VLOOKUP(A203,'JOGOS BASE'!A:E,4,0),IF(K203=J203,VLOOKUP(J203,Substituicoes!J:R,6,0),IF(L203=J203,VLOOKUP(Escalacao!J203,Substituicoes!K:R,7,0),0)))</f>
        <v>0</v>
      </c>
      <c r="O203" s="28">
        <f>IF(AND(K203=L203,LEFT(E203,1)="T"),VLOOKUP(A203,'JOGOS BASE'!A:E,5,0),IF(K203=J203,VLOOKUP(J203,Substituicoes!J:R,7,0),IF(L203=J203,VLOOKUP(Escalacao!J203,Substituicoes!K:R,8,0),0)))</f>
        <v>0</v>
      </c>
      <c r="P203" s="28">
        <f t="shared" si="23"/>
        <v>0</v>
      </c>
      <c r="Q203" s="28" t="str">
        <f t="shared" si="24"/>
        <v>522Sampaio Corrêa - MA</v>
      </c>
      <c r="R203" s="28" t="str">
        <f>VLOOKUP(A203,'JOGOS BASE'!A:H,8)</f>
        <v>15.01.2025 - IAPE - MA x Sampaio Corrêa - MA</v>
      </c>
    </row>
    <row r="204" spans="1:18" ht="30.6">
      <c r="A204" s="15">
        <v>5</v>
      </c>
      <c r="B204" s="46">
        <v>23</v>
      </c>
      <c r="C204" s="45" t="s">
        <v>482</v>
      </c>
      <c r="D204" s="45" t="s">
        <v>483</v>
      </c>
      <c r="E204" s="47" t="s">
        <v>42</v>
      </c>
      <c r="F204" s="47" t="s">
        <v>24</v>
      </c>
      <c r="G204" s="46">
        <v>614561</v>
      </c>
      <c r="H204" s="15" t="s">
        <v>122</v>
      </c>
      <c r="I204" s="26" t="str">
        <f t="shared" si="20"/>
        <v>Dodô</v>
      </c>
      <c r="J204" s="26" t="str">
        <f t="shared" si="21"/>
        <v>5Sampaio Corrêa - MA23</v>
      </c>
      <c r="K204" s="27" t="str">
        <f>IFERROR(VLOOKUP(J204,Substituicoes!J:J,1,0),"SS")</f>
        <v>5Sampaio Corrêa - MA23</v>
      </c>
      <c r="L204" s="27" t="str">
        <f>IFERROR(VLOOKUP(J204,Substituicoes!K:K,1,0),"SS")</f>
        <v>SS</v>
      </c>
      <c r="M204" s="28" t="b">
        <f t="shared" si="22"/>
        <v>0</v>
      </c>
      <c r="N204" s="29">
        <f>IF(AND(K204=L204,LEFT(E204,1)="T"),VLOOKUP(A204,'JOGOS BASE'!A:E,4,0),IF(K204=J204,VLOOKUP(J204,Substituicoes!J:R,6,0),IF(L204=J204,VLOOKUP(Escalacao!J204,Substituicoes!K:R,7,0),0)))</f>
        <v>0</v>
      </c>
      <c r="O204" s="28">
        <f>IF(AND(K204=L204,LEFT(E204,1)="T"),VLOOKUP(A204,'JOGOS BASE'!A:E,5,0),IF(K204=J204,VLOOKUP(J204,Substituicoes!J:R,7,0),IF(L204=J204,VLOOKUP(Escalacao!J204,Substituicoes!K:R,8,0),0)))</f>
        <v>48</v>
      </c>
      <c r="P204" s="28">
        <f t="shared" si="23"/>
        <v>48</v>
      </c>
      <c r="Q204" s="28" t="str">
        <f t="shared" si="24"/>
        <v>523Sampaio Corrêa - MA</v>
      </c>
      <c r="R204" s="28" t="str">
        <f>VLOOKUP(A204,'JOGOS BASE'!A:H,8)</f>
        <v>15.01.2025 - IAPE - MA x Sampaio Corrêa - MA</v>
      </c>
    </row>
    <row r="205" spans="1:18" ht="30.6">
      <c r="A205" s="15">
        <v>6</v>
      </c>
      <c r="B205" s="46">
        <v>1</v>
      </c>
      <c r="C205" s="45" t="s">
        <v>519</v>
      </c>
      <c r="D205" s="45" t="s">
        <v>520</v>
      </c>
      <c r="E205" s="47" t="s">
        <v>26</v>
      </c>
      <c r="F205" s="47" t="s">
        <v>24</v>
      </c>
      <c r="G205" s="46">
        <v>517018</v>
      </c>
      <c r="H205" s="18" t="s">
        <v>388</v>
      </c>
      <c r="I205" s="26" t="str">
        <f t="shared" ref="I205:I248" si="25">C205</f>
        <v>Francisco  ...</v>
      </c>
      <c r="J205" s="26" t="str">
        <f t="shared" ref="J205:J248" si="26">A205&amp;H205&amp;B205</f>
        <v>6Tuntum - MA1</v>
      </c>
      <c r="K205" s="27" t="str">
        <f>IFERROR(VLOOKUP(J205,Substituicoes!J:J,1,0),"SS")</f>
        <v>SS</v>
      </c>
      <c r="L205" s="27" t="str">
        <f>IFERROR(VLOOKUP(J205,Substituicoes!K:K,1,0),"SS")</f>
        <v>6Tuntum - MA1</v>
      </c>
      <c r="M205" s="28" t="b">
        <f t="shared" ref="M205:M248" si="27">K205=L205</f>
        <v>0</v>
      </c>
      <c r="N205" s="29">
        <f>IF(AND(K205=L205,LEFT(E205,1)="T"),VLOOKUP(A205,'JOGOS BASE'!A:E,4,0),IF(K205=J205,VLOOKUP(J205,Substituicoes!J:R,6,0),IF(L205=J205,VLOOKUP(Escalacao!J205,Substituicoes!K:R,7,0),0)))</f>
        <v>22</v>
      </c>
      <c r="O205" s="28">
        <f>IF(AND(K205=L205,LEFT(E205,1)="T"),VLOOKUP(A205,'JOGOS BASE'!A:E,5,0),IF(K205=J205,VLOOKUP(J205,Substituicoes!J:R,7,0),IF(L205=J205,VLOOKUP(Escalacao!J205,Substituicoes!K:R,8,0),0)))</f>
        <v>0</v>
      </c>
      <c r="P205" s="28">
        <f t="shared" ref="P205:P248" si="28">N205+O205</f>
        <v>22</v>
      </c>
      <c r="Q205" s="28" t="str">
        <f t="shared" ref="Q205:Q248" si="29">A205&amp;B205&amp;H205</f>
        <v>61Tuntum - MA</v>
      </c>
      <c r="R205" s="28" t="str">
        <f>VLOOKUP(A205,'JOGOS BASE'!A:H,8)</f>
        <v>15.01.2025 - Tuntum - MA x Imperatriz - MA</v>
      </c>
    </row>
    <row r="206" spans="1:18" ht="20.399999999999999">
      <c r="A206" s="15">
        <v>6</v>
      </c>
      <c r="B206" s="46">
        <v>2</v>
      </c>
      <c r="C206" s="45" t="s">
        <v>521</v>
      </c>
      <c r="D206" s="45" t="s">
        <v>522</v>
      </c>
      <c r="E206" s="47" t="s">
        <v>26</v>
      </c>
      <c r="F206" s="47" t="s">
        <v>24</v>
      </c>
      <c r="G206" s="46">
        <v>391356</v>
      </c>
      <c r="H206" s="18" t="s">
        <v>388</v>
      </c>
      <c r="I206" s="26" t="str">
        <f t="shared" si="25"/>
        <v>Francisco</v>
      </c>
      <c r="J206" s="26" t="str">
        <f t="shared" si="26"/>
        <v>6Tuntum - MA2</v>
      </c>
      <c r="K206" s="27" t="str">
        <f>IFERROR(VLOOKUP(J206,Substituicoes!J:J,1,0),"SS")</f>
        <v>SS</v>
      </c>
      <c r="L206" s="27" t="str">
        <f>IFERROR(VLOOKUP(J206,Substituicoes!K:K,1,0),"SS")</f>
        <v>6Tuntum - MA2</v>
      </c>
      <c r="M206" s="28" t="b">
        <f t="shared" si="27"/>
        <v>0</v>
      </c>
      <c r="N206" s="29">
        <f>IF(AND(K206=L206,LEFT(E206,1)="T"),VLOOKUP(A206,'JOGOS BASE'!A:E,4,0),IF(K206=J206,VLOOKUP(J206,Substituicoes!J:R,6,0),IF(L206=J206,VLOOKUP(Escalacao!J206,Substituicoes!K:R,7,0),0)))</f>
        <v>50</v>
      </c>
      <c r="O206" s="28">
        <f>IF(AND(K206=L206,LEFT(E206,1)="T"),VLOOKUP(A206,'JOGOS BASE'!A:E,5,0),IF(K206=J206,VLOOKUP(J206,Substituicoes!J:R,7,0),IF(L206=J206,VLOOKUP(Escalacao!J206,Substituicoes!K:R,8,0),0)))</f>
        <v>31</v>
      </c>
      <c r="P206" s="28">
        <f t="shared" si="28"/>
        <v>81</v>
      </c>
      <c r="Q206" s="28" t="str">
        <f t="shared" si="29"/>
        <v>62Tuntum - MA</v>
      </c>
      <c r="R206" s="28" t="str">
        <f>VLOOKUP(A206,'JOGOS BASE'!A:H,8)</f>
        <v>15.01.2025 - Tuntum - MA x Imperatriz - MA</v>
      </c>
    </row>
    <row r="207" spans="1:18" ht="20.399999999999999">
      <c r="A207" s="15">
        <v>6</v>
      </c>
      <c r="B207" s="46">
        <v>3</v>
      </c>
      <c r="C207" s="45" t="s">
        <v>523</v>
      </c>
      <c r="D207" s="45" t="s">
        <v>524</v>
      </c>
      <c r="E207" s="47" t="s">
        <v>26</v>
      </c>
      <c r="F207" s="47" t="s">
        <v>24</v>
      </c>
      <c r="G207" s="46">
        <v>672694</v>
      </c>
      <c r="H207" s="18" t="s">
        <v>388</v>
      </c>
      <c r="I207" s="26" t="str">
        <f t="shared" si="25"/>
        <v>João Victor</v>
      </c>
      <c r="J207" s="26" t="str">
        <f t="shared" si="26"/>
        <v>6Tuntum - MA3</v>
      </c>
      <c r="K207" s="27" t="str">
        <f>IFERROR(VLOOKUP(J207,Substituicoes!J:J,1,0),"SS")</f>
        <v>SS</v>
      </c>
      <c r="L207" s="27" t="str">
        <f>IFERROR(VLOOKUP(J207,Substituicoes!K:K,1,0),"SS")</f>
        <v>SS</v>
      </c>
      <c r="M207" s="28" t="b">
        <f t="shared" si="27"/>
        <v>1</v>
      </c>
      <c r="N207" s="29">
        <f>IF(AND(K207=L207,LEFT(E207,1)="T"),VLOOKUP(A207,'JOGOS BASE'!A:E,4,0),IF(K207=J207,VLOOKUP(J207,Substituicoes!J:R,6,0),IF(L207=J207,VLOOKUP(Escalacao!J207,Substituicoes!K:R,7,0),0)))</f>
        <v>50</v>
      </c>
      <c r="O207" s="28">
        <f>IF(AND(K207=L207,LEFT(E207,1)="T"),VLOOKUP(A207,'JOGOS BASE'!A:E,5,0),IF(K207=J207,VLOOKUP(J207,Substituicoes!J:R,7,0),IF(L207=J207,VLOOKUP(Escalacao!J207,Substituicoes!K:R,8,0),0)))</f>
        <v>50</v>
      </c>
      <c r="P207" s="28">
        <f t="shared" si="28"/>
        <v>100</v>
      </c>
      <c r="Q207" s="28" t="str">
        <f t="shared" si="29"/>
        <v>63Tuntum - MA</v>
      </c>
      <c r="R207" s="28" t="str">
        <f>VLOOKUP(A207,'JOGOS BASE'!A:H,8)</f>
        <v>15.01.2025 - Tuntum - MA x Imperatriz - MA</v>
      </c>
    </row>
    <row r="208" spans="1:18" ht="30.6">
      <c r="A208" s="15">
        <v>6</v>
      </c>
      <c r="B208" s="46">
        <v>4</v>
      </c>
      <c r="C208" s="45" t="s">
        <v>525</v>
      </c>
      <c r="D208" s="45" t="s">
        <v>526</v>
      </c>
      <c r="E208" s="47" t="s">
        <v>26</v>
      </c>
      <c r="F208" s="47" t="s">
        <v>24</v>
      </c>
      <c r="G208" s="46">
        <v>175123</v>
      </c>
      <c r="H208" s="18" t="s">
        <v>388</v>
      </c>
      <c r="I208" s="26" t="str">
        <f t="shared" si="25"/>
        <v>Robinho</v>
      </c>
      <c r="J208" s="26" t="str">
        <f t="shared" si="26"/>
        <v>6Tuntum - MA4</v>
      </c>
      <c r="K208" s="27" t="str">
        <f>IFERROR(VLOOKUP(J208,Substituicoes!J:J,1,0),"SS")</f>
        <v>SS</v>
      </c>
      <c r="L208" s="27" t="str">
        <f>IFERROR(VLOOKUP(J208,Substituicoes!K:K,1,0),"SS")</f>
        <v>SS</v>
      </c>
      <c r="M208" s="28" t="b">
        <f t="shared" si="27"/>
        <v>1</v>
      </c>
      <c r="N208" s="29">
        <f>IF(AND(K208=L208,LEFT(E208,1)="T"),VLOOKUP(A208,'JOGOS BASE'!A:E,4,0),IF(K208=J208,VLOOKUP(J208,Substituicoes!J:R,6,0),IF(L208=J208,VLOOKUP(Escalacao!J208,Substituicoes!K:R,7,0),0)))</f>
        <v>50</v>
      </c>
      <c r="O208" s="28">
        <f>IF(AND(K208=L208,LEFT(E208,1)="T"),VLOOKUP(A208,'JOGOS BASE'!A:E,5,0),IF(K208=J208,VLOOKUP(J208,Substituicoes!J:R,7,0),IF(L208=J208,VLOOKUP(Escalacao!J208,Substituicoes!K:R,8,0),0)))</f>
        <v>50</v>
      </c>
      <c r="P208" s="28">
        <f t="shared" si="28"/>
        <v>100</v>
      </c>
      <c r="Q208" s="28" t="str">
        <f t="shared" si="29"/>
        <v>64Tuntum - MA</v>
      </c>
      <c r="R208" s="28" t="str">
        <f>VLOOKUP(A208,'JOGOS BASE'!A:H,8)</f>
        <v>15.01.2025 - Tuntum - MA x Imperatriz - MA</v>
      </c>
    </row>
    <row r="209" spans="1:18" ht="30.6">
      <c r="A209" s="15">
        <v>6</v>
      </c>
      <c r="B209" s="46">
        <v>5</v>
      </c>
      <c r="C209" s="45" t="s">
        <v>527</v>
      </c>
      <c r="D209" s="45" t="s">
        <v>528</v>
      </c>
      <c r="E209" s="47" t="s">
        <v>26</v>
      </c>
      <c r="F209" s="47" t="s">
        <v>24</v>
      </c>
      <c r="G209" s="46">
        <v>692912</v>
      </c>
      <c r="H209" s="18" t="s">
        <v>388</v>
      </c>
      <c r="I209" s="26" t="str">
        <f t="shared" si="25"/>
        <v>LEANDRO</v>
      </c>
      <c r="J209" s="26" t="str">
        <f t="shared" si="26"/>
        <v>6Tuntum - MA5</v>
      </c>
      <c r="K209" s="27" t="str">
        <f>IFERROR(VLOOKUP(J209,Substituicoes!J:J,1,0),"SS")</f>
        <v>SS</v>
      </c>
      <c r="L209" s="27" t="str">
        <f>IFERROR(VLOOKUP(J209,Substituicoes!K:K,1,0),"SS")</f>
        <v>SS</v>
      </c>
      <c r="M209" s="28" t="b">
        <f t="shared" si="27"/>
        <v>1</v>
      </c>
      <c r="N209" s="29">
        <f>IF(AND(K209=L209,LEFT(E209,1)="T"),VLOOKUP(A209,'JOGOS BASE'!A:E,4,0),IF(K209=J209,VLOOKUP(J209,Substituicoes!J:R,6,0),IF(L209=J209,VLOOKUP(Escalacao!J209,Substituicoes!K:R,7,0),0)))</f>
        <v>50</v>
      </c>
      <c r="O209" s="28">
        <f>IF(AND(K209=L209,LEFT(E209,1)="T"),VLOOKUP(A209,'JOGOS BASE'!A:E,5,0),IF(K209=J209,VLOOKUP(J209,Substituicoes!J:R,7,0),IF(L209=J209,VLOOKUP(Escalacao!J209,Substituicoes!K:R,8,0),0)))</f>
        <v>50</v>
      </c>
      <c r="P209" s="28">
        <f t="shared" si="28"/>
        <v>100</v>
      </c>
      <c r="Q209" s="28" t="str">
        <f t="shared" si="29"/>
        <v>65Tuntum - MA</v>
      </c>
      <c r="R209" s="28" t="str">
        <f>VLOOKUP(A209,'JOGOS BASE'!A:H,8)</f>
        <v>15.01.2025 - Tuntum - MA x Imperatriz - MA</v>
      </c>
    </row>
    <row r="210" spans="1:18" ht="30.6">
      <c r="A210" s="15">
        <v>6</v>
      </c>
      <c r="B210" s="46">
        <v>6</v>
      </c>
      <c r="C210" s="45" t="s">
        <v>529</v>
      </c>
      <c r="D210" s="45" t="s">
        <v>507</v>
      </c>
      <c r="E210" s="47" t="s">
        <v>26</v>
      </c>
      <c r="F210" s="47" t="s">
        <v>24</v>
      </c>
      <c r="G210" s="46">
        <v>671796</v>
      </c>
      <c r="H210" s="18" t="s">
        <v>388</v>
      </c>
      <c r="I210" s="26" t="str">
        <f t="shared" si="25"/>
        <v>Matheus Lima</v>
      </c>
      <c r="J210" s="26" t="str">
        <f t="shared" si="26"/>
        <v>6Tuntum - MA6</v>
      </c>
      <c r="K210" s="27" t="str">
        <f>IFERROR(VLOOKUP(J210,Substituicoes!J:J,1,0),"SS")</f>
        <v>SS</v>
      </c>
      <c r="L210" s="27" t="str">
        <f>IFERROR(VLOOKUP(J210,Substituicoes!K:K,1,0),"SS")</f>
        <v>SS</v>
      </c>
      <c r="M210" s="28" t="b">
        <f t="shared" si="27"/>
        <v>1</v>
      </c>
      <c r="N210" s="29">
        <f>IF(AND(K210=L210,LEFT(E210,1)="T"),VLOOKUP(A210,'JOGOS BASE'!A:E,4,0),IF(K210=J210,VLOOKUP(J210,Substituicoes!J:R,6,0),IF(L210=J210,VLOOKUP(Escalacao!J210,Substituicoes!K:R,7,0),0)))</f>
        <v>50</v>
      </c>
      <c r="O210" s="28">
        <f>IF(AND(K210=L210,LEFT(E210,1)="T"),VLOOKUP(A210,'JOGOS BASE'!A:E,5,0),IF(K210=J210,VLOOKUP(J210,Substituicoes!J:R,7,0),IF(L210=J210,VLOOKUP(Escalacao!J210,Substituicoes!K:R,8,0),0)))</f>
        <v>50</v>
      </c>
      <c r="P210" s="28">
        <f t="shared" si="28"/>
        <v>100</v>
      </c>
      <c r="Q210" s="28" t="str">
        <f t="shared" si="29"/>
        <v>66Tuntum - MA</v>
      </c>
      <c r="R210" s="28" t="str">
        <f>VLOOKUP(A210,'JOGOS BASE'!A:H,8)</f>
        <v>15.01.2025 - Tuntum - MA x Imperatriz - MA</v>
      </c>
    </row>
    <row r="211" spans="1:18" ht="20.399999999999999">
      <c r="A211" s="15">
        <v>6</v>
      </c>
      <c r="B211" s="46">
        <v>7</v>
      </c>
      <c r="C211" s="45" t="s">
        <v>530</v>
      </c>
      <c r="D211" s="45" t="s">
        <v>531</v>
      </c>
      <c r="E211" s="47" t="s">
        <v>26</v>
      </c>
      <c r="F211" s="47" t="s">
        <v>24</v>
      </c>
      <c r="G211" s="46">
        <v>738478</v>
      </c>
      <c r="H211" s="18" t="s">
        <v>388</v>
      </c>
      <c r="I211" s="26" t="str">
        <f t="shared" si="25"/>
        <v>Neto Maran ...</v>
      </c>
      <c r="J211" s="26" t="str">
        <f t="shared" si="26"/>
        <v>6Tuntum - MA7</v>
      </c>
      <c r="K211" s="27" t="str">
        <f>IFERROR(VLOOKUP(J211,Substituicoes!J:J,1,0),"SS")</f>
        <v>SS</v>
      </c>
      <c r="L211" s="27" t="str">
        <f>IFERROR(VLOOKUP(J211,Substituicoes!K:K,1,0),"SS")</f>
        <v>SS</v>
      </c>
      <c r="M211" s="28" t="b">
        <f t="shared" si="27"/>
        <v>1</v>
      </c>
      <c r="N211" s="29">
        <f>IF(AND(K211=L211,LEFT(E211,1)="T"),VLOOKUP(A211,'JOGOS BASE'!A:E,4,0),IF(K211=J211,VLOOKUP(J211,Substituicoes!J:R,6,0),IF(L211=J211,VLOOKUP(Escalacao!J211,Substituicoes!K:R,7,0),0)))</f>
        <v>50</v>
      </c>
      <c r="O211" s="28">
        <f>IF(AND(K211=L211,LEFT(E211,1)="T"),VLOOKUP(A211,'JOGOS BASE'!A:E,5,0),IF(K211=J211,VLOOKUP(J211,Substituicoes!J:R,7,0),IF(L211=J211,VLOOKUP(Escalacao!J211,Substituicoes!K:R,8,0),0)))</f>
        <v>50</v>
      </c>
      <c r="P211" s="28">
        <f t="shared" si="28"/>
        <v>100</v>
      </c>
      <c r="Q211" s="28" t="str">
        <f t="shared" si="29"/>
        <v>67Tuntum - MA</v>
      </c>
      <c r="R211" s="28" t="str">
        <f>VLOOKUP(A211,'JOGOS BASE'!A:H,8)</f>
        <v>15.01.2025 - Tuntum - MA x Imperatriz - MA</v>
      </c>
    </row>
    <row r="212" spans="1:18" ht="20.399999999999999">
      <c r="A212" s="15">
        <v>6</v>
      </c>
      <c r="B212" s="46">
        <v>8</v>
      </c>
      <c r="C212" s="45" t="s">
        <v>532</v>
      </c>
      <c r="D212" s="45" t="s">
        <v>533</v>
      </c>
      <c r="E212" s="47" t="s">
        <v>26</v>
      </c>
      <c r="F212" s="47" t="s">
        <v>24</v>
      </c>
      <c r="G212" s="46">
        <v>645521</v>
      </c>
      <c r="H212" s="18" t="s">
        <v>388</v>
      </c>
      <c r="I212" s="26" t="str">
        <f t="shared" si="25"/>
        <v>VICTOR</v>
      </c>
      <c r="J212" s="26" t="str">
        <f t="shared" si="26"/>
        <v>6Tuntum - MA8</v>
      </c>
      <c r="K212" s="27" t="str">
        <f>IFERROR(VLOOKUP(J212,Substituicoes!J:J,1,0),"SS")</f>
        <v>SS</v>
      </c>
      <c r="L212" s="27" t="str">
        <f>IFERROR(VLOOKUP(J212,Substituicoes!K:K,1,0),"SS")</f>
        <v>6Tuntum - MA8</v>
      </c>
      <c r="M212" s="28" t="b">
        <f t="shared" si="27"/>
        <v>0</v>
      </c>
      <c r="N212" s="29">
        <f>IF(AND(K212=L212,LEFT(E212,1)="T"),VLOOKUP(A212,'JOGOS BASE'!A:E,4,0),IF(K212=J212,VLOOKUP(J212,Substituicoes!J:R,6,0),IF(L212=J212,VLOOKUP(Escalacao!J212,Substituicoes!K:R,7,0),0)))</f>
        <v>50</v>
      </c>
      <c r="O212" s="28">
        <f>IF(AND(K212=L212,LEFT(E212,1)="T"),VLOOKUP(A212,'JOGOS BASE'!A:E,5,0),IF(K212=J212,VLOOKUP(J212,Substituicoes!J:R,7,0),IF(L212=J212,VLOOKUP(Escalacao!J212,Substituicoes!K:R,8,0),0)))</f>
        <v>15</v>
      </c>
      <c r="P212" s="28">
        <f t="shared" si="28"/>
        <v>65</v>
      </c>
      <c r="Q212" s="28" t="str">
        <f t="shared" si="29"/>
        <v>68Tuntum - MA</v>
      </c>
      <c r="R212" s="28" t="str">
        <f>VLOOKUP(A212,'JOGOS BASE'!A:H,8)</f>
        <v>15.01.2025 - Tuntum - MA x Imperatriz - MA</v>
      </c>
    </row>
    <row r="213" spans="1:18" ht="30.6">
      <c r="A213" s="15">
        <v>6</v>
      </c>
      <c r="B213" s="46">
        <v>9</v>
      </c>
      <c r="C213" s="45" t="s">
        <v>534</v>
      </c>
      <c r="D213" s="45" t="s">
        <v>535</v>
      </c>
      <c r="E213" s="47" t="s">
        <v>26</v>
      </c>
      <c r="F213" s="47" t="s">
        <v>24</v>
      </c>
      <c r="G213" s="46">
        <v>546835</v>
      </c>
      <c r="H213" s="18" t="s">
        <v>388</v>
      </c>
      <c r="I213" s="26" t="str">
        <f t="shared" si="25"/>
        <v>Nycollas</v>
      </c>
      <c r="J213" s="26" t="str">
        <f t="shared" si="26"/>
        <v>6Tuntum - MA9</v>
      </c>
      <c r="K213" s="27" t="str">
        <f>IFERROR(VLOOKUP(J213,Substituicoes!J:J,1,0),"SS")</f>
        <v>SS</v>
      </c>
      <c r="L213" s="27" t="str">
        <f>IFERROR(VLOOKUP(J213,Substituicoes!K:K,1,0),"SS")</f>
        <v>6Tuntum - MA9</v>
      </c>
      <c r="M213" s="28" t="b">
        <f t="shared" si="27"/>
        <v>0</v>
      </c>
      <c r="N213" s="29">
        <f>IF(AND(K213=L213,LEFT(E213,1)="T"),VLOOKUP(A213,'JOGOS BASE'!A:E,4,0),IF(K213=J213,VLOOKUP(J213,Substituicoes!J:R,6,0),IF(L213=J213,VLOOKUP(Escalacao!J213,Substituicoes!K:R,7,0),0)))</f>
        <v>50</v>
      </c>
      <c r="O213" s="28">
        <f>IF(AND(K213=L213,LEFT(E213,1)="T"),VLOOKUP(A213,'JOGOS BASE'!A:E,5,0),IF(K213=J213,VLOOKUP(J213,Substituicoes!J:R,7,0),IF(L213=J213,VLOOKUP(Escalacao!J213,Substituicoes!K:R,8,0),0)))</f>
        <v>15</v>
      </c>
      <c r="P213" s="28">
        <f t="shared" si="28"/>
        <v>65</v>
      </c>
      <c r="Q213" s="28" t="str">
        <f t="shared" si="29"/>
        <v>69Tuntum - MA</v>
      </c>
      <c r="R213" s="28" t="str">
        <f>VLOOKUP(A213,'JOGOS BASE'!A:H,8)</f>
        <v>15.01.2025 - Tuntum - MA x Imperatriz - MA</v>
      </c>
    </row>
    <row r="214" spans="1:18" ht="30.6">
      <c r="A214" s="15">
        <v>6</v>
      </c>
      <c r="B214" s="46">
        <v>10</v>
      </c>
      <c r="C214" s="45" t="s">
        <v>536</v>
      </c>
      <c r="D214" s="45" t="s">
        <v>537</v>
      </c>
      <c r="E214" s="47" t="s">
        <v>26</v>
      </c>
      <c r="F214" s="47" t="s">
        <v>24</v>
      </c>
      <c r="G214" s="46">
        <v>591346</v>
      </c>
      <c r="H214" s="18" t="s">
        <v>388</v>
      </c>
      <c r="I214" s="26" t="str">
        <f t="shared" si="25"/>
        <v>Cassio</v>
      </c>
      <c r="J214" s="26" t="str">
        <f t="shared" si="26"/>
        <v>6Tuntum - MA10</v>
      </c>
      <c r="K214" s="27" t="str">
        <f>IFERROR(VLOOKUP(J214,Substituicoes!J:J,1,0),"SS")</f>
        <v>SS</v>
      </c>
      <c r="L214" s="27" t="str">
        <f>IFERROR(VLOOKUP(J214,Substituicoes!K:K,1,0),"SS")</f>
        <v>6Tuntum - MA10</v>
      </c>
      <c r="M214" s="28" t="b">
        <f t="shared" si="27"/>
        <v>0</v>
      </c>
      <c r="N214" s="29">
        <f>IF(AND(K214=L214,LEFT(E214,1)="T"),VLOOKUP(A214,'JOGOS BASE'!A:E,4,0),IF(K214=J214,VLOOKUP(J214,Substituicoes!J:R,6,0),IF(L214=J214,VLOOKUP(Escalacao!J214,Substituicoes!K:R,7,0),0)))</f>
        <v>50</v>
      </c>
      <c r="O214" s="28">
        <f>IF(AND(K214=L214,LEFT(E214,1)="T"),VLOOKUP(A214,'JOGOS BASE'!A:E,5,0),IF(K214=J214,VLOOKUP(J214,Substituicoes!J:R,7,0),IF(L214=J214,VLOOKUP(Escalacao!J214,Substituicoes!K:R,8,0),0)))</f>
        <v>31</v>
      </c>
      <c r="P214" s="28">
        <f t="shared" si="28"/>
        <v>81</v>
      </c>
      <c r="Q214" s="28" t="str">
        <f t="shared" si="29"/>
        <v>610Tuntum - MA</v>
      </c>
      <c r="R214" s="28" t="str">
        <f>VLOOKUP(A214,'JOGOS BASE'!A:H,8)</f>
        <v>15.01.2025 - Tuntum - MA x Imperatriz - MA</v>
      </c>
    </row>
    <row r="215" spans="1:18" ht="20.399999999999999">
      <c r="A215" s="15">
        <v>6</v>
      </c>
      <c r="B215" s="46">
        <v>11</v>
      </c>
      <c r="C215" s="45" t="s">
        <v>538</v>
      </c>
      <c r="D215" s="45" t="s">
        <v>539</v>
      </c>
      <c r="E215" s="47" t="s">
        <v>26</v>
      </c>
      <c r="F215" s="47" t="s">
        <v>24</v>
      </c>
      <c r="G215" s="46">
        <v>513206</v>
      </c>
      <c r="H215" s="18" t="s">
        <v>388</v>
      </c>
      <c r="I215" s="26" t="str">
        <f t="shared" si="25"/>
        <v>Adrian</v>
      </c>
      <c r="J215" s="26" t="str">
        <f t="shared" si="26"/>
        <v>6Tuntum - MA11</v>
      </c>
      <c r="K215" s="27" t="str">
        <f>IFERROR(VLOOKUP(J215,Substituicoes!J:J,1,0),"SS")</f>
        <v>SS</v>
      </c>
      <c r="L215" s="27" t="str">
        <f>IFERROR(VLOOKUP(J215,Substituicoes!K:K,1,0),"SS")</f>
        <v>SS</v>
      </c>
      <c r="M215" s="28" t="b">
        <f t="shared" si="27"/>
        <v>1</v>
      </c>
      <c r="N215" s="29">
        <f>IF(AND(K215=L215,LEFT(E215,1)="T"),VLOOKUP(A215,'JOGOS BASE'!A:E,4,0),IF(K215=J215,VLOOKUP(J215,Substituicoes!J:R,6,0),IF(L215=J215,VLOOKUP(Escalacao!J215,Substituicoes!K:R,7,0),0)))</f>
        <v>50</v>
      </c>
      <c r="O215" s="28">
        <f>IF(AND(K215=L215,LEFT(E215,1)="T"),VLOOKUP(A215,'JOGOS BASE'!A:E,5,0),IF(K215=J215,VLOOKUP(J215,Substituicoes!J:R,7,0),IF(L215=J215,VLOOKUP(Escalacao!J215,Substituicoes!K:R,8,0),0)))</f>
        <v>50</v>
      </c>
      <c r="P215" s="28">
        <f t="shared" si="28"/>
        <v>100</v>
      </c>
      <c r="Q215" s="28" t="str">
        <f t="shared" si="29"/>
        <v>611Tuntum - MA</v>
      </c>
      <c r="R215" s="28" t="str">
        <f>VLOOKUP(A215,'JOGOS BASE'!A:H,8)</f>
        <v>15.01.2025 - Tuntum - MA x Imperatriz - MA</v>
      </c>
    </row>
    <row r="216" spans="1:18" ht="30.6">
      <c r="A216" s="15">
        <v>6</v>
      </c>
      <c r="B216" s="46">
        <v>12</v>
      </c>
      <c r="C216" s="45" t="s">
        <v>540</v>
      </c>
      <c r="D216" s="45" t="s">
        <v>541</v>
      </c>
      <c r="E216" s="47" t="s">
        <v>40</v>
      </c>
      <c r="F216" s="47" t="s">
        <v>24</v>
      </c>
      <c r="G216" s="46">
        <v>645699</v>
      </c>
      <c r="H216" s="18" t="s">
        <v>388</v>
      </c>
      <c r="I216" s="26" t="str">
        <f t="shared" si="25"/>
        <v>DANIEL MEN</v>
      </c>
      <c r="J216" s="26" t="str">
        <f t="shared" si="26"/>
        <v>6Tuntum - MA12</v>
      </c>
      <c r="K216" s="27" t="str">
        <f>IFERROR(VLOOKUP(J216,Substituicoes!J:J,1,0),"SS")</f>
        <v>6Tuntum - MA12</v>
      </c>
      <c r="L216" s="27" t="str">
        <f>IFERROR(VLOOKUP(J216,Substituicoes!K:K,1,0),"SS")</f>
        <v>SS</v>
      </c>
      <c r="M216" s="28" t="b">
        <f t="shared" si="27"/>
        <v>0</v>
      </c>
      <c r="N216" s="29">
        <f>IF(AND(K216=L216,LEFT(E216,1)="T"),VLOOKUP(A216,'JOGOS BASE'!A:E,4,0),IF(K216=J216,VLOOKUP(J216,Substituicoes!J:R,6,0),IF(L216=J216,VLOOKUP(Escalacao!J216,Substituicoes!K:R,7,0),0)))</f>
        <v>28</v>
      </c>
      <c r="O216" s="28">
        <f>IF(AND(K216=L216,LEFT(E216,1)="T"),VLOOKUP(A216,'JOGOS BASE'!A:E,5,0),IF(K216=J216,VLOOKUP(J216,Substituicoes!J:R,7,0),IF(L216=J216,VLOOKUP(Escalacao!J216,Substituicoes!K:R,8,0),0)))</f>
        <v>50</v>
      </c>
      <c r="P216" s="28">
        <f t="shared" si="28"/>
        <v>78</v>
      </c>
      <c r="Q216" s="28" t="str">
        <f t="shared" si="29"/>
        <v>612Tuntum - MA</v>
      </c>
      <c r="R216" s="28" t="str">
        <f>VLOOKUP(A216,'JOGOS BASE'!A:H,8)</f>
        <v>15.01.2025 - Tuntum - MA x Imperatriz - MA</v>
      </c>
    </row>
    <row r="217" spans="1:18" ht="20.399999999999999">
      <c r="A217" s="15">
        <v>6</v>
      </c>
      <c r="B217" s="46">
        <v>13</v>
      </c>
      <c r="C217" s="45" t="s">
        <v>542</v>
      </c>
      <c r="D217" s="45" t="s">
        <v>543</v>
      </c>
      <c r="E217" s="47" t="s">
        <v>42</v>
      </c>
      <c r="F217" s="47" t="s">
        <v>24</v>
      </c>
      <c r="G217" s="46">
        <v>673868</v>
      </c>
      <c r="H217" s="18" t="s">
        <v>388</v>
      </c>
      <c r="I217" s="26" t="str">
        <f t="shared" si="25"/>
        <v>PARÁ</v>
      </c>
      <c r="J217" s="26" t="str">
        <f t="shared" si="26"/>
        <v>6Tuntum - MA13</v>
      </c>
      <c r="K217" s="27" t="str">
        <f>IFERROR(VLOOKUP(J217,Substituicoes!J:J,1,0),"SS")</f>
        <v>6Tuntum - MA13</v>
      </c>
      <c r="L217" s="27" t="str">
        <f>IFERROR(VLOOKUP(J217,Substituicoes!K:K,1,0),"SS")</f>
        <v>SS</v>
      </c>
      <c r="M217" s="28" t="b">
        <f t="shared" si="27"/>
        <v>0</v>
      </c>
      <c r="N217" s="29">
        <f>IF(AND(K217=L217,LEFT(E217,1)="T"),VLOOKUP(A217,'JOGOS BASE'!A:E,4,0),IF(K217=J217,VLOOKUP(J217,Substituicoes!J:R,6,0),IF(L217=J217,VLOOKUP(Escalacao!J217,Substituicoes!K:R,7,0),0)))</f>
        <v>0</v>
      </c>
      <c r="O217" s="28">
        <f>IF(AND(K217=L217,LEFT(E217,1)="T"),VLOOKUP(A217,'JOGOS BASE'!A:E,5,0),IF(K217=J217,VLOOKUP(J217,Substituicoes!J:R,7,0),IF(L217=J217,VLOOKUP(Escalacao!J217,Substituicoes!K:R,8,0),0)))</f>
        <v>19</v>
      </c>
      <c r="P217" s="28">
        <f t="shared" si="28"/>
        <v>19</v>
      </c>
      <c r="Q217" s="28" t="str">
        <f t="shared" si="29"/>
        <v>613Tuntum - MA</v>
      </c>
      <c r="R217" s="28" t="str">
        <f>VLOOKUP(A217,'JOGOS BASE'!A:H,8)</f>
        <v>15.01.2025 - Tuntum - MA x Imperatriz - MA</v>
      </c>
    </row>
    <row r="218" spans="1:18" ht="30.6">
      <c r="A218" s="15">
        <v>6</v>
      </c>
      <c r="B218" s="46">
        <v>14</v>
      </c>
      <c r="C218" s="45" t="s">
        <v>301</v>
      </c>
      <c r="D218" s="45" t="s">
        <v>544</v>
      </c>
      <c r="E218" s="47" t="s">
        <v>42</v>
      </c>
      <c r="F218" s="47" t="s">
        <v>24</v>
      </c>
      <c r="G218" s="46">
        <v>607578</v>
      </c>
      <c r="H218" s="18" t="s">
        <v>388</v>
      </c>
      <c r="I218" s="26" t="str">
        <f t="shared" si="25"/>
        <v>Mateus</v>
      </c>
      <c r="J218" s="26" t="str">
        <f t="shared" si="26"/>
        <v>6Tuntum - MA14</v>
      </c>
      <c r="K218" s="27" t="str">
        <f>IFERROR(VLOOKUP(J218,Substituicoes!J:J,1,0),"SS")</f>
        <v>SS</v>
      </c>
      <c r="L218" s="27" t="str">
        <f>IFERROR(VLOOKUP(J218,Substituicoes!K:K,1,0),"SS")</f>
        <v>SS</v>
      </c>
      <c r="M218" s="28" t="b">
        <f t="shared" si="27"/>
        <v>1</v>
      </c>
      <c r="N218" s="29">
        <f>IF(AND(K218=L218,LEFT(E218,1)="T"),VLOOKUP(A218,'JOGOS BASE'!A:E,4,0),IF(K218=J218,VLOOKUP(J218,Substituicoes!J:R,6,0),IF(L218=J218,VLOOKUP(Escalacao!J218,Substituicoes!K:R,7,0),0)))</f>
        <v>0</v>
      </c>
      <c r="O218" s="28">
        <f>IF(AND(K218=L218,LEFT(E218,1)="T"),VLOOKUP(A218,'JOGOS BASE'!A:E,5,0),IF(K218=J218,VLOOKUP(J218,Substituicoes!J:R,7,0),IF(L218=J218,VLOOKUP(Escalacao!J218,Substituicoes!K:R,8,0),0)))</f>
        <v>0</v>
      </c>
      <c r="P218" s="28">
        <f t="shared" si="28"/>
        <v>0</v>
      </c>
      <c r="Q218" s="28" t="str">
        <f t="shared" si="29"/>
        <v>614Tuntum - MA</v>
      </c>
      <c r="R218" s="28" t="str">
        <f>VLOOKUP(A218,'JOGOS BASE'!A:H,8)</f>
        <v>15.01.2025 - Tuntum - MA x Imperatriz - MA</v>
      </c>
    </row>
    <row r="219" spans="1:18" ht="20.399999999999999">
      <c r="A219" s="15">
        <v>6</v>
      </c>
      <c r="B219" s="46">
        <v>15</v>
      </c>
      <c r="C219" s="45" t="s">
        <v>545</v>
      </c>
      <c r="D219" s="45" t="s">
        <v>546</v>
      </c>
      <c r="E219" s="47" t="s">
        <v>42</v>
      </c>
      <c r="F219" s="47" t="s">
        <v>24</v>
      </c>
      <c r="G219" s="46">
        <v>507730</v>
      </c>
      <c r="H219" s="18" t="s">
        <v>388</v>
      </c>
      <c r="I219" s="26" t="str">
        <f t="shared" si="25"/>
        <v>Leal</v>
      </c>
      <c r="J219" s="26" t="str">
        <f t="shared" si="26"/>
        <v>6Tuntum - MA15</v>
      </c>
      <c r="K219" s="27" t="str">
        <f>IFERROR(VLOOKUP(J219,Substituicoes!J:J,1,0),"SS")</f>
        <v>SS</v>
      </c>
      <c r="L219" s="27" t="str">
        <f>IFERROR(VLOOKUP(J219,Substituicoes!K:K,1,0),"SS")</f>
        <v>SS</v>
      </c>
      <c r="M219" s="28" t="b">
        <f t="shared" si="27"/>
        <v>1</v>
      </c>
      <c r="N219" s="29">
        <f>IF(AND(K219=L219,LEFT(E219,1)="T"),VLOOKUP(A219,'JOGOS BASE'!A:E,4,0),IF(K219=J219,VLOOKUP(J219,Substituicoes!J:R,6,0),IF(L219=J219,VLOOKUP(Escalacao!J219,Substituicoes!K:R,7,0),0)))</f>
        <v>0</v>
      </c>
      <c r="O219" s="28">
        <f>IF(AND(K219=L219,LEFT(E219,1)="T"),VLOOKUP(A219,'JOGOS BASE'!A:E,5,0),IF(K219=J219,VLOOKUP(J219,Substituicoes!J:R,7,0),IF(L219=J219,VLOOKUP(Escalacao!J219,Substituicoes!K:R,8,0),0)))</f>
        <v>0</v>
      </c>
      <c r="P219" s="28">
        <f t="shared" si="28"/>
        <v>0</v>
      </c>
      <c r="Q219" s="28" t="str">
        <f t="shared" si="29"/>
        <v>615Tuntum - MA</v>
      </c>
      <c r="R219" s="28" t="str">
        <f>VLOOKUP(A219,'JOGOS BASE'!A:H,8)</f>
        <v>15.01.2025 - Tuntum - MA x Imperatriz - MA</v>
      </c>
    </row>
    <row r="220" spans="1:18" ht="20.399999999999999">
      <c r="A220" s="15">
        <v>6</v>
      </c>
      <c r="B220" s="46">
        <v>16</v>
      </c>
      <c r="C220" s="45" t="s">
        <v>547</v>
      </c>
      <c r="D220" s="45" t="s">
        <v>548</v>
      </c>
      <c r="E220" s="47" t="s">
        <v>42</v>
      </c>
      <c r="F220" s="47" t="s">
        <v>24</v>
      </c>
      <c r="G220" s="46">
        <v>699359</v>
      </c>
      <c r="H220" s="18" t="s">
        <v>388</v>
      </c>
      <c r="I220" s="26" t="str">
        <f t="shared" si="25"/>
        <v>GIULIEDSON</v>
      </c>
      <c r="J220" s="26" t="str">
        <f t="shared" si="26"/>
        <v>6Tuntum - MA16</v>
      </c>
      <c r="K220" s="27" t="str">
        <f>IFERROR(VLOOKUP(J220,Substituicoes!J:J,1,0),"SS")</f>
        <v>SS</v>
      </c>
      <c r="L220" s="27" t="str">
        <f>IFERROR(VLOOKUP(J220,Substituicoes!K:K,1,0),"SS")</f>
        <v>SS</v>
      </c>
      <c r="M220" s="28" t="b">
        <f t="shared" si="27"/>
        <v>1</v>
      </c>
      <c r="N220" s="29">
        <f>IF(AND(K220=L220,LEFT(E220,1)="T"),VLOOKUP(A220,'JOGOS BASE'!A:E,4,0),IF(K220=J220,VLOOKUP(J220,Substituicoes!J:R,6,0),IF(L220=J220,VLOOKUP(Escalacao!J220,Substituicoes!K:R,7,0),0)))</f>
        <v>0</v>
      </c>
      <c r="O220" s="28">
        <f>IF(AND(K220=L220,LEFT(E220,1)="T"),VLOOKUP(A220,'JOGOS BASE'!A:E,5,0),IF(K220=J220,VLOOKUP(J220,Substituicoes!J:R,7,0),IF(L220=J220,VLOOKUP(Escalacao!J220,Substituicoes!K:R,8,0),0)))</f>
        <v>0</v>
      </c>
      <c r="P220" s="28">
        <f t="shared" si="28"/>
        <v>0</v>
      </c>
      <c r="Q220" s="28" t="str">
        <f t="shared" si="29"/>
        <v>616Tuntum - MA</v>
      </c>
      <c r="R220" s="28" t="str">
        <f>VLOOKUP(A220,'JOGOS BASE'!A:H,8)</f>
        <v>15.01.2025 - Tuntum - MA x Imperatriz - MA</v>
      </c>
    </row>
    <row r="221" spans="1:18" ht="30.6">
      <c r="A221" s="15">
        <v>6</v>
      </c>
      <c r="B221" s="46">
        <v>17</v>
      </c>
      <c r="C221" s="45" t="s">
        <v>549</v>
      </c>
      <c r="D221" s="45" t="s">
        <v>550</v>
      </c>
      <c r="E221" s="47" t="s">
        <v>42</v>
      </c>
      <c r="F221" s="47" t="s">
        <v>24</v>
      </c>
      <c r="G221" s="46">
        <v>695765</v>
      </c>
      <c r="H221" s="18" t="s">
        <v>388</v>
      </c>
      <c r="I221" s="26" t="str">
        <f t="shared" si="25"/>
        <v>Remerson</v>
      </c>
      <c r="J221" s="26" t="str">
        <f t="shared" si="26"/>
        <v>6Tuntum - MA17</v>
      </c>
      <c r="K221" s="27" t="str">
        <f>IFERROR(VLOOKUP(J221,Substituicoes!J:J,1,0),"SS")</f>
        <v>SS</v>
      </c>
      <c r="L221" s="27" t="str">
        <f>IFERROR(VLOOKUP(J221,Substituicoes!K:K,1,0),"SS")</f>
        <v>SS</v>
      </c>
      <c r="M221" s="28" t="b">
        <f t="shared" si="27"/>
        <v>1</v>
      </c>
      <c r="N221" s="29">
        <f>IF(AND(K221=L221,LEFT(E221,1)="T"),VLOOKUP(A221,'JOGOS BASE'!A:E,4,0),IF(K221=J221,VLOOKUP(J221,Substituicoes!J:R,6,0),IF(L221=J221,VLOOKUP(Escalacao!J221,Substituicoes!K:R,7,0),0)))</f>
        <v>0</v>
      </c>
      <c r="O221" s="28">
        <f>IF(AND(K221=L221,LEFT(E221,1)="T"),VLOOKUP(A221,'JOGOS BASE'!A:E,5,0),IF(K221=J221,VLOOKUP(J221,Substituicoes!J:R,7,0),IF(L221=J221,VLOOKUP(Escalacao!J221,Substituicoes!K:R,8,0),0)))</f>
        <v>0</v>
      </c>
      <c r="P221" s="28">
        <f t="shared" si="28"/>
        <v>0</v>
      </c>
      <c r="Q221" s="28" t="str">
        <f t="shared" si="29"/>
        <v>617Tuntum - MA</v>
      </c>
      <c r="R221" s="28" t="str">
        <f>VLOOKUP(A221,'JOGOS BASE'!A:H,8)</f>
        <v>15.01.2025 - Tuntum - MA x Imperatriz - MA</v>
      </c>
    </row>
    <row r="222" spans="1:18" ht="30.6">
      <c r="A222" s="15">
        <v>6</v>
      </c>
      <c r="B222" s="46">
        <v>18</v>
      </c>
      <c r="C222" s="45" t="s">
        <v>551</v>
      </c>
      <c r="D222" s="45" t="s">
        <v>552</v>
      </c>
      <c r="E222" s="47" t="s">
        <v>42</v>
      </c>
      <c r="F222" s="47" t="s">
        <v>24</v>
      </c>
      <c r="G222" s="46">
        <v>894147</v>
      </c>
      <c r="H222" s="18" t="s">
        <v>388</v>
      </c>
      <c r="I222" s="26" t="str">
        <f t="shared" si="25"/>
        <v>RUBENS RO</v>
      </c>
      <c r="J222" s="26" t="str">
        <f t="shared" si="26"/>
        <v>6Tuntum - MA18</v>
      </c>
      <c r="K222" s="27" t="str">
        <f>IFERROR(VLOOKUP(J222,Substituicoes!J:J,1,0),"SS")</f>
        <v>SS</v>
      </c>
      <c r="L222" s="27" t="str">
        <f>IFERROR(VLOOKUP(J222,Substituicoes!K:K,1,0),"SS")</f>
        <v>SS</v>
      </c>
      <c r="M222" s="28" t="b">
        <f t="shared" si="27"/>
        <v>1</v>
      </c>
      <c r="N222" s="29">
        <f>IF(AND(K222=L222,LEFT(E222,1)="T"),VLOOKUP(A222,'JOGOS BASE'!A:E,4,0),IF(K222=J222,VLOOKUP(J222,Substituicoes!J:R,6,0),IF(L222=J222,VLOOKUP(Escalacao!J222,Substituicoes!K:R,7,0),0)))</f>
        <v>0</v>
      </c>
      <c r="O222" s="28">
        <f>IF(AND(K222=L222,LEFT(E222,1)="T"),VLOOKUP(A222,'JOGOS BASE'!A:E,5,0),IF(K222=J222,VLOOKUP(J222,Substituicoes!J:R,7,0),IF(L222=J222,VLOOKUP(Escalacao!J222,Substituicoes!K:R,8,0),0)))</f>
        <v>0</v>
      </c>
      <c r="P222" s="28">
        <f t="shared" si="28"/>
        <v>0</v>
      </c>
      <c r="Q222" s="28" t="str">
        <f t="shared" si="29"/>
        <v>618Tuntum - MA</v>
      </c>
      <c r="R222" s="28" t="str">
        <f>VLOOKUP(A222,'JOGOS BASE'!A:H,8)</f>
        <v>15.01.2025 - Tuntum - MA x Imperatriz - MA</v>
      </c>
    </row>
    <row r="223" spans="1:18" ht="20.399999999999999">
      <c r="A223" s="15">
        <v>6</v>
      </c>
      <c r="B223" s="46">
        <v>19</v>
      </c>
      <c r="C223" s="45" t="s">
        <v>553</v>
      </c>
      <c r="D223" s="45" t="s">
        <v>554</v>
      </c>
      <c r="E223" s="47" t="s">
        <v>42</v>
      </c>
      <c r="F223" s="47" t="s">
        <v>24</v>
      </c>
      <c r="G223" s="46">
        <v>628646</v>
      </c>
      <c r="H223" s="18" t="s">
        <v>388</v>
      </c>
      <c r="I223" s="26" t="str">
        <f t="shared" si="25"/>
        <v>ELIAS</v>
      </c>
      <c r="J223" s="26" t="str">
        <f t="shared" si="26"/>
        <v>6Tuntum - MA19</v>
      </c>
      <c r="K223" s="27" t="str">
        <f>IFERROR(VLOOKUP(J223,Substituicoes!J:J,1,0),"SS")</f>
        <v>6Tuntum - MA19</v>
      </c>
      <c r="L223" s="27" t="str">
        <f>IFERROR(VLOOKUP(J223,Substituicoes!K:K,1,0),"SS")</f>
        <v>SS</v>
      </c>
      <c r="M223" s="28" t="b">
        <f t="shared" si="27"/>
        <v>0</v>
      </c>
      <c r="N223" s="29">
        <f>IF(AND(K223=L223,LEFT(E223,1)="T"),VLOOKUP(A223,'JOGOS BASE'!A:E,4,0),IF(K223=J223,VLOOKUP(J223,Substituicoes!J:R,6,0),IF(L223=J223,VLOOKUP(Escalacao!J223,Substituicoes!K:R,7,0),0)))</f>
        <v>0</v>
      </c>
      <c r="O223" s="28">
        <f>IF(AND(K223=L223,LEFT(E223,1)="T"),VLOOKUP(A223,'JOGOS BASE'!A:E,5,0),IF(K223=J223,VLOOKUP(J223,Substituicoes!J:R,7,0),IF(L223=J223,VLOOKUP(Escalacao!J223,Substituicoes!K:R,8,0),0)))</f>
        <v>35</v>
      </c>
      <c r="P223" s="28">
        <f t="shared" si="28"/>
        <v>35</v>
      </c>
      <c r="Q223" s="28" t="str">
        <f t="shared" si="29"/>
        <v>619Tuntum - MA</v>
      </c>
      <c r="R223" s="28" t="str">
        <f>VLOOKUP(A223,'JOGOS BASE'!A:H,8)</f>
        <v>15.01.2025 - Tuntum - MA x Imperatriz - MA</v>
      </c>
    </row>
    <row r="224" spans="1:18" ht="30.6">
      <c r="A224" s="15">
        <v>6</v>
      </c>
      <c r="B224" s="46">
        <v>20</v>
      </c>
      <c r="C224" s="45" t="s">
        <v>555</v>
      </c>
      <c r="D224" s="45" t="s">
        <v>556</v>
      </c>
      <c r="E224" s="47" t="s">
        <v>42</v>
      </c>
      <c r="F224" s="47" t="s">
        <v>24</v>
      </c>
      <c r="G224" s="46">
        <v>739945</v>
      </c>
      <c r="H224" s="18" t="s">
        <v>388</v>
      </c>
      <c r="I224" s="26" t="str">
        <f t="shared" si="25"/>
        <v>RENAN</v>
      </c>
      <c r="J224" s="26" t="str">
        <f t="shared" si="26"/>
        <v>6Tuntum - MA20</v>
      </c>
      <c r="K224" s="27" t="str">
        <f>IFERROR(VLOOKUP(J224,Substituicoes!J:J,1,0),"SS")</f>
        <v>6Tuntum - MA20</v>
      </c>
      <c r="L224" s="27" t="str">
        <f>IFERROR(VLOOKUP(J224,Substituicoes!K:K,1,0),"SS")</f>
        <v>SS</v>
      </c>
      <c r="M224" s="28" t="b">
        <f t="shared" si="27"/>
        <v>0</v>
      </c>
      <c r="N224" s="29">
        <f>IF(AND(K224=L224,LEFT(E224,1)="T"),VLOOKUP(A224,'JOGOS BASE'!A:E,4,0),IF(K224=J224,VLOOKUP(J224,Substituicoes!J:R,6,0),IF(L224=J224,VLOOKUP(Escalacao!J224,Substituicoes!K:R,7,0),0)))</f>
        <v>0</v>
      </c>
      <c r="O224" s="28">
        <f>IF(AND(K224=L224,LEFT(E224,1)="T"),VLOOKUP(A224,'JOGOS BASE'!A:E,5,0),IF(K224=J224,VLOOKUP(J224,Substituicoes!J:R,7,0),IF(L224=J224,VLOOKUP(Escalacao!J224,Substituicoes!K:R,8,0),0)))</f>
        <v>35</v>
      </c>
      <c r="P224" s="28">
        <f t="shared" si="28"/>
        <v>35</v>
      </c>
      <c r="Q224" s="28" t="str">
        <f t="shared" si="29"/>
        <v>620Tuntum - MA</v>
      </c>
      <c r="R224" s="28" t="str">
        <f>VLOOKUP(A224,'JOGOS BASE'!A:H,8)</f>
        <v>15.01.2025 - Tuntum - MA x Imperatriz - MA</v>
      </c>
    </row>
    <row r="225" spans="1:18" ht="30.6">
      <c r="A225" s="15">
        <v>6</v>
      </c>
      <c r="B225" s="46">
        <v>21</v>
      </c>
      <c r="C225" s="45" t="s">
        <v>557</v>
      </c>
      <c r="D225" s="45" t="s">
        <v>558</v>
      </c>
      <c r="E225" s="47" t="s">
        <v>42</v>
      </c>
      <c r="F225" s="47" t="s">
        <v>24</v>
      </c>
      <c r="G225" s="46">
        <v>734676</v>
      </c>
      <c r="H225" s="18" t="s">
        <v>388</v>
      </c>
      <c r="I225" s="26" t="str">
        <f t="shared" si="25"/>
        <v>Kio</v>
      </c>
      <c r="J225" s="26" t="str">
        <f t="shared" si="26"/>
        <v>6Tuntum - MA21</v>
      </c>
      <c r="K225" s="27" t="str">
        <f>IFERROR(VLOOKUP(J225,Substituicoes!J:J,1,0),"SS")</f>
        <v>6Tuntum - MA21</v>
      </c>
      <c r="L225" s="27" t="str">
        <f>IFERROR(VLOOKUP(J225,Substituicoes!K:K,1,0),"SS")</f>
        <v>SS</v>
      </c>
      <c r="M225" s="28" t="b">
        <f t="shared" si="27"/>
        <v>0</v>
      </c>
      <c r="N225" s="29">
        <f>IF(AND(K225=L225,LEFT(E225,1)="T"),VLOOKUP(A225,'JOGOS BASE'!A:E,4,0),IF(K225=J225,VLOOKUP(J225,Substituicoes!J:R,6,0),IF(L225=J225,VLOOKUP(Escalacao!J225,Substituicoes!K:R,7,0),0)))</f>
        <v>0</v>
      </c>
      <c r="O225" s="28">
        <f>IF(AND(K225=L225,LEFT(E225,1)="T"),VLOOKUP(A225,'JOGOS BASE'!A:E,5,0),IF(K225=J225,VLOOKUP(J225,Substituicoes!J:R,7,0),IF(L225=J225,VLOOKUP(Escalacao!J225,Substituicoes!K:R,8,0),0)))</f>
        <v>19</v>
      </c>
      <c r="P225" s="28">
        <f t="shared" si="28"/>
        <v>19</v>
      </c>
      <c r="Q225" s="28" t="str">
        <f t="shared" si="29"/>
        <v>621Tuntum - MA</v>
      </c>
      <c r="R225" s="28" t="str">
        <f>VLOOKUP(A225,'JOGOS BASE'!A:H,8)</f>
        <v>15.01.2025 - Tuntum - MA x Imperatriz - MA</v>
      </c>
    </row>
    <row r="226" spans="1:18" ht="30.6">
      <c r="A226" s="15">
        <v>6</v>
      </c>
      <c r="B226" s="46">
        <v>22</v>
      </c>
      <c r="C226" s="45" t="s">
        <v>559</v>
      </c>
      <c r="D226" s="45" t="s">
        <v>560</v>
      </c>
      <c r="E226" s="47" t="s">
        <v>42</v>
      </c>
      <c r="F226" s="47" t="s">
        <v>24</v>
      </c>
      <c r="G226" s="46">
        <v>647116</v>
      </c>
      <c r="H226" s="18" t="s">
        <v>388</v>
      </c>
      <c r="I226" s="26" t="str">
        <f t="shared" si="25"/>
        <v>ANTONIO</v>
      </c>
      <c r="J226" s="26" t="str">
        <f t="shared" si="26"/>
        <v>6Tuntum - MA22</v>
      </c>
      <c r="K226" s="27" t="str">
        <f>IFERROR(VLOOKUP(J226,Substituicoes!J:J,1,0),"SS")</f>
        <v>SS</v>
      </c>
      <c r="L226" s="27" t="str">
        <f>IFERROR(VLOOKUP(J226,Substituicoes!K:K,1,0),"SS")</f>
        <v>SS</v>
      </c>
      <c r="M226" s="28" t="b">
        <f t="shared" si="27"/>
        <v>1</v>
      </c>
      <c r="N226" s="29">
        <f>IF(AND(K226=L226,LEFT(E226,1)="T"),VLOOKUP(A226,'JOGOS BASE'!A:E,4,0),IF(K226=J226,VLOOKUP(J226,Substituicoes!J:R,6,0),IF(L226=J226,VLOOKUP(Escalacao!J226,Substituicoes!K:R,7,0),0)))</f>
        <v>0</v>
      </c>
      <c r="O226" s="28">
        <f>IF(AND(K226=L226,LEFT(E226,1)="T"),VLOOKUP(A226,'JOGOS BASE'!A:E,5,0),IF(K226=J226,VLOOKUP(J226,Substituicoes!J:R,7,0),IF(L226=J226,VLOOKUP(Escalacao!J226,Substituicoes!K:R,8,0),0)))</f>
        <v>0</v>
      </c>
      <c r="P226" s="28">
        <f t="shared" si="28"/>
        <v>0</v>
      </c>
      <c r="Q226" s="28" t="str">
        <f t="shared" si="29"/>
        <v>622Tuntum - MA</v>
      </c>
      <c r="R226" s="28" t="str">
        <f>VLOOKUP(A226,'JOGOS BASE'!A:H,8)</f>
        <v>15.01.2025 - Tuntum - MA x Imperatriz - MA</v>
      </c>
    </row>
    <row r="227" spans="1:18" ht="20.399999999999999">
      <c r="A227" s="15">
        <v>6</v>
      </c>
      <c r="B227" s="46">
        <v>1</v>
      </c>
      <c r="C227" s="45" t="s">
        <v>21</v>
      </c>
      <c r="D227" s="45" t="s">
        <v>22</v>
      </c>
      <c r="E227" s="47" t="s">
        <v>23</v>
      </c>
      <c r="F227" s="47" t="s">
        <v>24</v>
      </c>
      <c r="G227" s="46">
        <v>459328</v>
      </c>
      <c r="H227" s="18" t="s">
        <v>107</v>
      </c>
      <c r="I227" s="26" t="str">
        <f t="shared" si="25"/>
        <v>Jr Conceiç ...</v>
      </c>
      <c r="J227" s="26" t="str">
        <f t="shared" si="26"/>
        <v>6Imperatriz - MA1</v>
      </c>
      <c r="K227" s="27" t="str">
        <f>IFERROR(VLOOKUP(J227,Substituicoes!J:J,1,0),"SS")</f>
        <v>SS</v>
      </c>
      <c r="L227" s="27" t="str">
        <f>IFERROR(VLOOKUP(J227,Substituicoes!K:K,1,0),"SS")</f>
        <v>SS</v>
      </c>
      <c r="M227" s="28" t="b">
        <f t="shared" si="27"/>
        <v>1</v>
      </c>
      <c r="N227" s="29">
        <f>IF(AND(K227=L227,LEFT(E227,1)="T"),VLOOKUP(A227,'JOGOS BASE'!A:E,4,0),IF(K227=J227,VLOOKUP(J227,Substituicoes!J:R,6,0),IF(L227=J227,VLOOKUP(Escalacao!J227,Substituicoes!K:R,7,0),0)))</f>
        <v>50</v>
      </c>
      <c r="O227" s="28">
        <f>IF(AND(K227=L227,LEFT(E227,1)="T"),VLOOKUP(A227,'JOGOS BASE'!A:E,5,0),IF(K227=J227,VLOOKUP(J227,Substituicoes!J:R,7,0),IF(L227=J227,VLOOKUP(Escalacao!J227,Substituicoes!K:R,8,0),0)))</f>
        <v>50</v>
      </c>
      <c r="P227" s="28">
        <f t="shared" si="28"/>
        <v>100</v>
      </c>
      <c r="Q227" s="28" t="str">
        <f t="shared" si="29"/>
        <v>61Imperatriz - MA</v>
      </c>
      <c r="R227" s="28" t="str">
        <f>VLOOKUP(A227,'JOGOS BASE'!A:H,8)</f>
        <v>15.01.2025 - Tuntum - MA x Imperatriz - MA</v>
      </c>
    </row>
    <row r="228" spans="1:18" ht="30.6">
      <c r="A228" s="15">
        <v>6</v>
      </c>
      <c r="B228" s="46">
        <v>2</v>
      </c>
      <c r="C228" s="45" t="s">
        <v>561</v>
      </c>
      <c r="D228" s="45" t="s">
        <v>562</v>
      </c>
      <c r="E228" s="47" t="s">
        <v>26</v>
      </c>
      <c r="F228" s="47" t="s">
        <v>24</v>
      </c>
      <c r="G228" s="46">
        <v>191387</v>
      </c>
      <c r="H228" s="18" t="s">
        <v>107</v>
      </c>
      <c r="I228" s="26" t="str">
        <f t="shared" si="25"/>
        <v>Ceara</v>
      </c>
      <c r="J228" s="26" t="str">
        <f t="shared" si="26"/>
        <v>6Imperatriz - MA2</v>
      </c>
      <c r="K228" s="27" t="str">
        <f>IFERROR(VLOOKUP(J228,Substituicoes!J:J,1,0),"SS")</f>
        <v>SS</v>
      </c>
      <c r="L228" s="27" t="str">
        <f>IFERROR(VLOOKUP(J228,Substituicoes!K:K,1,0),"SS")</f>
        <v>SS</v>
      </c>
      <c r="M228" s="28" t="b">
        <f t="shared" si="27"/>
        <v>1</v>
      </c>
      <c r="N228" s="29">
        <f>IF(AND(K228=L228,LEFT(E228,1)="T"),VLOOKUP(A228,'JOGOS BASE'!A:E,4,0),IF(K228=J228,VLOOKUP(J228,Substituicoes!J:R,6,0),IF(L228=J228,VLOOKUP(Escalacao!J228,Substituicoes!K:R,7,0),0)))</f>
        <v>50</v>
      </c>
      <c r="O228" s="28">
        <f>IF(AND(K228=L228,LEFT(E228,1)="T"),VLOOKUP(A228,'JOGOS BASE'!A:E,5,0),IF(K228=J228,VLOOKUP(J228,Substituicoes!J:R,7,0),IF(L228=J228,VLOOKUP(Escalacao!J228,Substituicoes!K:R,8,0),0)))</f>
        <v>50</v>
      </c>
      <c r="P228" s="28">
        <f t="shared" si="28"/>
        <v>100</v>
      </c>
      <c r="Q228" s="28" t="str">
        <f t="shared" si="29"/>
        <v>62Imperatriz - MA</v>
      </c>
      <c r="R228" s="28" t="str">
        <f>VLOOKUP(A228,'JOGOS BASE'!A:H,8)</f>
        <v>15.01.2025 - Tuntum - MA x Imperatriz - MA</v>
      </c>
    </row>
    <row r="229" spans="1:18" ht="20.399999999999999">
      <c r="A229" s="15">
        <v>6</v>
      </c>
      <c r="B229" s="46">
        <v>3</v>
      </c>
      <c r="C229" s="45" t="s">
        <v>2</v>
      </c>
      <c r="D229" s="45" t="s">
        <v>27</v>
      </c>
      <c r="E229" s="47" t="s">
        <v>26</v>
      </c>
      <c r="F229" s="47" t="s">
        <v>24</v>
      </c>
      <c r="G229" s="46">
        <v>393115</v>
      </c>
      <c r="H229" s="18" t="s">
        <v>107</v>
      </c>
      <c r="I229" s="26" t="str">
        <f t="shared" si="25"/>
        <v>Andre Penalva</v>
      </c>
      <c r="J229" s="26" t="str">
        <f t="shared" si="26"/>
        <v>6Imperatriz - MA3</v>
      </c>
      <c r="K229" s="27" t="str">
        <f>IFERROR(VLOOKUP(J229,Substituicoes!J:J,1,0),"SS")</f>
        <v>SS</v>
      </c>
      <c r="L229" s="27" t="str">
        <f>IFERROR(VLOOKUP(J229,Substituicoes!K:K,1,0),"SS")</f>
        <v>SS</v>
      </c>
      <c r="M229" s="28" t="b">
        <f t="shared" si="27"/>
        <v>1</v>
      </c>
      <c r="N229" s="29">
        <f>IF(AND(K229=L229,LEFT(E229,1)="T"),VLOOKUP(A229,'JOGOS BASE'!A:E,4,0),IF(K229=J229,VLOOKUP(J229,Substituicoes!J:R,6,0),IF(L229=J229,VLOOKUP(Escalacao!J229,Substituicoes!K:R,7,0),0)))</f>
        <v>50</v>
      </c>
      <c r="O229" s="28">
        <f>IF(AND(K229=L229,LEFT(E229,1)="T"),VLOOKUP(A229,'JOGOS BASE'!A:E,5,0),IF(K229=J229,VLOOKUP(J229,Substituicoes!J:R,7,0),IF(L229=J229,VLOOKUP(Escalacao!J229,Substituicoes!K:R,8,0),0)))</f>
        <v>50</v>
      </c>
      <c r="P229" s="28">
        <f t="shared" si="28"/>
        <v>100</v>
      </c>
      <c r="Q229" s="28" t="str">
        <f t="shared" si="29"/>
        <v>63Imperatriz - MA</v>
      </c>
      <c r="R229" s="28" t="str">
        <f>VLOOKUP(A229,'JOGOS BASE'!A:H,8)</f>
        <v>15.01.2025 - Tuntum - MA x Imperatriz - MA</v>
      </c>
    </row>
    <row r="230" spans="1:18" ht="20.399999999999999">
      <c r="A230" s="15">
        <v>6</v>
      </c>
      <c r="B230" s="46">
        <v>4</v>
      </c>
      <c r="C230" s="45" t="s">
        <v>28</v>
      </c>
      <c r="D230" s="45" t="s">
        <v>29</v>
      </c>
      <c r="E230" s="47" t="s">
        <v>26</v>
      </c>
      <c r="F230" s="47" t="s">
        <v>24</v>
      </c>
      <c r="G230" s="46">
        <v>373479</v>
      </c>
      <c r="H230" s="18" t="s">
        <v>107</v>
      </c>
      <c r="I230" s="26" t="str">
        <f t="shared" si="25"/>
        <v>FELIPE</v>
      </c>
      <c r="J230" s="26" t="str">
        <f t="shared" si="26"/>
        <v>6Imperatriz - MA4</v>
      </c>
      <c r="K230" s="27" t="str">
        <f>IFERROR(VLOOKUP(J230,Substituicoes!J:J,1,0),"SS")</f>
        <v>SS</v>
      </c>
      <c r="L230" s="27" t="str">
        <f>IFERROR(VLOOKUP(J230,Substituicoes!K:K,1,0),"SS")</f>
        <v>SS</v>
      </c>
      <c r="M230" s="28" t="b">
        <f t="shared" si="27"/>
        <v>1</v>
      </c>
      <c r="N230" s="29">
        <f>IF(AND(K230=L230,LEFT(E230,1)="T"),VLOOKUP(A230,'JOGOS BASE'!A:E,4,0),IF(K230=J230,VLOOKUP(J230,Substituicoes!J:R,6,0),IF(L230=J230,VLOOKUP(Escalacao!J230,Substituicoes!K:R,7,0),0)))</f>
        <v>50</v>
      </c>
      <c r="O230" s="28">
        <f>IF(AND(K230=L230,LEFT(E230,1)="T"),VLOOKUP(A230,'JOGOS BASE'!A:E,5,0),IF(K230=J230,VLOOKUP(J230,Substituicoes!J:R,7,0),IF(L230=J230,VLOOKUP(Escalacao!J230,Substituicoes!K:R,8,0),0)))</f>
        <v>50</v>
      </c>
      <c r="P230" s="28">
        <f t="shared" si="28"/>
        <v>100</v>
      </c>
      <c r="Q230" s="28" t="str">
        <f t="shared" si="29"/>
        <v>64Imperatriz - MA</v>
      </c>
      <c r="R230" s="28" t="str">
        <f>VLOOKUP(A230,'JOGOS BASE'!A:H,8)</f>
        <v>15.01.2025 - Tuntum - MA x Imperatriz - MA</v>
      </c>
    </row>
    <row r="231" spans="1:18" ht="30.6">
      <c r="A231" s="15">
        <v>6</v>
      </c>
      <c r="B231" s="46">
        <v>5</v>
      </c>
      <c r="C231" s="45" t="s">
        <v>30</v>
      </c>
      <c r="D231" s="45" t="s">
        <v>31</v>
      </c>
      <c r="E231" s="47" t="s">
        <v>26</v>
      </c>
      <c r="F231" s="47" t="s">
        <v>24</v>
      </c>
      <c r="G231" s="46">
        <v>345029</v>
      </c>
      <c r="H231" s="18" t="s">
        <v>107</v>
      </c>
      <c r="I231" s="26" t="str">
        <f t="shared" si="25"/>
        <v>Jeferson P ...</v>
      </c>
      <c r="J231" s="26" t="str">
        <f t="shared" si="26"/>
        <v>6Imperatriz - MA5</v>
      </c>
      <c r="K231" s="27" t="str">
        <f>IFERROR(VLOOKUP(J231,Substituicoes!J:J,1,0),"SS")</f>
        <v>SS</v>
      </c>
      <c r="L231" s="27" t="str">
        <f>IFERROR(VLOOKUP(J231,Substituicoes!K:K,1,0),"SS")</f>
        <v>SS</v>
      </c>
      <c r="M231" s="28" t="b">
        <f t="shared" si="27"/>
        <v>1</v>
      </c>
      <c r="N231" s="29">
        <f>IF(AND(K231=L231,LEFT(E231,1)="T"),VLOOKUP(A231,'JOGOS BASE'!A:E,4,0),IF(K231=J231,VLOOKUP(J231,Substituicoes!J:R,6,0),IF(L231=J231,VLOOKUP(Escalacao!J231,Substituicoes!K:R,7,0),0)))</f>
        <v>50</v>
      </c>
      <c r="O231" s="28">
        <f>IF(AND(K231=L231,LEFT(E231,1)="T"),VLOOKUP(A231,'JOGOS BASE'!A:E,5,0),IF(K231=J231,VLOOKUP(J231,Substituicoes!J:R,7,0),IF(L231=J231,VLOOKUP(Escalacao!J231,Substituicoes!K:R,8,0),0)))</f>
        <v>50</v>
      </c>
      <c r="P231" s="28">
        <f t="shared" si="28"/>
        <v>100</v>
      </c>
      <c r="Q231" s="28" t="str">
        <f t="shared" si="29"/>
        <v>65Imperatriz - MA</v>
      </c>
      <c r="R231" s="28" t="str">
        <f>VLOOKUP(A231,'JOGOS BASE'!A:H,8)</f>
        <v>15.01.2025 - Tuntum - MA x Imperatriz - MA</v>
      </c>
    </row>
    <row r="232" spans="1:18" ht="30.6">
      <c r="A232" s="15">
        <v>6</v>
      </c>
      <c r="B232" s="46">
        <v>6</v>
      </c>
      <c r="C232" s="45" t="s">
        <v>3</v>
      </c>
      <c r="D232" s="45" t="s">
        <v>32</v>
      </c>
      <c r="E232" s="47" t="s">
        <v>26</v>
      </c>
      <c r="F232" s="47" t="s">
        <v>24</v>
      </c>
      <c r="G232" s="46">
        <v>634279</v>
      </c>
      <c r="H232" s="18" t="s">
        <v>107</v>
      </c>
      <c r="I232" s="26" t="str">
        <f t="shared" si="25"/>
        <v>Negueba</v>
      </c>
      <c r="J232" s="26" t="str">
        <f t="shared" si="26"/>
        <v>6Imperatriz - MA6</v>
      </c>
      <c r="K232" s="27" t="str">
        <f>IFERROR(VLOOKUP(J232,Substituicoes!J:J,1,0),"SS")</f>
        <v>SS</v>
      </c>
      <c r="L232" s="27" t="str">
        <f>IFERROR(VLOOKUP(J232,Substituicoes!K:K,1,0),"SS")</f>
        <v>SS</v>
      </c>
      <c r="M232" s="28" t="b">
        <f t="shared" si="27"/>
        <v>1</v>
      </c>
      <c r="N232" s="29">
        <f>IF(AND(K232=L232,LEFT(E232,1)="T"),VLOOKUP(A232,'JOGOS BASE'!A:E,4,0),IF(K232=J232,VLOOKUP(J232,Substituicoes!J:R,6,0),IF(L232=J232,VLOOKUP(Escalacao!J232,Substituicoes!K:R,7,0),0)))</f>
        <v>50</v>
      </c>
      <c r="O232" s="28">
        <f>IF(AND(K232=L232,LEFT(E232,1)="T"),VLOOKUP(A232,'JOGOS BASE'!A:E,5,0),IF(K232=J232,VLOOKUP(J232,Substituicoes!J:R,7,0),IF(L232=J232,VLOOKUP(Escalacao!J232,Substituicoes!K:R,8,0),0)))</f>
        <v>50</v>
      </c>
      <c r="P232" s="28">
        <f t="shared" si="28"/>
        <v>100</v>
      </c>
      <c r="Q232" s="28" t="str">
        <f t="shared" si="29"/>
        <v>66Imperatriz - MA</v>
      </c>
      <c r="R232" s="28" t="str">
        <f>VLOOKUP(A232,'JOGOS BASE'!A:H,8)</f>
        <v>15.01.2025 - Tuntum - MA x Imperatriz - MA</v>
      </c>
    </row>
    <row r="233" spans="1:18" ht="20.399999999999999">
      <c r="A233" s="15">
        <v>6</v>
      </c>
      <c r="B233" s="46">
        <v>7</v>
      </c>
      <c r="C233" s="45" t="s">
        <v>4</v>
      </c>
      <c r="D233" s="45" t="s">
        <v>33</v>
      </c>
      <c r="E233" s="47" t="s">
        <v>26</v>
      </c>
      <c r="F233" s="47" t="s">
        <v>24</v>
      </c>
      <c r="G233" s="46">
        <v>546130</v>
      </c>
      <c r="H233" s="18" t="s">
        <v>107</v>
      </c>
      <c r="I233" s="26" t="str">
        <f t="shared" si="25"/>
        <v>Felipinho</v>
      </c>
      <c r="J233" s="26" t="str">
        <f t="shared" si="26"/>
        <v>6Imperatriz - MA7</v>
      </c>
      <c r="K233" s="27" t="str">
        <f>IFERROR(VLOOKUP(J233,Substituicoes!J:J,1,0),"SS")</f>
        <v>SS</v>
      </c>
      <c r="L233" s="27" t="str">
        <f>IFERROR(VLOOKUP(J233,Substituicoes!K:K,1,0),"SS")</f>
        <v>6Imperatriz - MA7</v>
      </c>
      <c r="M233" s="28" t="b">
        <f t="shared" si="27"/>
        <v>0</v>
      </c>
      <c r="N233" s="29">
        <f>IF(AND(K233=L233,LEFT(E233,1)="T"),VLOOKUP(A233,'JOGOS BASE'!A:E,4,0),IF(K233=J233,VLOOKUP(J233,Substituicoes!J:R,6,0),IF(L233=J233,VLOOKUP(Escalacao!J233,Substituicoes!K:R,7,0),0)))</f>
        <v>50</v>
      </c>
      <c r="O233" s="28">
        <f>IF(AND(K233=L233,LEFT(E233,1)="T"),VLOOKUP(A233,'JOGOS BASE'!A:E,5,0),IF(K233=J233,VLOOKUP(J233,Substituicoes!J:R,7,0),IF(L233=J233,VLOOKUP(Escalacao!J233,Substituicoes!K:R,8,0),0)))</f>
        <v>41</v>
      </c>
      <c r="P233" s="28">
        <f t="shared" si="28"/>
        <v>91</v>
      </c>
      <c r="Q233" s="28" t="str">
        <f t="shared" si="29"/>
        <v>67Imperatriz - MA</v>
      </c>
      <c r="R233" s="28" t="str">
        <f>VLOOKUP(A233,'JOGOS BASE'!A:H,8)</f>
        <v>15.01.2025 - Tuntum - MA x Imperatriz - MA</v>
      </c>
    </row>
    <row r="234" spans="1:18" ht="30.6">
      <c r="A234" s="15">
        <v>6</v>
      </c>
      <c r="B234" s="46">
        <v>8</v>
      </c>
      <c r="C234" s="45" t="s">
        <v>5</v>
      </c>
      <c r="D234" s="45" t="s">
        <v>34</v>
      </c>
      <c r="E234" s="47" t="s">
        <v>26</v>
      </c>
      <c r="F234" s="47" t="s">
        <v>24</v>
      </c>
      <c r="G234" s="46">
        <v>348355</v>
      </c>
      <c r="H234" s="18" t="s">
        <v>107</v>
      </c>
      <c r="I234" s="26" t="str">
        <f t="shared" si="25"/>
        <v>Felipe Macena</v>
      </c>
      <c r="J234" s="26" t="str">
        <f t="shared" si="26"/>
        <v>6Imperatriz - MA8</v>
      </c>
      <c r="K234" s="27" t="str">
        <f>IFERROR(VLOOKUP(J234,Substituicoes!J:J,1,0),"SS")</f>
        <v>SS</v>
      </c>
      <c r="L234" s="27" t="str">
        <f>IFERROR(VLOOKUP(J234,Substituicoes!K:K,1,0),"SS")</f>
        <v>6Imperatriz - MA8</v>
      </c>
      <c r="M234" s="28" t="b">
        <f t="shared" si="27"/>
        <v>0</v>
      </c>
      <c r="N234" s="29">
        <f>IF(AND(K234=L234,LEFT(E234,1)="T"),VLOOKUP(A234,'JOGOS BASE'!A:E,4,0),IF(K234=J234,VLOOKUP(J234,Substituicoes!J:R,6,0),IF(L234=J234,VLOOKUP(Escalacao!J234,Substituicoes!K:R,7,0),0)))</f>
        <v>50</v>
      </c>
      <c r="O234" s="28">
        <f>IF(AND(K234=L234,LEFT(E234,1)="T"),VLOOKUP(A234,'JOGOS BASE'!A:E,5,0),IF(K234=J234,VLOOKUP(J234,Substituicoes!J:R,7,0),IF(L234=J234,VLOOKUP(Escalacao!J234,Substituicoes!K:R,8,0),0)))</f>
        <v>31</v>
      </c>
      <c r="P234" s="28">
        <f t="shared" si="28"/>
        <v>81</v>
      </c>
      <c r="Q234" s="28" t="str">
        <f t="shared" si="29"/>
        <v>68Imperatriz - MA</v>
      </c>
      <c r="R234" s="28" t="str">
        <f>VLOOKUP(A234,'JOGOS BASE'!A:H,8)</f>
        <v>15.01.2025 - Tuntum - MA x Imperatriz - MA</v>
      </c>
    </row>
    <row r="235" spans="1:18" ht="30.6">
      <c r="A235" s="15">
        <v>6</v>
      </c>
      <c r="B235" s="46">
        <v>9</v>
      </c>
      <c r="C235" s="45" t="s">
        <v>6</v>
      </c>
      <c r="D235" s="45" t="s">
        <v>563</v>
      </c>
      <c r="E235" s="47" t="s">
        <v>26</v>
      </c>
      <c r="F235" s="47" t="s">
        <v>24</v>
      </c>
      <c r="G235" s="46">
        <v>637641</v>
      </c>
      <c r="H235" s="18" t="s">
        <v>107</v>
      </c>
      <c r="I235" s="26" t="str">
        <f t="shared" si="25"/>
        <v>Lussandro</v>
      </c>
      <c r="J235" s="26" t="str">
        <f t="shared" si="26"/>
        <v>6Imperatriz - MA9</v>
      </c>
      <c r="K235" s="27" t="str">
        <f>IFERROR(VLOOKUP(J235,Substituicoes!J:J,1,0),"SS")</f>
        <v>SS</v>
      </c>
      <c r="L235" s="27" t="str">
        <f>IFERROR(VLOOKUP(J235,Substituicoes!K:K,1,0),"SS")</f>
        <v>6Imperatriz - MA9</v>
      </c>
      <c r="M235" s="28" t="b">
        <f t="shared" si="27"/>
        <v>0</v>
      </c>
      <c r="N235" s="29">
        <f>IF(AND(K235=L235,LEFT(E235,1)="T"),VLOOKUP(A235,'JOGOS BASE'!A:E,4,0),IF(K235=J235,VLOOKUP(J235,Substituicoes!J:R,6,0),IF(L235=J235,VLOOKUP(Escalacao!J235,Substituicoes!K:R,7,0),0)))</f>
        <v>50</v>
      </c>
      <c r="O235" s="28">
        <f>IF(AND(K235=L235,LEFT(E235,1)="T"),VLOOKUP(A235,'JOGOS BASE'!A:E,5,0),IF(K235=J235,VLOOKUP(J235,Substituicoes!J:R,7,0),IF(L235=J235,VLOOKUP(Escalacao!J235,Substituicoes!K:R,8,0),0)))</f>
        <v>31</v>
      </c>
      <c r="P235" s="28">
        <f t="shared" si="28"/>
        <v>81</v>
      </c>
      <c r="Q235" s="28" t="str">
        <f t="shared" si="29"/>
        <v>69Imperatriz - MA</v>
      </c>
      <c r="R235" s="28" t="str">
        <f>VLOOKUP(A235,'JOGOS BASE'!A:H,8)</f>
        <v>15.01.2025 - Tuntum - MA x Imperatriz - MA</v>
      </c>
    </row>
    <row r="236" spans="1:18" ht="30.6">
      <c r="A236" s="15">
        <v>6</v>
      </c>
      <c r="B236" s="46">
        <v>10</v>
      </c>
      <c r="C236" s="45" t="s">
        <v>36</v>
      </c>
      <c r="D236" s="45" t="s">
        <v>37</v>
      </c>
      <c r="E236" s="47" t="s">
        <v>26</v>
      </c>
      <c r="F236" s="47" t="s">
        <v>24</v>
      </c>
      <c r="G236" s="46">
        <v>293426</v>
      </c>
      <c r="H236" s="18" t="s">
        <v>107</v>
      </c>
      <c r="I236" s="26" t="str">
        <f t="shared" si="25"/>
        <v>Henrique S ...</v>
      </c>
      <c r="J236" s="26" t="str">
        <f t="shared" si="26"/>
        <v>6Imperatriz - MA10</v>
      </c>
      <c r="K236" s="27" t="str">
        <f>IFERROR(VLOOKUP(J236,Substituicoes!J:J,1,0),"SS")</f>
        <v>SS</v>
      </c>
      <c r="L236" s="27" t="str">
        <f>IFERROR(VLOOKUP(J236,Substituicoes!K:K,1,0),"SS")</f>
        <v>6Imperatriz - MA10</v>
      </c>
      <c r="M236" s="28" t="b">
        <f t="shared" si="27"/>
        <v>0</v>
      </c>
      <c r="N236" s="29">
        <f>IF(AND(K236=L236,LEFT(E236,1)="T"),VLOOKUP(A236,'JOGOS BASE'!A:E,4,0),IF(K236=J236,VLOOKUP(J236,Substituicoes!J:R,6,0),IF(L236=J236,VLOOKUP(Escalacao!J236,Substituicoes!K:R,7,0),0)))</f>
        <v>50</v>
      </c>
      <c r="O236" s="28">
        <f>IF(AND(K236=L236,LEFT(E236,1)="T"),VLOOKUP(A236,'JOGOS BASE'!A:E,5,0),IF(K236=J236,VLOOKUP(J236,Substituicoes!J:R,7,0),IF(L236=J236,VLOOKUP(Escalacao!J236,Substituicoes!K:R,8,0),0)))</f>
        <v>17</v>
      </c>
      <c r="P236" s="28">
        <f t="shared" si="28"/>
        <v>67</v>
      </c>
      <c r="Q236" s="28" t="str">
        <f t="shared" si="29"/>
        <v>610Imperatriz - MA</v>
      </c>
      <c r="R236" s="28" t="str">
        <f>VLOOKUP(A236,'JOGOS BASE'!A:H,8)</f>
        <v>15.01.2025 - Tuntum - MA x Imperatriz - MA</v>
      </c>
    </row>
    <row r="237" spans="1:18" ht="20.399999999999999">
      <c r="A237" s="15">
        <v>6</v>
      </c>
      <c r="B237" s="46">
        <v>19</v>
      </c>
      <c r="C237" s="45" t="s">
        <v>7</v>
      </c>
      <c r="D237" s="45" t="s">
        <v>38</v>
      </c>
      <c r="E237" s="47" t="s">
        <v>26</v>
      </c>
      <c r="F237" s="47" t="s">
        <v>24</v>
      </c>
      <c r="G237" s="46">
        <v>386286</v>
      </c>
      <c r="H237" s="18" t="s">
        <v>107</v>
      </c>
      <c r="I237" s="26" t="str">
        <f t="shared" si="25"/>
        <v>Café</v>
      </c>
      <c r="J237" s="26" t="str">
        <f t="shared" si="26"/>
        <v>6Imperatriz - MA19</v>
      </c>
      <c r="K237" s="27" t="str">
        <f>IFERROR(VLOOKUP(J237,Substituicoes!J:J,1,0),"SS")</f>
        <v>SS</v>
      </c>
      <c r="L237" s="27" t="str">
        <f>IFERROR(VLOOKUP(J237,Substituicoes!K:K,1,0),"SS")</f>
        <v>6Imperatriz - MA19</v>
      </c>
      <c r="M237" s="28" t="b">
        <f t="shared" si="27"/>
        <v>0</v>
      </c>
      <c r="N237" s="29">
        <f>IF(AND(K237=L237,LEFT(E237,1)="T"),VLOOKUP(A237,'JOGOS BASE'!A:E,4,0),IF(K237=J237,VLOOKUP(J237,Substituicoes!J:R,6,0),IF(L237=J237,VLOOKUP(Escalacao!J237,Substituicoes!K:R,7,0),0)))</f>
        <v>50</v>
      </c>
      <c r="O237" s="28">
        <f>IF(AND(K237=L237,LEFT(E237,1)="T"),VLOOKUP(A237,'JOGOS BASE'!A:E,5,0),IF(K237=J237,VLOOKUP(J237,Substituicoes!J:R,7,0),IF(L237=J237,VLOOKUP(Escalacao!J237,Substituicoes!K:R,8,0),0)))</f>
        <v>17</v>
      </c>
      <c r="P237" s="28">
        <f t="shared" si="28"/>
        <v>67</v>
      </c>
      <c r="Q237" s="28" t="str">
        <f t="shared" si="29"/>
        <v>619Imperatriz - MA</v>
      </c>
      <c r="R237" s="28" t="str">
        <f>VLOOKUP(A237,'JOGOS BASE'!A:H,8)</f>
        <v>15.01.2025 - Tuntum - MA x Imperatriz - MA</v>
      </c>
    </row>
    <row r="238" spans="1:18" ht="30.6">
      <c r="A238" s="15">
        <v>6</v>
      </c>
      <c r="B238" s="46">
        <v>12</v>
      </c>
      <c r="C238" s="45" t="s">
        <v>8</v>
      </c>
      <c r="D238" s="45" t="s">
        <v>39</v>
      </c>
      <c r="E238" s="47" t="s">
        <v>40</v>
      </c>
      <c r="F238" s="47" t="s">
        <v>24</v>
      </c>
      <c r="G238" s="46">
        <v>426518</v>
      </c>
      <c r="H238" s="18" t="s">
        <v>107</v>
      </c>
      <c r="I238" s="26" t="str">
        <f t="shared" si="25"/>
        <v>Redson</v>
      </c>
      <c r="J238" s="26" t="str">
        <f t="shared" si="26"/>
        <v>6Imperatriz - MA12</v>
      </c>
      <c r="K238" s="27" t="str">
        <f>IFERROR(VLOOKUP(J238,Substituicoes!J:J,1,0),"SS")</f>
        <v>SS</v>
      </c>
      <c r="L238" s="27" t="str">
        <f>IFERROR(VLOOKUP(J238,Substituicoes!K:K,1,0),"SS")</f>
        <v>SS</v>
      </c>
      <c r="M238" s="28" t="b">
        <f t="shared" si="27"/>
        <v>1</v>
      </c>
      <c r="N238" s="29">
        <f>IF(AND(K238=L238,LEFT(E238,1)="T"),VLOOKUP(A238,'JOGOS BASE'!A:E,4,0),IF(K238=J238,VLOOKUP(J238,Substituicoes!J:R,6,0),IF(L238=J238,VLOOKUP(Escalacao!J238,Substituicoes!K:R,7,0),0)))</f>
        <v>0</v>
      </c>
      <c r="O238" s="28">
        <f>IF(AND(K238=L238,LEFT(E238,1)="T"),VLOOKUP(A238,'JOGOS BASE'!A:E,5,0),IF(K238=J238,VLOOKUP(J238,Substituicoes!J:R,7,0),IF(L238=J238,VLOOKUP(Escalacao!J238,Substituicoes!K:R,8,0),0)))</f>
        <v>0</v>
      </c>
      <c r="P238" s="28">
        <f t="shared" si="28"/>
        <v>0</v>
      </c>
      <c r="Q238" s="28" t="str">
        <f t="shared" si="29"/>
        <v>612Imperatriz - MA</v>
      </c>
      <c r="R238" s="28" t="str">
        <f>VLOOKUP(A238,'JOGOS BASE'!A:H,8)</f>
        <v>15.01.2025 - Tuntum - MA x Imperatriz - MA</v>
      </c>
    </row>
    <row r="239" spans="1:18" ht="30.6">
      <c r="A239" s="15">
        <v>6</v>
      </c>
      <c r="B239" s="46">
        <v>11</v>
      </c>
      <c r="C239" s="45" t="s">
        <v>51</v>
      </c>
      <c r="D239" s="45" t="s">
        <v>564</v>
      </c>
      <c r="E239" s="47" t="s">
        <v>42</v>
      </c>
      <c r="F239" s="47" t="s">
        <v>24</v>
      </c>
      <c r="G239" s="46">
        <v>611147</v>
      </c>
      <c r="H239" s="18" t="s">
        <v>107</v>
      </c>
      <c r="I239" s="26" t="str">
        <f t="shared" si="25"/>
        <v>WYLDSON</v>
      </c>
      <c r="J239" s="26" t="str">
        <f t="shared" si="26"/>
        <v>6Imperatriz - MA11</v>
      </c>
      <c r="K239" s="27" t="str">
        <f>IFERROR(VLOOKUP(J239,Substituicoes!J:J,1,0),"SS")</f>
        <v>6Imperatriz - MA11</v>
      </c>
      <c r="L239" s="27" t="str">
        <f>IFERROR(VLOOKUP(J239,Substituicoes!K:K,1,0),"SS")</f>
        <v>SS</v>
      </c>
      <c r="M239" s="28" t="b">
        <f t="shared" si="27"/>
        <v>0</v>
      </c>
      <c r="N239" s="29">
        <f>IF(AND(K239=L239,LEFT(E239,1)="T"),VLOOKUP(A239,'JOGOS BASE'!A:E,4,0),IF(K239=J239,VLOOKUP(J239,Substituicoes!J:R,6,0),IF(L239=J239,VLOOKUP(Escalacao!J239,Substituicoes!K:R,7,0),0)))</f>
        <v>0</v>
      </c>
      <c r="O239" s="28">
        <f>IF(AND(K239=L239,LEFT(E239,1)="T"),VLOOKUP(A239,'JOGOS BASE'!A:E,5,0),IF(K239=J239,VLOOKUP(J239,Substituicoes!J:R,7,0),IF(L239=J239,VLOOKUP(Escalacao!J239,Substituicoes!K:R,8,0),0)))</f>
        <v>33</v>
      </c>
      <c r="P239" s="28">
        <f t="shared" si="28"/>
        <v>33</v>
      </c>
      <c r="Q239" s="28" t="str">
        <f t="shared" si="29"/>
        <v>611Imperatriz - MA</v>
      </c>
      <c r="R239" s="28" t="str">
        <f>VLOOKUP(A239,'JOGOS BASE'!A:H,8)</f>
        <v>15.01.2025 - Tuntum - MA x Imperatriz - MA</v>
      </c>
    </row>
    <row r="240" spans="1:18" ht="30.6">
      <c r="A240" s="15">
        <v>6</v>
      </c>
      <c r="B240" s="46">
        <v>13</v>
      </c>
      <c r="C240" s="45" t="s">
        <v>9</v>
      </c>
      <c r="D240" s="45" t="s">
        <v>41</v>
      </c>
      <c r="E240" s="47" t="s">
        <v>42</v>
      </c>
      <c r="F240" s="47" t="s">
        <v>24</v>
      </c>
      <c r="G240" s="46">
        <v>460285</v>
      </c>
      <c r="H240" s="18" t="s">
        <v>107</v>
      </c>
      <c r="I240" s="26" t="str">
        <f t="shared" si="25"/>
        <v>Max Maraba</v>
      </c>
      <c r="J240" s="26" t="str">
        <f t="shared" si="26"/>
        <v>6Imperatriz - MA13</v>
      </c>
      <c r="K240" s="27" t="str">
        <f>IFERROR(VLOOKUP(J240,Substituicoes!J:J,1,0),"SS")</f>
        <v>SS</v>
      </c>
      <c r="L240" s="27" t="str">
        <f>IFERROR(VLOOKUP(J240,Substituicoes!K:K,1,0),"SS")</f>
        <v>SS</v>
      </c>
      <c r="M240" s="28" t="b">
        <f t="shared" si="27"/>
        <v>1</v>
      </c>
      <c r="N240" s="29">
        <f>IF(AND(K240=L240,LEFT(E240,1)="T"),VLOOKUP(A240,'JOGOS BASE'!A:E,4,0),IF(K240=J240,VLOOKUP(J240,Substituicoes!J:R,6,0),IF(L240=J240,VLOOKUP(Escalacao!J240,Substituicoes!K:R,7,0),0)))</f>
        <v>0</v>
      </c>
      <c r="O240" s="28">
        <f>IF(AND(K240=L240,LEFT(E240,1)="T"),VLOOKUP(A240,'JOGOS BASE'!A:E,5,0),IF(K240=J240,VLOOKUP(J240,Substituicoes!J:R,7,0),IF(L240=J240,VLOOKUP(Escalacao!J240,Substituicoes!K:R,8,0),0)))</f>
        <v>0</v>
      </c>
      <c r="P240" s="28">
        <f t="shared" si="28"/>
        <v>0</v>
      </c>
      <c r="Q240" s="28" t="str">
        <f t="shared" si="29"/>
        <v>613Imperatriz - MA</v>
      </c>
      <c r="R240" s="28" t="str">
        <f>VLOOKUP(A240,'JOGOS BASE'!A:H,8)</f>
        <v>15.01.2025 - Tuntum - MA x Imperatriz - MA</v>
      </c>
    </row>
    <row r="241" spans="1:18" ht="30.6">
      <c r="A241" s="15">
        <v>6</v>
      </c>
      <c r="B241" s="46">
        <v>14</v>
      </c>
      <c r="C241" s="45" t="s">
        <v>43</v>
      </c>
      <c r="D241" s="45" t="s">
        <v>44</v>
      </c>
      <c r="E241" s="47" t="s">
        <v>42</v>
      </c>
      <c r="F241" s="47" t="s">
        <v>24</v>
      </c>
      <c r="G241" s="46">
        <v>782606</v>
      </c>
      <c r="H241" s="18" t="s">
        <v>107</v>
      </c>
      <c r="I241" s="26" t="str">
        <f t="shared" si="25"/>
        <v>Raylson</v>
      </c>
      <c r="J241" s="26" t="str">
        <f t="shared" si="26"/>
        <v>6Imperatriz - MA14</v>
      </c>
      <c r="K241" s="27" t="str">
        <f>IFERROR(VLOOKUP(J241,Substituicoes!J:J,1,0),"SS")</f>
        <v>SS</v>
      </c>
      <c r="L241" s="27" t="str">
        <f>IFERROR(VLOOKUP(J241,Substituicoes!K:K,1,0),"SS")</f>
        <v>SS</v>
      </c>
      <c r="M241" s="28" t="b">
        <f t="shared" si="27"/>
        <v>1</v>
      </c>
      <c r="N241" s="29">
        <f>IF(AND(K241=L241,LEFT(E241,1)="T"),VLOOKUP(A241,'JOGOS BASE'!A:E,4,0),IF(K241=J241,VLOOKUP(J241,Substituicoes!J:R,6,0),IF(L241=J241,VLOOKUP(Escalacao!J241,Substituicoes!K:R,7,0),0)))</f>
        <v>0</v>
      </c>
      <c r="O241" s="28">
        <f>IF(AND(K241=L241,LEFT(E241,1)="T"),VLOOKUP(A241,'JOGOS BASE'!A:E,5,0),IF(K241=J241,VLOOKUP(J241,Substituicoes!J:R,7,0),IF(L241=J241,VLOOKUP(Escalacao!J241,Substituicoes!K:R,8,0),0)))</f>
        <v>0</v>
      </c>
      <c r="P241" s="28">
        <f t="shared" si="28"/>
        <v>0</v>
      </c>
      <c r="Q241" s="28" t="str">
        <f t="shared" si="29"/>
        <v>614Imperatriz - MA</v>
      </c>
      <c r="R241" s="28" t="str">
        <f>VLOOKUP(A241,'JOGOS BASE'!A:H,8)</f>
        <v>15.01.2025 - Tuntum - MA x Imperatriz - MA</v>
      </c>
    </row>
    <row r="242" spans="1:18" ht="30.6">
      <c r="A242" s="15">
        <v>6</v>
      </c>
      <c r="B242" s="46">
        <v>15</v>
      </c>
      <c r="C242" s="45" t="s">
        <v>45</v>
      </c>
      <c r="D242" s="45" t="s">
        <v>46</v>
      </c>
      <c r="E242" s="47" t="s">
        <v>42</v>
      </c>
      <c r="F242" s="47" t="s">
        <v>24</v>
      </c>
      <c r="G242" s="46">
        <v>500483</v>
      </c>
      <c r="H242" s="18" t="s">
        <v>107</v>
      </c>
      <c r="I242" s="26" t="str">
        <f t="shared" si="25"/>
        <v>CARLOS</v>
      </c>
      <c r="J242" s="26" t="str">
        <f t="shared" si="26"/>
        <v>6Imperatriz - MA15</v>
      </c>
      <c r="K242" s="27" t="str">
        <f>IFERROR(VLOOKUP(J242,Substituicoes!J:J,1,0),"SS")</f>
        <v>6Imperatriz - MA15</v>
      </c>
      <c r="L242" s="27" t="str">
        <f>IFERROR(VLOOKUP(J242,Substituicoes!K:K,1,0),"SS")</f>
        <v>SS</v>
      </c>
      <c r="M242" s="28" t="b">
        <f t="shared" si="27"/>
        <v>0</v>
      </c>
      <c r="N242" s="29">
        <f>IF(AND(K242=L242,LEFT(E242,1)="T"),VLOOKUP(A242,'JOGOS BASE'!A:E,4,0),IF(K242=J242,VLOOKUP(J242,Substituicoes!J:R,6,0),IF(L242=J242,VLOOKUP(Escalacao!J242,Substituicoes!K:R,7,0),0)))</f>
        <v>0</v>
      </c>
      <c r="O242" s="28">
        <f>IF(AND(K242=L242,LEFT(E242,1)="T"),VLOOKUP(A242,'JOGOS BASE'!A:E,5,0),IF(K242=J242,VLOOKUP(J242,Substituicoes!J:R,7,0),IF(L242=J242,VLOOKUP(Escalacao!J242,Substituicoes!K:R,8,0),0)))</f>
        <v>9</v>
      </c>
      <c r="P242" s="28">
        <f t="shared" si="28"/>
        <v>9</v>
      </c>
      <c r="Q242" s="28" t="str">
        <f t="shared" si="29"/>
        <v>615Imperatriz - MA</v>
      </c>
      <c r="R242" s="28" t="str">
        <f>VLOOKUP(A242,'JOGOS BASE'!A:H,8)</f>
        <v>15.01.2025 - Tuntum - MA x Imperatriz - MA</v>
      </c>
    </row>
    <row r="243" spans="1:18" ht="30.6">
      <c r="A243" s="15">
        <v>6</v>
      </c>
      <c r="B243" s="46">
        <v>16</v>
      </c>
      <c r="C243" s="45" t="s">
        <v>565</v>
      </c>
      <c r="D243" s="45" t="s">
        <v>566</v>
      </c>
      <c r="E243" s="47" t="s">
        <v>42</v>
      </c>
      <c r="F243" s="47" t="s">
        <v>24</v>
      </c>
      <c r="G243" s="46">
        <v>300045</v>
      </c>
      <c r="H243" s="18" t="s">
        <v>107</v>
      </c>
      <c r="I243" s="26" t="str">
        <f t="shared" si="25"/>
        <v>Gleidson</v>
      </c>
      <c r="J243" s="26" t="str">
        <f t="shared" si="26"/>
        <v>6Imperatriz - MA16</v>
      </c>
      <c r="K243" s="27" t="str">
        <f>IFERROR(VLOOKUP(J243,Substituicoes!J:J,1,0),"SS")</f>
        <v>6Imperatriz - MA16</v>
      </c>
      <c r="L243" s="27" t="str">
        <f>IFERROR(VLOOKUP(J243,Substituicoes!K:K,1,0),"SS")</f>
        <v>SS</v>
      </c>
      <c r="M243" s="28" t="b">
        <f t="shared" si="27"/>
        <v>0</v>
      </c>
      <c r="N243" s="29">
        <f>IF(AND(K243=L243,LEFT(E243,1)="T"),VLOOKUP(A243,'JOGOS BASE'!A:E,4,0),IF(K243=J243,VLOOKUP(J243,Substituicoes!J:R,6,0),IF(L243=J243,VLOOKUP(Escalacao!J243,Substituicoes!K:R,7,0),0)))</f>
        <v>0</v>
      </c>
      <c r="O243" s="28">
        <f>IF(AND(K243=L243,LEFT(E243,1)="T"),VLOOKUP(A243,'JOGOS BASE'!A:E,5,0),IF(K243=J243,VLOOKUP(J243,Substituicoes!J:R,7,0),IF(L243=J243,VLOOKUP(Escalacao!J243,Substituicoes!K:R,8,0),0)))</f>
        <v>19</v>
      </c>
      <c r="P243" s="28">
        <f t="shared" si="28"/>
        <v>19</v>
      </c>
      <c r="Q243" s="28" t="str">
        <f t="shared" si="29"/>
        <v>616Imperatriz - MA</v>
      </c>
      <c r="R243" s="28" t="str">
        <f>VLOOKUP(A243,'JOGOS BASE'!A:H,8)</f>
        <v>15.01.2025 - Tuntum - MA x Imperatriz - MA</v>
      </c>
    </row>
    <row r="244" spans="1:18" ht="30.6">
      <c r="A244" s="15">
        <v>6</v>
      </c>
      <c r="B244" s="46">
        <v>17</v>
      </c>
      <c r="C244" s="45" t="s">
        <v>10</v>
      </c>
      <c r="D244" s="45" t="s">
        <v>49</v>
      </c>
      <c r="E244" s="47" t="s">
        <v>42</v>
      </c>
      <c r="F244" s="47" t="s">
        <v>24</v>
      </c>
      <c r="G244" s="46">
        <v>647823</v>
      </c>
      <c r="H244" s="18" t="s">
        <v>107</v>
      </c>
      <c r="I244" s="26" t="str">
        <f t="shared" si="25"/>
        <v>Pedro Zuccolo</v>
      </c>
      <c r="J244" s="26" t="str">
        <f t="shared" si="26"/>
        <v>6Imperatriz - MA17</v>
      </c>
      <c r="K244" s="27" t="str">
        <f>IFERROR(VLOOKUP(J244,Substituicoes!J:J,1,0),"SS")</f>
        <v>SS</v>
      </c>
      <c r="L244" s="27" t="str">
        <f>IFERROR(VLOOKUP(J244,Substituicoes!K:K,1,0),"SS")</f>
        <v>SS</v>
      </c>
      <c r="M244" s="28" t="b">
        <f t="shared" si="27"/>
        <v>1</v>
      </c>
      <c r="N244" s="29">
        <f>IF(AND(K244=L244,LEFT(E244,1)="T"),VLOOKUP(A244,'JOGOS BASE'!A:E,4,0),IF(K244=J244,VLOOKUP(J244,Substituicoes!J:R,6,0),IF(L244=J244,VLOOKUP(Escalacao!J244,Substituicoes!K:R,7,0),0)))</f>
        <v>0</v>
      </c>
      <c r="O244" s="28">
        <f>IF(AND(K244=L244,LEFT(E244,1)="T"),VLOOKUP(A244,'JOGOS BASE'!A:E,5,0),IF(K244=J244,VLOOKUP(J244,Substituicoes!J:R,7,0),IF(L244=J244,VLOOKUP(Escalacao!J244,Substituicoes!K:R,8,0),0)))</f>
        <v>0</v>
      </c>
      <c r="P244" s="28">
        <f t="shared" si="28"/>
        <v>0</v>
      </c>
      <c r="Q244" s="28" t="str">
        <f t="shared" si="29"/>
        <v>617Imperatriz - MA</v>
      </c>
      <c r="R244" s="28" t="str">
        <f>VLOOKUP(A244,'JOGOS BASE'!A:H,8)</f>
        <v>15.01.2025 - Tuntum - MA x Imperatriz - MA</v>
      </c>
    </row>
    <row r="245" spans="1:18" ht="30.6">
      <c r="A245" s="15">
        <v>6</v>
      </c>
      <c r="B245" s="46">
        <v>18</v>
      </c>
      <c r="C245" s="45" t="s">
        <v>567</v>
      </c>
      <c r="D245" s="45" t="s">
        <v>568</v>
      </c>
      <c r="E245" s="47" t="s">
        <v>42</v>
      </c>
      <c r="F245" s="47" t="s">
        <v>24</v>
      </c>
      <c r="G245" s="46">
        <v>179773</v>
      </c>
      <c r="H245" s="18" t="s">
        <v>107</v>
      </c>
      <c r="I245" s="26" t="str">
        <f t="shared" si="25"/>
        <v>Rafael Gra ...</v>
      </c>
      <c r="J245" s="26" t="str">
        <f t="shared" si="26"/>
        <v>6Imperatriz - MA18</v>
      </c>
      <c r="K245" s="27" t="str">
        <f>IFERROR(VLOOKUP(J245,Substituicoes!J:J,1,0),"SS")</f>
        <v>6Imperatriz - MA18</v>
      </c>
      <c r="L245" s="27" t="str">
        <f>IFERROR(VLOOKUP(J245,Substituicoes!K:K,1,0),"SS")</f>
        <v>SS</v>
      </c>
      <c r="M245" s="28" t="b">
        <f t="shared" si="27"/>
        <v>0</v>
      </c>
      <c r="N245" s="29">
        <f>IF(AND(K245=L245,LEFT(E245,1)="T"),VLOOKUP(A245,'JOGOS BASE'!A:E,4,0),IF(K245=J245,VLOOKUP(J245,Substituicoes!J:R,6,0),IF(L245=J245,VLOOKUP(Escalacao!J245,Substituicoes!K:R,7,0),0)))</f>
        <v>0</v>
      </c>
      <c r="O245" s="28">
        <f>IF(AND(K245=L245,LEFT(E245,1)="T"),VLOOKUP(A245,'JOGOS BASE'!A:E,5,0),IF(K245=J245,VLOOKUP(J245,Substituicoes!J:R,7,0),IF(L245=J245,VLOOKUP(Escalacao!J245,Substituicoes!K:R,8,0),0)))</f>
        <v>19</v>
      </c>
      <c r="P245" s="28">
        <f t="shared" si="28"/>
        <v>19</v>
      </c>
      <c r="Q245" s="28" t="str">
        <f t="shared" si="29"/>
        <v>618Imperatriz - MA</v>
      </c>
      <c r="R245" s="28" t="str">
        <f>VLOOKUP(A245,'JOGOS BASE'!A:H,8)</f>
        <v>15.01.2025 - Tuntum - MA x Imperatriz - MA</v>
      </c>
    </row>
    <row r="246" spans="1:18" ht="30.6">
      <c r="A246" s="15">
        <v>6</v>
      </c>
      <c r="B246" s="46">
        <v>20</v>
      </c>
      <c r="C246" s="45" t="s">
        <v>11</v>
      </c>
      <c r="D246" s="45" t="s">
        <v>50</v>
      </c>
      <c r="E246" s="47" t="s">
        <v>42</v>
      </c>
      <c r="F246" s="47" t="s">
        <v>24</v>
      </c>
      <c r="G246" s="46">
        <v>753179</v>
      </c>
      <c r="H246" s="18" t="s">
        <v>107</v>
      </c>
      <c r="I246" s="26" t="str">
        <f t="shared" si="25"/>
        <v>Xinayder</v>
      </c>
      <c r="J246" s="26" t="str">
        <f t="shared" si="26"/>
        <v>6Imperatriz - MA20</v>
      </c>
      <c r="K246" s="27" t="str">
        <f>IFERROR(VLOOKUP(J246,Substituicoes!J:J,1,0),"SS")</f>
        <v>SS</v>
      </c>
      <c r="L246" s="27" t="str">
        <f>IFERROR(VLOOKUP(J246,Substituicoes!K:K,1,0),"SS")</f>
        <v>SS</v>
      </c>
      <c r="M246" s="28" t="b">
        <f t="shared" si="27"/>
        <v>1</v>
      </c>
      <c r="N246" s="29">
        <f>IF(AND(K246=L246,LEFT(E246,1)="T"),VLOOKUP(A246,'JOGOS BASE'!A:E,4,0),IF(K246=J246,VLOOKUP(J246,Substituicoes!J:R,6,0),IF(L246=J246,VLOOKUP(Escalacao!J246,Substituicoes!K:R,7,0),0)))</f>
        <v>0</v>
      </c>
      <c r="O246" s="28">
        <f>IF(AND(K246=L246,LEFT(E246,1)="T"),VLOOKUP(A246,'JOGOS BASE'!A:E,5,0),IF(K246=J246,VLOOKUP(J246,Substituicoes!J:R,7,0),IF(L246=J246,VLOOKUP(Escalacao!J246,Substituicoes!K:R,8,0),0)))</f>
        <v>0</v>
      </c>
      <c r="P246" s="28">
        <f t="shared" si="28"/>
        <v>0</v>
      </c>
      <c r="Q246" s="28" t="str">
        <f t="shared" si="29"/>
        <v>620Imperatriz - MA</v>
      </c>
      <c r="R246" s="28" t="str">
        <f>VLOOKUP(A246,'JOGOS BASE'!A:H,8)</f>
        <v>15.01.2025 - Tuntum - MA x Imperatriz - MA</v>
      </c>
    </row>
    <row r="247" spans="1:18" ht="30.6">
      <c r="A247" s="15">
        <v>6</v>
      </c>
      <c r="B247" s="46">
        <v>22</v>
      </c>
      <c r="C247" s="45" t="s">
        <v>57</v>
      </c>
      <c r="D247" s="45" t="s">
        <v>58</v>
      </c>
      <c r="E247" s="47" t="s">
        <v>42</v>
      </c>
      <c r="F247" s="47" t="s">
        <v>24</v>
      </c>
      <c r="G247" s="46">
        <v>762150</v>
      </c>
      <c r="H247" s="18" t="s">
        <v>107</v>
      </c>
      <c r="I247" s="26" t="str">
        <f t="shared" si="25"/>
        <v>Junior</v>
      </c>
      <c r="J247" s="26" t="str">
        <f t="shared" si="26"/>
        <v>6Imperatriz - MA22</v>
      </c>
      <c r="K247" s="27" t="str">
        <f>IFERROR(VLOOKUP(J247,Substituicoes!J:J,1,0),"SS")</f>
        <v>6Imperatriz - MA22</v>
      </c>
      <c r="L247" s="27" t="str">
        <f>IFERROR(VLOOKUP(J247,Substituicoes!K:K,1,0),"SS")</f>
        <v>SS</v>
      </c>
      <c r="M247" s="28" t="b">
        <f t="shared" si="27"/>
        <v>0</v>
      </c>
      <c r="N247" s="29">
        <f>IF(AND(K247=L247,LEFT(E247,1)="T"),VLOOKUP(A247,'JOGOS BASE'!A:E,4,0),IF(K247=J247,VLOOKUP(J247,Substituicoes!J:R,6,0),IF(L247=J247,VLOOKUP(Escalacao!J247,Substituicoes!K:R,7,0),0)))</f>
        <v>0</v>
      </c>
      <c r="O247" s="28">
        <f>IF(AND(K247=L247,LEFT(E247,1)="T"),VLOOKUP(A247,'JOGOS BASE'!A:E,5,0),IF(K247=J247,VLOOKUP(J247,Substituicoes!J:R,7,0),IF(L247=J247,VLOOKUP(Escalacao!J247,Substituicoes!K:R,8,0),0)))</f>
        <v>33</v>
      </c>
      <c r="P247" s="28">
        <f t="shared" si="28"/>
        <v>33</v>
      </c>
      <c r="Q247" s="28" t="str">
        <f t="shared" si="29"/>
        <v>622Imperatriz - MA</v>
      </c>
      <c r="R247" s="28" t="str">
        <f>VLOOKUP(A247,'JOGOS BASE'!A:H,8)</f>
        <v>15.01.2025 - Tuntum - MA x Imperatriz - MA</v>
      </c>
    </row>
    <row r="248" spans="1:18" ht="30.6">
      <c r="A248" s="15">
        <v>6</v>
      </c>
      <c r="B248" s="46">
        <v>26</v>
      </c>
      <c r="C248" s="45" t="s">
        <v>569</v>
      </c>
      <c r="D248" s="45" t="s">
        <v>570</v>
      </c>
      <c r="E248" s="47" t="s">
        <v>42</v>
      </c>
      <c r="F248" s="47" t="s">
        <v>24</v>
      </c>
      <c r="G248" s="46">
        <v>644343</v>
      </c>
      <c r="H248" s="18" t="s">
        <v>107</v>
      </c>
      <c r="I248" s="26" t="str">
        <f t="shared" si="25"/>
        <v>WESLLEY</v>
      </c>
      <c r="J248" s="26" t="str">
        <f t="shared" si="26"/>
        <v>6Imperatriz - MA26</v>
      </c>
      <c r="K248" s="27" t="str">
        <f>IFERROR(VLOOKUP(J248,Substituicoes!J:J,1,0),"SS")</f>
        <v>SS</v>
      </c>
      <c r="L248" s="27" t="str">
        <f>IFERROR(VLOOKUP(J248,Substituicoes!K:K,1,0),"SS")</f>
        <v>SS</v>
      </c>
      <c r="M248" s="28" t="b">
        <f t="shared" si="27"/>
        <v>1</v>
      </c>
      <c r="N248" s="29">
        <f>IF(AND(K248=L248,LEFT(E248,1)="T"),VLOOKUP(A248,'JOGOS BASE'!A:E,4,0),IF(K248=J248,VLOOKUP(J248,Substituicoes!J:R,6,0),IF(L248=J248,VLOOKUP(Escalacao!J248,Substituicoes!K:R,7,0),0)))</f>
        <v>0</v>
      </c>
      <c r="O248" s="28">
        <f>IF(AND(K248=L248,LEFT(E248,1)="T"),VLOOKUP(A248,'JOGOS BASE'!A:E,5,0),IF(K248=J248,VLOOKUP(J248,Substituicoes!J:R,7,0),IF(L248=J248,VLOOKUP(Escalacao!J248,Substituicoes!K:R,8,0),0)))</f>
        <v>0</v>
      </c>
      <c r="P248" s="28">
        <f t="shared" si="28"/>
        <v>0</v>
      </c>
      <c r="Q248" s="28" t="str">
        <f t="shared" si="29"/>
        <v>626Imperatriz - MA</v>
      </c>
      <c r="R248" s="28" t="str">
        <f>VLOOKUP(A248,'JOGOS BASE'!A:H,8)</f>
        <v>15.01.2025 - Tuntum - MA x Imperatriz - MA</v>
      </c>
    </row>
    <row r="249" spans="1:18" ht="20.399999999999999">
      <c r="A249" s="15">
        <v>7</v>
      </c>
      <c r="B249" s="46">
        <v>1</v>
      </c>
      <c r="C249" s="45" t="s">
        <v>21</v>
      </c>
      <c r="D249" s="45" t="s">
        <v>22</v>
      </c>
      <c r="E249" s="47" t="s">
        <v>23</v>
      </c>
      <c r="F249" s="47" t="s">
        <v>24</v>
      </c>
      <c r="G249" s="46">
        <v>459328</v>
      </c>
      <c r="H249" s="18" t="s">
        <v>107</v>
      </c>
      <c r="I249" s="26" t="str">
        <f t="shared" ref="I249:I290" si="30">C249</f>
        <v>Jr Conceiç ...</v>
      </c>
      <c r="J249" s="26" t="str">
        <f t="shared" ref="J249:J290" si="31">A249&amp;H249&amp;B249</f>
        <v>7Imperatriz - MA1</v>
      </c>
      <c r="K249" s="27" t="str">
        <f>IFERROR(VLOOKUP(J249,Substituicoes!J:J,1,0),"SS")</f>
        <v>SS</v>
      </c>
      <c r="L249" s="27" t="str">
        <f>IFERROR(VLOOKUP(J249,Substituicoes!K:K,1,0),"SS")</f>
        <v>SS</v>
      </c>
      <c r="M249" s="28" t="b">
        <f t="shared" ref="M249:M290" si="32">K249=L249</f>
        <v>1</v>
      </c>
      <c r="N249" s="29">
        <f>IF(AND(K249=L249,LEFT(E249,1)="T"),VLOOKUP(A249,'JOGOS BASE'!A:E,4,0),IF(K249=J249,VLOOKUP(J249,Substituicoes!J:R,6,0),IF(L249=J249,VLOOKUP(Escalacao!J249,Substituicoes!K:R,7,0),0)))</f>
        <v>48</v>
      </c>
      <c r="O249" s="28">
        <f>IF(AND(K249=L249,LEFT(E249,1)="T"),VLOOKUP(A249,'JOGOS BASE'!A:E,5,0),IF(K249=J249,VLOOKUP(J249,Substituicoes!J:R,7,0),IF(L249=J249,VLOOKUP(Escalacao!J249,Substituicoes!K:R,8,0),0)))</f>
        <v>51</v>
      </c>
      <c r="P249" s="28">
        <f t="shared" ref="P249:P290" si="33">N249+O249</f>
        <v>99</v>
      </c>
      <c r="Q249" s="28" t="str">
        <f t="shared" ref="Q249:Q290" si="34">A249&amp;B249&amp;H249</f>
        <v>71Imperatriz - MA</v>
      </c>
      <c r="R249" s="28" t="str">
        <f>VLOOKUP(A249,'JOGOS BASE'!A:H,8)</f>
        <v>18.01.2025 - Imperatriz - MA x Pinheiro - MA</v>
      </c>
    </row>
    <row r="250" spans="1:18" ht="30.6">
      <c r="A250" s="15">
        <v>7</v>
      </c>
      <c r="B250" s="46">
        <v>2</v>
      </c>
      <c r="C250" s="45" t="s">
        <v>1</v>
      </c>
      <c r="D250" s="45" t="s">
        <v>25</v>
      </c>
      <c r="E250" s="47" t="s">
        <v>26</v>
      </c>
      <c r="F250" s="47" t="s">
        <v>24</v>
      </c>
      <c r="G250" s="46">
        <v>451402</v>
      </c>
      <c r="H250" s="18" t="s">
        <v>107</v>
      </c>
      <c r="I250" s="26" t="str">
        <f t="shared" si="30"/>
        <v>Fabricio</v>
      </c>
      <c r="J250" s="26" t="str">
        <f t="shared" si="31"/>
        <v>7Imperatriz - MA2</v>
      </c>
      <c r="K250" s="27" t="str">
        <f>IFERROR(VLOOKUP(J250,Substituicoes!J:J,1,0),"SS")</f>
        <v>SS</v>
      </c>
      <c r="L250" s="27" t="str">
        <f>IFERROR(VLOOKUP(J250,Substituicoes!K:K,1,0),"SS")</f>
        <v>SS</v>
      </c>
      <c r="M250" s="28" t="b">
        <f t="shared" si="32"/>
        <v>1</v>
      </c>
      <c r="N250" s="29">
        <f>IF(AND(K250=L250,LEFT(E250,1)="T"),VLOOKUP(A250,'JOGOS BASE'!A:E,4,0),IF(K250=J250,VLOOKUP(J250,Substituicoes!J:R,6,0),IF(L250=J250,VLOOKUP(Escalacao!J250,Substituicoes!K:R,7,0),0)))</f>
        <v>48</v>
      </c>
      <c r="O250" s="28">
        <f>IF(AND(K250=L250,LEFT(E250,1)="T"),VLOOKUP(A250,'JOGOS BASE'!A:E,5,0),IF(K250=J250,VLOOKUP(J250,Substituicoes!J:R,7,0),IF(L250=J250,VLOOKUP(Escalacao!J250,Substituicoes!K:R,8,0),0)))</f>
        <v>51</v>
      </c>
      <c r="P250" s="28">
        <f t="shared" si="33"/>
        <v>99</v>
      </c>
      <c r="Q250" s="28" t="str">
        <f t="shared" si="34"/>
        <v>72Imperatriz - MA</v>
      </c>
      <c r="R250" s="28" t="str">
        <f>VLOOKUP(A250,'JOGOS BASE'!A:H,8)</f>
        <v>18.01.2025 - Imperatriz - MA x Pinheiro - MA</v>
      </c>
    </row>
    <row r="251" spans="1:18" ht="20.399999999999999">
      <c r="A251" s="15">
        <v>7</v>
      </c>
      <c r="B251" s="46">
        <v>3</v>
      </c>
      <c r="C251" s="45" t="s">
        <v>2</v>
      </c>
      <c r="D251" s="45" t="s">
        <v>27</v>
      </c>
      <c r="E251" s="47" t="s">
        <v>26</v>
      </c>
      <c r="F251" s="47" t="s">
        <v>24</v>
      </c>
      <c r="G251" s="46">
        <v>393115</v>
      </c>
      <c r="H251" s="18" t="s">
        <v>107</v>
      </c>
      <c r="I251" s="26" t="str">
        <f t="shared" si="30"/>
        <v>Andre Penalva</v>
      </c>
      <c r="J251" s="26" t="str">
        <f t="shared" si="31"/>
        <v>7Imperatriz - MA3</v>
      </c>
      <c r="K251" s="27" t="str">
        <f>IFERROR(VLOOKUP(J251,Substituicoes!J:J,1,0),"SS")</f>
        <v>SS</v>
      </c>
      <c r="L251" s="27" t="str">
        <f>IFERROR(VLOOKUP(J251,Substituicoes!K:K,1,0),"SS")</f>
        <v>7Imperatriz - MA3</v>
      </c>
      <c r="M251" s="28" t="b">
        <f t="shared" si="32"/>
        <v>0</v>
      </c>
      <c r="N251" s="29">
        <f>IF(AND(K251=L251,LEFT(E251,1)="T"),VLOOKUP(A251,'JOGOS BASE'!A:E,4,0),IF(K251=J251,VLOOKUP(J251,Substituicoes!J:R,6,0),IF(L251=J251,VLOOKUP(Escalacao!J251,Substituicoes!K:R,7,0),0)))</f>
        <v>48</v>
      </c>
      <c r="O251" s="28">
        <f>IF(AND(K251=L251,LEFT(E251,1)="T"),VLOOKUP(A251,'JOGOS BASE'!A:E,5,0),IF(K251=J251,VLOOKUP(J251,Substituicoes!J:R,7,0),IF(L251=J251,VLOOKUP(Escalacao!J251,Substituicoes!K:R,8,0),0)))</f>
        <v>30</v>
      </c>
      <c r="P251" s="28">
        <f t="shared" si="33"/>
        <v>78</v>
      </c>
      <c r="Q251" s="28" t="str">
        <f t="shared" si="34"/>
        <v>73Imperatriz - MA</v>
      </c>
      <c r="R251" s="28" t="str">
        <f>VLOOKUP(A251,'JOGOS BASE'!A:H,8)</f>
        <v>18.01.2025 - Imperatriz - MA x Pinheiro - MA</v>
      </c>
    </row>
    <row r="252" spans="1:18" ht="20.399999999999999">
      <c r="A252" s="15">
        <v>7</v>
      </c>
      <c r="B252" s="46">
        <v>4</v>
      </c>
      <c r="C252" s="45" t="s">
        <v>28</v>
      </c>
      <c r="D252" s="45" t="s">
        <v>29</v>
      </c>
      <c r="E252" s="47" t="s">
        <v>26</v>
      </c>
      <c r="F252" s="47" t="s">
        <v>24</v>
      </c>
      <c r="G252" s="46">
        <v>373479</v>
      </c>
      <c r="H252" s="18" t="s">
        <v>107</v>
      </c>
      <c r="I252" s="26" t="str">
        <f t="shared" si="30"/>
        <v>FELIPE</v>
      </c>
      <c r="J252" s="26" t="str">
        <f t="shared" si="31"/>
        <v>7Imperatriz - MA4</v>
      </c>
      <c r="K252" s="27" t="str">
        <f>IFERROR(VLOOKUP(J252,Substituicoes!J:J,1,0),"SS")</f>
        <v>SS</v>
      </c>
      <c r="L252" s="27" t="str">
        <f>IFERROR(VLOOKUP(J252,Substituicoes!K:K,1,0),"SS")</f>
        <v>SS</v>
      </c>
      <c r="M252" s="28" t="b">
        <f t="shared" si="32"/>
        <v>1</v>
      </c>
      <c r="N252" s="29">
        <f>IF(AND(K252=L252,LEFT(E252,1)="T"),VLOOKUP(A252,'JOGOS BASE'!A:E,4,0),IF(K252=J252,VLOOKUP(J252,Substituicoes!J:R,6,0),IF(L252=J252,VLOOKUP(Escalacao!J252,Substituicoes!K:R,7,0),0)))</f>
        <v>48</v>
      </c>
      <c r="O252" s="28">
        <f>IF(AND(K252=L252,LEFT(E252,1)="T"),VLOOKUP(A252,'JOGOS BASE'!A:E,5,0),IF(K252=J252,VLOOKUP(J252,Substituicoes!J:R,7,0),IF(L252=J252,VLOOKUP(Escalacao!J252,Substituicoes!K:R,8,0),0)))</f>
        <v>51</v>
      </c>
      <c r="P252" s="28">
        <f t="shared" si="33"/>
        <v>99</v>
      </c>
      <c r="Q252" s="28" t="str">
        <f t="shared" si="34"/>
        <v>74Imperatriz - MA</v>
      </c>
      <c r="R252" s="28" t="str">
        <f>VLOOKUP(A252,'JOGOS BASE'!A:H,8)</f>
        <v>18.01.2025 - Imperatriz - MA x Pinheiro - MA</v>
      </c>
    </row>
    <row r="253" spans="1:18" ht="30.6">
      <c r="A253" s="15">
        <v>7</v>
      </c>
      <c r="B253" s="46">
        <v>5</v>
      </c>
      <c r="C253" s="45" t="s">
        <v>30</v>
      </c>
      <c r="D253" s="45" t="s">
        <v>31</v>
      </c>
      <c r="E253" s="47" t="s">
        <v>26</v>
      </c>
      <c r="F253" s="47" t="s">
        <v>24</v>
      </c>
      <c r="G253" s="46">
        <v>345029</v>
      </c>
      <c r="H253" s="18" t="s">
        <v>107</v>
      </c>
      <c r="I253" s="26" t="str">
        <f t="shared" si="30"/>
        <v>Jeferson P ...</v>
      </c>
      <c r="J253" s="26" t="str">
        <f t="shared" si="31"/>
        <v>7Imperatriz - MA5</v>
      </c>
      <c r="K253" s="27" t="str">
        <f>IFERROR(VLOOKUP(J253,Substituicoes!J:J,1,0),"SS")</f>
        <v>SS</v>
      </c>
      <c r="L253" s="27" t="str">
        <f>IFERROR(VLOOKUP(J253,Substituicoes!K:K,1,0),"SS")</f>
        <v>7Imperatriz - MA5</v>
      </c>
      <c r="M253" s="28" t="b">
        <f t="shared" si="32"/>
        <v>0</v>
      </c>
      <c r="N253" s="29">
        <f>IF(AND(K253=L253,LEFT(E253,1)="T"),VLOOKUP(A253,'JOGOS BASE'!A:E,4,0),IF(K253=J253,VLOOKUP(J253,Substituicoes!J:R,6,0),IF(L253=J253,VLOOKUP(Escalacao!J253,Substituicoes!K:R,7,0),0)))</f>
        <v>48</v>
      </c>
      <c r="O253" s="28">
        <f>IF(AND(K253=L253,LEFT(E253,1)="T"),VLOOKUP(A253,'JOGOS BASE'!A:E,5,0),IF(K253=J253,VLOOKUP(J253,Substituicoes!J:R,7,0),IF(L253=J253,VLOOKUP(Escalacao!J253,Substituicoes!K:R,8,0),0)))</f>
        <v>0</v>
      </c>
      <c r="P253" s="28">
        <f t="shared" si="33"/>
        <v>48</v>
      </c>
      <c r="Q253" s="28" t="str">
        <f t="shared" si="34"/>
        <v>75Imperatriz - MA</v>
      </c>
      <c r="R253" s="28" t="str">
        <f>VLOOKUP(A253,'JOGOS BASE'!A:H,8)</f>
        <v>18.01.2025 - Imperatriz - MA x Pinheiro - MA</v>
      </c>
    </row>
    <row r="254" spans="1:18" ht="30.6">
      <c r="A254" s="15">
        <v>7</v>
      </c>
      <c r="B254" s="46">
        <v>6</v>
      </c>
      <c r="C254" s="45" t="s">
        <v>3</v>
      </c>
      <c r="D254" s="45" t="s">
        <v>32</v>
      </c>
      <c r="E254" s="47" t="s">
        <v>26</v>
      </c>
      <c r="F254" s="47" t="s">
        <v>24</v>
      </c>
      <c r="G254" s="46">
        <v>634279</v>
      </c>
      <c r="H254" s="18" t="s">
        <v>107</v>
      </c>
      <c r="I254" s="26" t="str">
        <f t="shared" si="30"/>
        <v>Negueba</v>
      </c>
      <c r="J254" s="26" t="str">
        <f t="shared" si="31"/>
        <v>7Imperatriz - MA6</v>
      </c>
      <c r="K254" s="27" t="str">
        <f>IFERROR(VLOOKUP(J254,Substituicoes!J:J,1,0),"SS")</f>
        <v>SS</v>
      </c>
      <c r="L254" s="27" t="str">
        <f>IFERROR(VLOOKUP(J254,Substituicoes!K:K,1,0),"SS")</f>
        <v>SS</v>
      </c>
      <c r="M254" s="28" t="b">
        <f t="shared" si="32"/>
        <v>1</v>
      </c>
      <c r="N254" s="29">
        <f>IF(AND(K254=L254,LEFT(E254,1)="T"),VLOOKUP(A254,'JOGOS BASE'!A:E,4,0),IF(K254=J254,VLOOKUP(J254,Substituicoes!J:R,6,0),IF(L254=J254,VLOOKUP(Escalacao!J254,Substituicoes!K:R,7,0),0)))</f>
        <v>48</v>
      </c>
      <c r="O254" s="28">
        <f>IF(AND(K254=L254,LEFT(E254,1)="T"),VLOOKUP(A254,'JOGOS BASE'!A:E,5,0),IF(K254=J254,VLOOKUP(J254,Substituicoes!J:R,7,0),IF(L254=J254,VLOOKUP(Escalacao!J254,Substituicoes!K:R,8,0),0)))</f>
        <v>51</v>
      </c>
      <c r="P254" s="28">
        <f t="shared" si="33"/>
        <v>99</v>
      </c>
      <c r="Q254" s="28" t="str">
        <f t="shared" si="34"/>
        <v>76Imperatriz - MA</v>
      </c>
      <c r="R254" s="28" t="str">
        <f>VLOOKUP(A254,'JOGOS BASE'!A:H,8)</f>
        <v>18.01.2025 - Imperatriz - MA x Pinheiro - MA</v>
      </c>
    </row>
    <row r="255" spans="1:18" ht="30.6">
      <c r="A255" s="15">
        <v>7</v>
      </c>
      <c r="B255" s="46">
        <v>7</v>
      </c>
      <c r="C255" s="45" t="s">
        <v>569</v>
      </c>
      <c r="D255" s="45" t="s">
        <v>570</v>
      </c>
      <c r="E255" s="47" t="s">
        <v>26</v>
      </c>
      <c r="F255" s="47" t="s">
        <v>24</v>
      </c>
      <c r="G255" s="46">
        <v>644343</v>
      </c>
      <c r="H255" s="18" t="s">
        <v>107</v>
      </c>
      <c r="I255" s="26" t="str">
        <f t="shared" si="30"/>
        <v>WESLLEY</v>
      </c>
      <c r="J255" s="26" t="str">
        <f t="shared" si="31"/>
        <v>7Imperatriz - MA7</v>
      </c>
      <c r="K255" s="27" t="str">
        <f>IFERROR(VLOOKUP(J255,Substituicoes!J:J,1,0),"SS")</f>
        <v>SS</v>
      </c>
      <c r="L255" s="27" t="str">
        <f>IFERROR(VLOOKUP(J255,Substituicoes!K:K,1,0),"SS")</f>
        <v>SS</v>
      </c>
      <c r="M255" s="28" t="b">
        <f t="shared" si="32"/>
        <v>1</v>
      </c>
      <c r="N255" s="29">
        <f>IF(AND(K255=L255,LEFT(E255,1)="T"),VLOOKUP(A255,'JOGOS BASE'!A:E,4,0),IF(K255=J255,VLOOKUP(J255,Substituicoes!J:R,6,0),IF(L255=J255,VLOOKUP(Escalacao!J255,Substituicoes!K:R,7,0),0)))</f>
        <v>48</v>
      </c>
      <c r="O255" s="28">
        <f>IF(AND(K255=L255,LEFT(E255,1)="T"),VLOOKUP(A255,'JOGOS BASE'!A:E,5,0),IF(K255=J255,VLOOKUP(J255,Substituicoes!J:R,7,0),IF(L255=J255,VLOOKUP(Escalacao!J255,Substituicoes!K:R,8,0),0)))</f>
        <v>51</v>
      </c>
      <c r="P255" s="28">
        <f t="shared" si="33"/>
        <v>99</v>
      </c>
      <c r="Q255" s="28" t="str">
        <f t="shared" si="34"/>
        <v>77Imperatriz - MA</v>
      </c>
      <c r="R255" s="28" t="str">
        <f>VLOOKUP(A255,'JOGOS BASE'!A:H,8)</f>
        <v>18.01.2025 - Imperatriz - MA x Pinheiro - MA</v>
      </c>
    </row>
    <row r="256" spans="1:18" ht="30.6">
      <c r="A256" s="15">
        <v>7</v>
      </c>
      <c r="B256" s="46">
        <v>8</v>
      </c>
      <c r="C256" s="45" t="s">
        <v>5</v>
      </c>
      <c r="D256" s="45" t="s">
        <v>34</v>
      </c>
      <c r="E256" s="47" t="s">
        <v>26</v>
      </c>
      <c r="F256" s="47" t="s">
        <v>24</v>
      </c>
      <c r="G256" s="46">
        <v>348355</v>
      </c>
      <c r="H256" s="18" t="s">
        <v>107</v>
      </c>
      <c r="I256" s="26" t="str">
        <f t="shared" si="30"/>
        <v>Felipe Macena</v>
      </c>
      <c r="J256" s="26" t="str">
        <f t="shared" si="31"/>
        <v>7Imperatriz - MA8</v>
      </c>
      <c r="K256" s="27" t="str">
        <f>IFERROR(VLOOKUP(J256,Substituicoes!J:J,1,0),"SS")</f>
        <v>SS</v>
      </c>
      <c r="L256" s="27" t="str">
        <f>IFERROR(VLOOKUP(J256,Substituicoes!K:K,1,0),"SS")</f>
        <v>SS</v>
      </c>
      <c r="M256" s="28" t="b">
        <f t="shared" si="32"/>
        <v>1</v>
      </c>
      <c r="N256" s="29">
        <f>IF(AND(K256=L256,LEFT(E256,1)="T"),VLOOKUP(A256,'JOGOS BASE'!A:E,4,0),IF(K256=J256,VLOOKUP(J256,Substituicoes!J:R,6,0),IF(L256=J256,VLOOKUP(Escalacao!J256,Substituicoes!K:R,7,0),0)))</f>
        <v>48</v>
      </c>
      <c r="O256" s="28">
        <f>IF(AND(K256=L256,LEFT(E256,1)="T"),VLOOKUP(A256,'JOGOS BASE'!A:E,5,0),IF(K256=J256,VLOOKUP(J256,Substituicoes!J:R,7,0),IF(L256=J256,VLOOKUP(Escalacao!J256,Substituicoes!K:R,8,0),0)))</f>
        <v>51</v>
      </c>
      <c r="P256" s="28">
        <f t="shared" si="33"/>
        <v>99</v>
      </c>
      <c r="Q256" s="28" t="str">
        <f t="shared" si="34"/>
        <v>78Imperatriz - MA</v>
      </c>
      <c r="R256" s="28" t="str">
        <f>VLOOKUP(A256,'JOGOS BASE'!A:H,8)</f>
        <v>18.01.2025 - Imperatriz - MA x Pinheiro - MA</v>
      </c>
    </row>
    <row r="257" spans="1:18" ht="30.6">
      <c r="A257" s="15">
        <v>7</v>
      </c>
      <c r="B257" s="46">
        <v>9</v>
      </c>
      <c r="C257" s="45" t="s">
        <v>6</v>
      </c>
      <c r="D257" s="45" t="s">
        <v>35</v>
      </c>
      <c r="E257" s="47" t="s">
        <v>26</v>
      </c>
      <c r="F257" s="47" t="s">
        <v>24</v>
      </c>
      <c r="G257" s="46">
        <v>637641</v>
      </c>
      <c r="H257" s="18" t="s">
        <v>107</v>
      </c>
      <c r="I257" s="26" t="str">
        <f t="shared" si="30"/>
        <v>Lussandro</v>
      </c>
      <c r="J257" s="26" t="str">
        <f t="shared" si="31"/>
        <v>7Imperatriz - MA9</v>
      </c>
      <c r="K257" s="27" t="str">
        <f>IFERROR(VLOOKUP(J257,Substituicoes!J:J,1,0),"SS")</f>
        <v>SS</v>
      </c>
      <c r="L257" s="27" t="str">
        <f>IFERROR(VLOOKUP(J257,Substituicoes!K:K,1,0),"SS")</f>
        <v>7Imperatriz - MA9</v>
      </c>
      <c r="M257" s="28" t="b">
        <f t="shared" si="32"/>
        <v>0</v>
      </c>
      <c r="N257" s="29">
        <f>IF(AND(K257=L257,LEFT(E257,1)="T"),VLOOKUP(A257,'JOGOS BASE'!A:E,4,0),IF(K257=J257,VLOOKUP(J257,Substituicoes!J:R,6,0),IF(L257=J257,VLOOKUP(Escalacao!J257,Substituicoes!K:R,7,0),0)))</f>
        <v>48</v>
      </c>
      <c r="O257" s="28">
        <f>IF(AND(K257=L257,LEFT(E257,1)="T"),VLOOKUP(A257,'JOGOS BASE'!A:E,5,0),IF(K257=J257,VLOOKUP(J257,Substituicoes!J:R,7,0),IF(L257=J257,VLOOKUP(Escalacao!J257,Substituicoes!K:R,8,0),0)))</f>
        <v>24</v>
      </c>
      <c r="P257" s="28">
        <f t="shared" si="33"/>
        <v>72</v>
      </c>
      <c r="Q257" s="28" t="str">
        <f t="shared" si="34"/>
        <v>79Imperatriz - MA</v>
      </c>
      <c r="R257" s="28" t="str">
        <f>VLOOKUP(A257,'JOGOS BASE'!A:H,8)</f>
        <v>18.01.2025 - Imperatriz - MA x Pinheiro - MA</v>
      </c>
    </row>
    <row r="258" spans="1:18" ht="30.6">
      <c r="A258" s="15">
        <v>7</v>
      </c>
      <c r="B258" s="46">
        <v>10</v>
      </c>
      <c r="C258" s="45" t="s">
        <v>36</v>
      </c>
      <c r="D258" s="45" t="s">
        <v>37</v>
      </c>
      <c r="E258" s="47" t="s">
        <v>26</v>
      </c>
      <c r="F258" s="47" t="s">
        <v>24</v>
      </c>
      <c r="G258" s="46">
        <v>293426</v>
      </c>
      <c r="H258" s="18" t="s">
        <v>107</v>
      </c>
      <c r="I258" s="26" t="str">
        <f t="shared" si="30"/>
        <v>Henrique S ...</v>
      </c>
      <c r="J258" s="26" t="str">
        <f t="shared" si="31"/>
        <v>7Imperatriz - MA10</v>
      </c>
      <c r="K258" s="27" t="str">
        <f>IFERROR(VLOOKUP(J258,Substituicoes!J:J,1,0),"SS")</f>
        <v>SS</v>
      </c>
      <c r="L258" s="27" t="str">
        <f>IFERROR(VLOOKUP(J258,Substituicoes!K:K,1,0),"SS")</f>
        <v>7Imperatriz - MA10</v>
      </c>
      <c r="M258" s="28" t="b">
        <f t="shared" si="32"/>
        <v>0</v>
      </c>
      <c r="N258" s="29">
        <f>IF(AND(K258=L258,LEFT(E258,1)="T"),VLOOKUP(A258,'JOGOS BASE'!A:E,4,0),IF(K258=J258,VLOOKUP(J258,Substituicoes!J:R,6,0),IF(L258=J258,VLOOKUP(Escalacao!J258,Substituicoes!K:R,7,0),0)))</f>
        <v>48</v>
      </c>
      <c r="O258" s="28">
        <f>IF(AND(K258=L258,LEFT(E258,1)="T"),VLOOKUP(A258,'JOGOS BASE'!A:E,5,0),IF(K258=J258,VLOOKUP(J258,Substituicoes!J:R,7,0),IF(L258=J258,VLOOKUP(Escalacao!J258,Substituicoes!K:R,8,0),0)))</f>
        <v>30</v>
      </c>
      <c r="P258" s="28">
        <f t="shared" si="33"/>
        <v>78</v>
      </c>
      <c r="Q258" s="28" t="str">
        <f t="shared" si="34"/>
        <v>710Imperatriz - MA</v>
      </c>
      <c r="R258" s="28" t="str">
        <f>VLOOKUP(A258,'JOGOS BASE'!A:H,8)</f>
        <v>18.01.2025 - Imperatriz - MA x Pinheiro - MA</v>
      </c>
    </row>
    <row r="259" spans="1:18" ht="20.399999999999999">
      <c r="A259" s="15">
        <v>7</v>
      </c>
      <c r="B259" s="46">
        <v>19</v>
      </c>
      <c r="C259" s="45" t="s">
        <v>7</v>
      </c>
      <c r="D259" s="45" t="s">
        <v>38</v>
      </c>
      <c r="E259" s="47" t="s">
        <v>26</v>
      </c>
      <c r="F259" s="47" t="s">
        <v>24</v>
      </c>
      <c r="G259" s="46">
        <v>386286</v>
      </c>
      <c r="H259" s="18" t="s">
        <v>107</v>
      </c>
      <c r="I259" s="26" t="str">
        <f t="shared" si="30"/>
        <v>Café</v>
      </c>
      <c r="J259" s="26" t="str">
        <f t="shared" si="31"/>
        <v>7Imperatriz - MA19</v>
      </c>
      <c r="K259" s="27" t="str">
        <f>IFERROR(VLOOKUP(J259,Substituicoes!J:J,1,0),"SS")</f>
        <v>SS</v>
      </c>
      <c r="L259" s="27" t="str">
        <f>IFERROR(VLOOKUP(J259,Substituicoes!K:K,1,0),"SS")</f>
        <v>7Imperatriz - MA19</v>
      </c>
      <c r="M259" s="28" t="b">
        <f t="shared" si="32"/>
        <v>0</v>
      </c>
      <c r="N259" s="29">
        <f>IF(AND(K259=L259,LEFT(E259,1)="T"),VLOOKUP(A259,'JOGOS BASE'!A:E,4,0),IF(K259=J259,VLOOKUP(J259,Substituicoes!J:R,6,0),IF(L259=J259,VLOOKUP(Escalacao!J259,Substituicoes!K:R,7,0),0)))</f>
        <v>48</v>
      </c>
      <c r="O259" s="28">
        <f>IF(AND(K259=L259,LEFT(E259,1)="T"),VLOOKUP(A259,'JOGOS BASE'!A:E,5,0),IF(K259=J259,VLOOKUP(J259,Substituicoes!J:R,7,0),IF(L259=J259,VLOOKUP(Escalacao!J259,Substituicoes!K:R,8,0),0)))</f>
        <v>24</v>
      </c>
      <c r="P259" s="28">
        <f t="shared" si="33"/>
        <v>72</v>
      </c>
      <c r="Q259" s="28" t="str">
        <f t="shared" si="34"/>
        <v>719Imperatriz - MA</v>
      </c>
      <c r="R259" s="28" t="str">
        <f>VLOOKUP(A259,'JOGOS BASE'!A:H,8)</f>
        <v>18.01.2025 - Imperatriz - MA x Pinheiro - MA</v>
      </c>
    </row>
    <row r="260" spans="1:18" ht="30.6">
      <c r="A260" s="15">
        <v>7</v>
      </c>
      <c r="B260" s="46">
        <v>12</v>
      </c>
      <c r="C260" s="45" t="s">
        <v>8</v>
      </c>
      <c r="D260" s="45" t="s">
        <v>39</v>
      </c>
      <c r="E260" s="47" t="s">
        <v>40</v>
      </c>
      <c r="F260" s="47" t="s">
        <v>24</v>
      </c>
      <c r="G260" s="46">
        <v>426518</v>
      </c>
      <c r="H260" s="18" t="s">
        <v>107</v>
      </c>
      <c r="I260" s="26" t="str">
        <f t="shared" si="30"/>
        <v>Redson</v>
      </c>
      <c r="J260" s="26" t="str">
        <f t="shared" si="31"/>
        <v>7Imperatriz - MA12</v>
      </c>
      <c r="K260" s="27" t="str">
        <f>IFERROR(VLOOKUP(J260,Substituicoes!J:J,1,0),"SS")</f>
        <v>SS</v>
      </c>
      <c r="L260" s="27" t="str">
        <f>IFERROR(VLOOKUP(J260,Substituicoes!K:K,1,0),"SS")</f>
        <v>SS</v>
      </c>
      <c r="M260" s="28" t="b">
        <f t="shared" si="32"/>
        <v>1</v>
      </c>
      <c r="N260" s="29">
        <f>IF(AND(K260=L260,LEFT(E260,1)="T"),VLOOKUP(A260,'JOGOS BASE'!A:E,4,0),IF(K260=J260,VLOOKUP(J260,Substituicoes!J:R,6,0),IF(L260=J260,VLOOKUP(Escalacao!J260,Substituicoes!K:R,7,0),0)))</f>
        <v>0</v>
      </c>
      <c r="O260" s="28">
        <f>IF(AND(K260=L260,LEFT(E260,1)="T"),VLOOKUP(A260,'JOGOS BASE'!A:E,5,0),IF(K260=J260,VLOOKUP(J260,Substituicoes!J:R,7,0),IF(L260=J260,VLOOKUP(Escalacao!J260,Substituicoes!K:R,8,0),0)))</f>
        <v>0</v>
      </c>
      <c r="P260" s="28">
        <f t="shared" si="33"/>
        <v>0</v>
      </c>
      <c r="Q260" s="28" t="str">
        <f t="shared" si="34"/>
        <v>712Imperatriz - MA</v>
      </c>
      <c r="R260" s="28" t="str">
        <f>VLOOKUP(A260,'JOGOS BASE'!A:H,8)</f>
        <v>18.01.2025 - Imperatriz - MA x Pinheiro - MA</v>
      </c>
    </row>
    <row r="261" spans="1:18" ht="30.6">
      <c r="A261" s="15">
        <v>7</v>
      </c>
      <c r="B261" s="46">
        <v>11</v>
      </c>
      <c r="C261" s="45" t="s">
        <v>51</v>
      </c>
      <c r="D261" s="45" t="s">
        <v>52</v>
      </c>
      <c r="E261" s="47" t="s">
        <v>42</v>
      </c>
      <c r="F261" s="47" t="s">
        <v>24</v>
      </c>
      <c r="G261" s="46">
        <v>611147</v>
      </c>
      <c r="H261" s="18" t="s">
        <v>107</v>
      </c>
      <c r="I261" s="26" t="str">
        <f t="shared" si="30"/>
        <v>WYLDSON</v>
      </c>
      <c r="J261" s="26" t="str">
        <f t="shared" si="31"/>
        <v>7Imperatriz - MA11</v>
      </c>
      <c r="K261" s="27" t="str">
        <f>IFERROR(VLOOKUP(J261,Substituicoes!J:J,1,0),"SS")</f>
        <v>7Imperatriz - MA11</v>
      </c>
      <c r="L261" s="27" t="str">
        <f>IFERROR(VLOOKUP(J261,Substituicoes!K:K,1,0),"SS")</f>
        <v>SS</v>
      </c>
      <c r="M261" s="28" t="b">
        <f t="shared" si="32"/>
        <v>0</v>
      </c>
      <c r="N261" s="29">
        <f>IF(AND(K261=L261,LEFT(E261,1)="T"),VLOOKUP(A261,'JOGOS BASE'!A:E,4,0),IF(K261=J261,VLOOKUP(J261,Substituicoes!J:R,6,0),IF(L261=J261,VLOOKUP(Escalacao!J261,Substituicoes!K:R,7,0),0)))</f>
        <v>0</v>
      </c>
      <c r="O261" s="28">
        <f>IF(AND(K261=L261,LEFT(E261,1)="T"),VLOOKUP(A261,'JOGOS BASE'!A:E,5,0),IF(K261=J261,VLOOKUP(J261,Substituicoes!J:R,7,0),IF(L261=J261,VLOOKUP(Escalacao!J261,Substituicoes!K:R,8,0),0)))</f>
        <v>51</v>
      </c>
      <c r="P261" s="28">
        <f t="shared" si="33"/>
        <v>51</v>
      </c>
      <c r="Q261" s="28" t="str">
        <f t="shared" si="34"/>
        <v>711Imperatriz - MA</v>
      </c>
      <c r="R261" s="28" t="str">
        <f>VLOOKUP(A261,'JOGOS BASE'!A:H,8)</f>
        <v>18.01.2025 - Imperatriz - MA x Pinheiro - MA</v>
      </c>
    </row>
    <row r="262" spans="1:18" ht="30.6">
      <c r="A262" s="15">
        <v>7</v>
      </c>
      <c r="B262" s="46">
        <v>13</v>
      </c>
      <c r="C262" s="45" t="s">
        <v>43</v>
      </c>
      <c r="D262" s="45" t="s">
        <v>44</v>
      </c>
      <c r="E262" s="47" t="s">
        <v>42</v>
      </c>
      <c r="F262" s="47" t="s">
        <v>24</v>
      </c>
      <c r="G262" s="46">
        <v>782606</v>
      </c>
      <c r="H262" s="18" t="s">
        <v>107</v>
      </c>
      <c r="I262" s="26" t="str">
        <f t="shared" si="30"/>
        <v>Raylson</v>
      </c>
      <c r="J262" s="26" t="str">
        <f t="shared" si="31"/>
        <v>7Imperatriz - MA13</v>
      </c>
      <c r="K262" s="27" t="str">
        <f>IFERROR(VLOOKUP(J262,Substituicoes!J:J,1,0),"SS")</f>
        <v>7Imperatriz - MA13</v>
      </c>
      <c r="L262" s="27" t="str">
        <f>IFERROR(VLOOKUP(J262,Substituicoes!K:K,1,0),"SS")</f>
        <v>SS</v>
      </c>
      <c r="M262" s="28" t="b">
        <f t="shared" si="32"/>
        <v>0</v>
      </c>
      <c r="N262" s="29">
        <f>IF(AND(K262=L262,LEFT(E262,1)="T"),VLOOKUP(A262,'JOGOS BASE'!A:E,4,0),IF(K262=J262,VLOOKUP(J262,Substituicoes!J:R,6,0),IF(L262=J262,VLOOKUP(Escalacao!J262,Substituicoes!K:R,7,0),0)))</f>
        <v>0</v>
      </c>
      <c r="O262" s="28">
        <f>IF(AND(K262=L262,LEFT(E262,1)="T"),VLOOKUP(A262,'JOGOS BASE'!A:E,5,0),IF(K262=J262,VLOOKUP(J262,Substituicoes!J:R,7,0),IF(L262=J262,VLOOKUP(Escalacao!J262,Substituicoes!K:R,8,0),0)))</f>
        <v>21</v>
      </c>
      <c r="P262" s="28">
        <f t="shared" si="33"/>
        <v>21</v>
      </c>
      <c r="Q262" s="28" t="str">
        <f t="shared" si="34"/>
        <v>713Imperatriz - MA</v>
      </c>
      <c r="R262" s="28" t="str">
        <f>VLOOKUP(A262,'JOGOS BASE'!A:H,8)</f>
        <v>18.01.2025 - Imperatriz - MA x Pinheiro - MA</v>
      </c>
    </row>
    <row r="263" spans="1:18" ht="30.6">
      <c r="A263" s="15">
        <v>7</v>
      </c>
      <c r="B263" s="46">
        <v>14</v>
      </c>
      <c r="C263" s="45" t="s">
        <v>565</v>
      </c>
      <c r="D263" s="45" t="s">
        <v>566</v>
      </c>
      <c r="E263" s="47" t="s">
        <v>42</v>
      </c>
      <c r="F263" s="47" t="s">
        <v>24</v>
      </c>
      <c r="G263" s="46">
        <v>300045</v>
      </c>
      <c r="H263" s="18" t="s">
        <v>107</v>
      </c>
      <c r="I263" s="26" t="str">
        <f t="shared" si="30"/>
        <v>Gleidson</v>
      </c>
      <c r="J263" s="26" t="str">
        <f t="shared" si="31"/>
        <v>7Imperatriz - MA14</v>
      </c>
      <c r="K263" s="27" t="str">
        <f>IFERROR(VLOOKUP(J263,Substituicoes!J:J,1,0),"SS")</f>
        <v>7Imperatriz - MA14</v>
      </c>
      <c r="L263" s="27" t="str">
        <f>IFERROR(VLOOKUP(J263,Substituicoes!K:K,1,0),"SS")</f>
        <v>SS</v>
      </c>
      <c r="M263" s="28" t="b">
        <f t="shared" si="32"/>
        <v>0</v>
      </c>
      <c r="N263" s="29">
        <f>IF(AND(K263=L263,LEFT(E263,1)="T"),VLOOKUP(A263,'JOGOS BASE'!A:E,4,0),IF(K263=J263,VLOOKUP(J263,Substituicoes!J:R,6,0),IF(L263=J263,VLOOKUP(Escalacao!J263,Substituicoes!K:R,7,0),0)))</f>
        <v>0</v>
      </c>
      <c r="O263" s="28">
        <f>IF(AND(K263=L263,LEFT(E263,1)="T"),VLOOKUP(A263,'JOGOS BASE'!A:E,5,0),IF(K263=J263,VLOOKUP(J263,Substituicoes!J:R,7,0),IF(L263=J263,VLOOKUP(Escalacao!J263,Substituicoes!K:R,8,0),0)))</f>
        <v>21</v>
      </c>
      <c r="P263" s="28">
        <f t="shared" si="33"/>
        <v>21</v>
      </c>
      <c r="Q263" s="28" t="str">
        <f t="shared" si="34"/>
        <v>714Imperatriz - MA</v>
      </c>
      <c r="R263" s="28" t="str">
        <f>VLOOKUP(A263,'JOGOS BASE'!A:H,8)</f>
        <v>18.01.2025 - Imperatriz - MA x Pinheiro - MA</v>
      </c>
    </row>
    <row r="264" spans="1:18" ht="30.6">
      <c r="A264" s="15">
        <v>7</v>
      </c>
      <c r="B264" s="46">
        <v>15</v>
      </c>
      <c r="C264" s="45" t="s">
        <v>45</v>
      </c>
      <c r="D264" s="45" t="s">
        <v>46</v>
      </c>
      <c r="E264" s="47" t="s">
        <v>42</v>
      </c>
      <c r="F264" s="47" t="s">
        <v>24</v>
      </c>
      <c r="G264" s="46">
        <v>500483</v>
      </c>
      <c r="H264" s="18" t="s">
        <v>107</v>
      </c>
      <c r="I264" s="26" t="str">
        <f t="shared" si="30"/>
        <v>CARLOS</v>
      </c>
      <c r="J264" s="26" t="str">
        <f t="shared" si="31"/>
        <v>7Imperatriz - MA15</v>
      </c>
      <c r="K264" s="27" t="str">
        <f>IFERROR(VLOOKUP(J264,Substituicoes!J:J,1,0),"SS")</f>
        <v>SS</v>
      </c>
      <c r="L264" s="27" t="str">
        <f>IFERROR(VLOOKUP(J264,Substituicoes!K:K,1,0),"SS")</f>
        <v>SS</v>
      </c>
      <c r="M264" s="28" t="b">
        <f t="shared" si="32"/>
        <v>1</v>
      </c>
      <c r="N264" s="29">
        <f>IF(AND(K264=L264,LEFT(E264,1)="T"),VLOOKUP(A264,'JOGOS BASE'!A:E,4,0),IF(K264=J264,VLOOKUP(J264,Substituicoes!J:R,6,0),IF(L264=J264,VLOOKUP(Escalacao!J264,Substituicoes!K:R,7,0),0)))</f>
        <v>0</v>
      </c>
      <c r="O264" s="28">
        <f>IF(AND(K264=L264,LEFT(E264,1)="T"),VLOOKUP(A264,'JOGOS BASE'!A:E,5,0),IF(K264=J264,VLOOKUP(J264,Substituicoes!J:R,7,0),IF(L264=J264,VLOOKUP(Escalacao!J264,Substituicoes!K:R,8,0),0)))</f>
        <v>0</v>
      </c>
      <c r="P264" s="28">
        <f t="shared" si="33"/>
        <v>0</v>
      </c>
      <c r="Q264" s="28" t="str">
        <f t="shared" si="34"/>
        <v>715Imperatriz - MA</v>
      </c>
      <c r="R264" s="28" t="str">
        <f>VLOOKUP(A264,'JOGOS BASE'!A:H,8)</f>
        <v>18.01.2025 - Imperatriz - MA x Pinheiro - MA</v>
      </c>
    </row>
    <row r="265" spans="1:18" ht="20.399999999999999">
      <c r="A265" s="15">
        <v>7</v>
      </c>
      <c r="B265" s="46">
        <v>16</v>
      </c>
      <c r="C265" s="45" t="s">
        <v>577</v>
      </c>
      <c r="D265" s="45" t="s">
        <v>578</v>
      </c>
      <c r="E265" s="47" t="s">
        <v>42</v>
      </c>
      <c r="F265" s="47" t="s">
        <v>24</v>
      </c>
      <c r="G265" s="46">
        <v>651714</v>
      </c>
      <c r="H265" s="18" t="s">
        <v>107</v>
      </c>
      <c r="I265" s="26" t="str">
        <f t="shared" si="30"/>
        <v>GUSTAVO LI</v>
      </c>
      <c r="J265" s="26" t="str">
        <f t="shared" si="31"/>
        <v>7Imperatriz - MA16</v>
      </c>
      <c r="K265" s="27" t="str">
        <f>IFERROR(VLOOKUP(J265,Substituicoes!J:J,1,0),"SS")</f>
        <v>SS</v>
      </c>
      <c r="L265" s="27" t="str">
        <f>IFERROR(VLOOKUP(J265,Substituicoes!K:K,1,0),"SS")</f>
        <v>SS</v>
      </c>
      <c r="M265" s="28" t="b">
        <f t="shared" si="32"/>
        <v>1</v>
      </c>
      <c r="N265" s="29">
        <f>IF(AND(K265=L265,LEFT(E265,1)="T"),VLOOKUP(A265,'JOGOS BASE'!A:E,4,0),IF(K265=J265,VLOOKUP(J265,Substituicoes!J:R,6,0),IF(L265=J265,VLOOKUP(Escalacao!J265,Substituicoes!K:R,7,0),0)))</f>
        <v>0</v>
      </c>
      <c r="O265" s="28">
        <f>IF(AND(K265=L265,LEFT(E265,1)="T"),VLOOKUP(A265,'JOGOS BASE'!A:E,5,0),IF(K265=J265,VLOOKUP(J265,Substituicoes!J:R,7,0),IF(L265=J265,VLOOKUP(Escalacao!J265,Substituicoes!K:R,8,0),0)))</f>
        <v>0</v>
      </c>
      <c r="P265" s="28">
        <f t="shared" si="33"/>
        <v>0</v>
      </c>
      <c r="Q265" s="28" t="str">
        <f t="shared" si="34"/>
        <v>716Imperatriz - MA</v>
      </c>
      <c r="R265" s="28" t="str">
        <f>VLOOKUP(A265,'JOGOS BASE'!A:H,8)</f>
        <v>18.01.2025 - Imperatriz - MA x Pinheiro - MA</v>
      </c>
    </row>
    <row r="266" spans="1:18" ht="30.6">
      <c r="A266" s="15">
        <v>7</v>
      </c>
      <c r="B266" s="46">
        <v>17</v>
      </c>
      <c r="C266" s="45" t="s">
        <v>10</v>
      </c>
      <c r="D266" s="45" t="s">
        <v>49</v>
      </c>
      <c r="E266" s="47" t="s">
        <v>42</v>
      </c>
      <c r="F266" s="47" t="s">
        <v>24</v>
      </c>
      <c r="G266" s="46">
        <v>647823</v>
      </c>
      <c r="H266" s="18" t="s">
        <v>107</v>
      </c>
      <c r="I266" s="26" t="str">
        <f t="shared" si="30"/>
        <v>Pedro Zuccolo</v>
      </c>
      <c r="J266" s="26" t="str">
        <f t="shared" si="31"/>
        <v>7Imperatriz - MA17</v>
      </c>
      <c r="K266" s="27" t="str">
        <f>IFERROR(VLOOKUP(J266,Substituicoes!J:J,1,0),"SS")</f>
        <v>SS</v>
      </c>
      <c r="L266" s="27" t="str">
        <f>IFERROR(VLOOKUP(J266,Substituicoes!K:K,1,0),"SS")</f>
        <v>SS</v>
      </c>
      <c r="M266" s="28" t="b">
        <f t="shared" si="32"/>
        <v>1</v>
      </c>
      <c r="N266" s="29">
        <f>IF(AND(K266=L266,LEFT(E266,1)="T"),VLOOKUP(A266,'JOGOS BASE'!A:E,4,0),IF(K266=J266,VLOOKUP(J266,Substituicoes!J:R,6,0),IF(L266=J266,VLOOKUP(Escalacao!J266,Substituicoes!K:R,7,0),0)))</f>
        <v>0</v>
      </c>
      <c r="O266" s="28">
        <f>IF(AND(K266=L266,LEFT(E266,1)="T"),VLOOKUP(A266,'JOGOS BASE'!A:E,5,0),IF(K266=J266,VLOOKUP(J266,Substituicoes!J:R,7,0),IF(L266=J266,VLOOKUP(Escalacao!J266,Substituicoes!K:R,8,0),0)))</f>
        <v>0</v>
      </c>
      <c r="P266" s="28">
        <f t="shared" si="33"/>
        <v>0</v>
      </c>
      <c r="Q266" s="28" t="str">
        <f t="shared" si="34"/>
        <v>717Imperatriz - MA</v>
      </c>
      <c r="R266" s="28" t="str">
        <f>VLOOKUP(A266,'JOGOS BASE'!A:H,8)</f>
        <v>18.01.2025 - Imperatriz - MA x Pinheiro - MA</v>
      </c>
    </row>
    <row r="267" spans="1:18" ht="30.6">
      <c r="A267" s="15">
        <v>7</v>
      </c>
      <c r="B267" s="46">
        <v>18</v>
      </c>
      <c r="C267" s="45" t="s">
        <v>567</v>
      </c>
      <c r="D267" s="45" t="s">
        <v>568</v>
      </c>
      <c r="E267" s="47" t="s">
        <v>42</v>
      </c>
      <c r="F267" s="47" t="s">
        <v>24</v>
      </c>
      <c r="G267" s="46">
        <v>179773</v>
      </c>
      <c r="H267" s="18" t="s">
        <v>107</v>
      </c>
      <c r="I267" s="26" t="str">
        <f t="shared" si="30"/>
        <v>Rafael Gra ...</v>
      </c>
      <c r="J267" s="26" t="str">
        <f t="shared" si="31"/>
        <v>7Imperatriz - MA18</v>
      </c>
      <c r="K267" s="27" t="str">
        <f>IFERROR(VLOOKUP(J267,Substituicoes!J:J,1,0),"SS")</f>
        <v>SS</v>
      </c>
      <c r="L267" s="27" t="str">
        <f>IFERROR(VLOOKUP(J267,Substituicoes!K:K,1,0),"SS")</f>
        <v>SS</v>
      </c>
      <c r="M267" s="28" t="b">
        <f t="shared" si="32"/>
        <v>1</v>
      </c>
      <c r="N267" s="29">
        <f>IF(AND(K267=L267,LEFT(E267,1)="T"),VLOOKUP(A267,'JOGOS BASE'!A:E,4,0),IF(K267=J267,VLOOKUP(J267,Substituicoes!J:R,6,0),IF(L267=J267,VLOOKUP(Escalacao!J267,Substituicoes!K:R,7,0),0)))</f>
        <v>0</v>
      </c>
      <c r="O267" s="28">
        <f>IF(AND(K267=L267,LEFT(E267,1)="T"),VLOOKUP(A267,'JOGOS BASE'!A:E,5,0),IF(K267=J267,VLOOKUP(J267,Substituicoes!J:R,7,0),IF(L267=J267,VLOOKUP(Escalacao!J267,Substituicoes!K:R,8,0),0)))</f>
        <v>0</v>
      </c>
      <c r="P267" s="28">
        <f t="shared" si="33"/>
        <v>0</v>
      </c>
      <c r="Q267" s="28" t="str">
        <f t="shared" si="34"/>
        <v>718Imperatriz - MA</v>
      </c>
      <c r="R267" s="28" t="str">
        <f>VLOOKUP(A267,'JOGOS BASE'!A:H,8)</f>
        <v>18.01.2025 - Imperatriz - MA x Pinheiro - MA</v>
      </c>
    </row>
    <row r="268" spans="1:18" ht="30.6">
      <c r="A268" s="15">
        <v>7</v>
      </c>
      <c r="B268" s="46">
        <v>20</v>
      </c>
      <c r="C268" s="45" t="s">
        <v>11</v>
      </c>
      <c r="D268" s="45" t="s">
        <v>50</v>
      </c>
      <c r="E268" s="47" t="s">
        <v>42</v>
      </c>
      <c r="F268" s="47" t="s">
        <v>24</v>
      </c>
      <c r="G268" s="46">
        <v>753179</v>
      </c>
      <c r="H268" s="18" t="s">
        <v>107</v>
      </c>
      <c r="I268" s="26" t="str">
        <f t="shared" si="30"/>
        <v>Xinayder</v>
      </c>
      <c r="J268" s="26" t="str">
        <f t="shared" si="31"/>
        <v>7Imperatriz - MA20</v>
      </c>
      <c r="K268" s="27" t="str">
        <f>IFERROR(VLOOKUP(J268,Substituicoes!J:J,1,0),"SS")</f>
        <v>SS</v>
      </c>
      <c r="L268" s="27" t="str">
        <f>IFERROR(VLOOKUP(J268,Substituicoes!K:K,1,0),"SS")</f>
        <v>SS</v>
      </c>
      <c r="M268" s="28" t="b">
        <f t="shared" si="32"/>
        <v>1</v>
      </c>
      <c r="N268" s="29">
        <f>IF(AND(K268=L268,LEFT(E268,1)="T"),VLOOKUP(A268,'JOGOS BASE'!A:E,4,0),IF(K268=J268,VLOOKUP(J268,Substituicoes!J:R,6,0),IF(L268=J268,VLOOKUP(Escalacao!J268,Substituicoes!K:R,7,0),0)))</f>
        <v>0</v>
      </c>
      <c r="O268" s="28">
        <f>IF(AND(K268=L268,LEFT(E268,1)="T"),VLOOKUP(A268,'JOGOS BASE'!A:E,5,0),IF(K268=J268,VLOOKUP(J268,Substituicoes!J:R,7,0),IF(L268=J268,VLOOKUP(Escalacao!J268,Substituicoes!K:R,8,0),0)))</f>
        <v>0</v>
      </c>
      <c r="P268" s="28">
        <f t="shared" si="33"/>
        <v>0</v>
      </c>
      <c r="Q268" s="28" t="str">
        <f t="shared" si="34"/>
        <v>720Imperatriz - MA</v>
      </c>
      <c r="R268" s="28" t="str">
        <f>VLOOKUP(A268,'JOGOS BASE'!A:H,8)</f>
        <v>18.01.2025 - Imperatriz - MA x Pinheiro - MA</v>
      </c>
    </row>
    <row r="269" spans="1:18" ht="30.6">
      <c r="A269" s="15">
        <v>7</v>
      </c>
      <c r="B269" s="46">
        <v>21</v>
      </c>
      <c r="C269" s="45" t="s">
        <v>47</v>
      </c>
      <c r="D269" s="45" t="s">
        <v>48</v>
      </c>
      <c r="E269" s="47" t="s">
        <v>42</v>
      </c>
      <c r="F269" s="47" t="s">
        <v>24</v>
      </c>
      <c r="G269" s="46">
        <v>762553</v>
      </c>
      <c r="H269" s="18" t="s">
        <v>107</v>
      </c>
      <c r="I269" s="26" t="str">
        <f t="shared" si="30"/>
        <v>ADRIAN</v>
      </c>
      <c r="J269" s="26" t="str">
        <f t="shared" si="31"/>
        <v>7Imperatriz - MA21</v>
      </c>
      <c r="K269" s="27" t="str">
        <f>IFERROR(VLOOKUP(J269,Substituicoes!J:J,1,0),"SS")</f>
        <v>7Imperatriz - MA21</v>
      </c>
      <c r="L269" s="27" t="str">
        <f>IFERROR(VLOOKUP(J269,Substituicoes!K:K,1,0),"SS")</f>
        <v>SS</v>
      </c>
      <c r="M269" s="28" t="b">
        <f t="shared" si="32"/>
        <v>0</v>
      </c>
      <c r="N269" s="29">
        <f>IF(AND(K269=L269,LEFT(E269,1)="T"),VLOOKUP(A269,'JOGOS BASE'!A:E,4,0),IF(K269=J269,VLOOKUP(J269,Substituicoes!J:R,6,0),IF(L269=J269,VLOOKUP(Escalacao!J269,Substituicoes!K:R,7,0),0)))</f>
        <v>0</v>
      </c>
      <c r="O269" s="28">
        <f>IF(AND(K269=L269,LEFT(E269,1)="T"),VLOOKUP(A269,'JOGOS BASE'!A:E,5,0),IF(K269=J269,VLOOKUP(J269,Substituicoes!J:R,7,0),IF(L269=J269,VLOOKUP(Escalacao!J269,Substituicoes!K:R,8,0),0)))</f>
        <v>27</v>
      </c>
      <c r="P269" s="28">
        <f t="shared" si="33"/>
        <v>27</v>
      </c>
      <c r="Q269" s="28" t="str">
        <f t="shared" si="34"/>
        <v>721Imperatriz - MA</v>
      </c>
      <c r="R269" s="28" t="str">
        <f>VLOOKUP(A269,'JOGOS BASE'!A:H,8)</f>
        <v>18.01.2025 - Imperatriz - MA x Pinheiro - MA</v>
      </c>
    </row>
    <row r="270" spans="1:18" ht="30.6">
      <c r="A270" s="15">
        <v>7</v>
      </c>
      <c r="B270" s="46">
        <v>22</v>
      </c>
      <c r="C270" s="45" t="s">
        <v>57</v>
      </c>
      <c r="D270" s="45" t="s">
        <v>58</v>
      </c>
      <c r="E270" s="47" t="s">
        <v>42</v>
      </c>
      <c r="F270" s="47" t="s">
        <v>24</v>
      </c>
      <c r="G270" s="46">
        <v>762150</v>
      </c>
      <c r="H270" s="18" t="s">
        <v>107</v>
      </c>
      <c r="I270" s="26" t="str">
        <f t="shared" si="30"/>
        <v>Junior</v>
      </c>
      <c r="J270" s="26" t="str">
        <f t="shared" si="31"/>
        <v>7Imperatriz - MA22</v>
      </c>
      <c r="K270" s="27" t="str">
        <f>IFERROR(VLOOKUP(J270,Substituicoes!J:J,1,0),"SS")</f>
        <v>7Imperatriz - MA22</v>
      </c>
      <c r="L270" s="27" t="str">
        <f>IFERROR(VLOOKUP(J270,Substituicoes!K:K,1,0),"SS")</f>
        <v>SS</v>
      </c>
      <c r="M270" s="28" t="b">
        <f t="shared" si="32"/>
        <v>0</v>
      </c>
      <c r="N270" s="29">
        <f>IF(AND(K270=L270,LEFT(E270,1)="T"),VLOOKUP(A270,'JOGOS BASE'!A:E,4,0),IF(K270=J270,VLOOKUP(J270,Substituicoes!J:R,6,0),IF(L270=J270,VLOOKUP(Escalacao!J270,Substituicoes!K:R,7,0),0)))</f>
        <v>0</v>
      </c>
      <c r="O270" s="28">
        <f>IF(AND(K270=L270,LEFT(E270,1)="T"),VLOOKUP(A270,'JOGOS BASE'!A:E,5,0),IF(K270=J270,VLOOKUP(J270,Substituicoes!J:R,7,0),IF(L270=J270,VLOOKUP(Escalacao!J270,Substituicoes!K:R,8,0),0)))</f>
        <v>27</v>
      </c>
      <c r="P270" s="28">
        <f t="shared" si="33"/>
        <v>27</v>
      </c>
      <c r="Q270" s="28" t="str">
        <f t="shared" si="34"/>
        <v>722Imperatriz - MA</v>
      </c>
      <c r="R270" s="28" t="str">
        <f>VLOOKUP(A270,'JOGOS BASE'!A:H,8)</f>
        <v>18.01.2025 - Imperatriz - MA x Pinheiro - MA</v>
      </c>
    </row>
    <row r="271" spans="1:18" ht="30.6">
      <c r="A271" s="15">
        <v>7</v>
      </c>
      <c r="B271" s="46">
        <v>23</v>
      </c>
      <c r="C271" s="45" t="s">
        <v>579</v>
      </c>
      <c r="D271" s="45" t="s">
        <v>580</v>
      </c>
      <c r="E271" s="47" t="s">
        <v>42</v>
      </c>
      <c r="F271" s="47" t="s">
        <v>24</v>
      </c>
      <c r="G271" s="46">
        <v>798027</v>
      </c>
      <c r="H271" s="18" t="s">
        <v>107</v>
      </c>
      <c r="I271" s="26" t="str">
        <f t="shared" si="30"/>
        <v>Alexsander</v>
      </c>
      <c r="J271" s="26" t="str">
        <f t="shared" si="31"/>
        <v>7Imperatriz - MA23</v>
      </c>
      <c r="K271" s="27" t="str">
        <f>IFERROR(VLOOKUP(J271,Substituicoes!J:J,1,0),"SS")</f>
        <v>SS</v>
      </c>
      <c r="L271" s="27" t="str">
        <f>IFERROR(VLOOKUP(J271,Substituicoes!K:K,1,0),"SS")</f>
        <v>SS</v>
      </c>
      <c r="M271" s="28" t="b">
        <f t="shared" si="32"/>
        <v>1</v>
      </c>
      <c r="N271" s="29">
        <f>IF(AND(K271=L271,LEFT(E271,1)="T"),VLOOKUP(A271,'JOGOS BASE'!A:E,4,0),IF(K271=J271,VLOOKUP(J271,Substituicoes!J:R,6,0),IF(L271=J271,VLOOKUP(Escalacao!J271,Substituicoes!K:R,7,0),0)))</f>
        <v>0</v>
      </c>
      <c r="O271" s="28">
        <f>IF(AND(K271=L271,LEFT(E271,1)="T"),VLOOKUP(A271,'JOGOS BASE'!A:E,5,0),IF(K271=J271,VLOOKUP(J271,Substituicoes!J:R,7,0),IF(L271=J271,VLOOKUP(Escalacao!J271,Substituicoes!K:R,8,0),0)))</f>
        <v>0</v>
      </c>
      <c r="P271" s="28">
        <f t="shared" si="33"/>
        <v>0</v>
      </c>
      <c r="Q271" s="28" t="str">
        <f t="shared" si="34"/>
        <v>723Imperatriz - MA</v>
      </c>
      <c r="R271" s="28" t="str">
        <f>VLOOKUP(A271,'JOGOS BASE'!A:H,8)</f>
        <v>18.01.2025 - Imperatriz - MA x Pinheiro - MA</v>
      </c>
    </row>
    <row r="272" spans="1:18" ht="30.6">
      <c r="A272" s="15">
        <v>7</v>
      </c>
      <c r="B272" s="46">
        <v>1</v>
      </c>
      <c r="C272" s="45" t="s">
        <v>301</v>
      </c>
      <c r="D272" s="45" t="s">
        <v>302</v>
      </c>
      <c r="E272" s="47" t="s">
        <v>23</v>
      </c>
      <c r="F272" s="47" t="s">
        <v>24</v>
      </c>
      <c r="G272" s="46">
        <v>530809</v>
      </c>
      <c r="H272" s="15" t="s">
        <v>368</v>
      </c>
      <c r="I272" s="26" t="str">
        <f t="shared" si="30"/>
        <v>Mateus</v>
      </c>
      <c r="J272" s="26" t="str">
        <f t="shared" si="31"/>
        <v>7Pinheiro - MA1</v>
      </c>
      <c r="K272" s="27" t="str">
        <f>IFERROR(VLOOKUP(J272,Substituicoes!J:J,1,0),"SS")</f>
        <v>SS</v>
      </c>
      <c r="L272" s="27" t="str">
        <f>IFERROR(VLOOKUP(J272,Substituicoes!K:K,1,0),"SS")</f>
        <v>SS</v>
      </c>
      <c r="M272" s="28" t="b">
        <f t="shared" si="32"/>
        <v>1</v>
      </c>
      <c r="N272" s="29">
        <f>IF(AND(K272=L272,LEFT(E272,1)="T"),VLOOKUP(A272,'JOGOS BASE'!A:E,4,0),IF(K272=J272,VLOOKUP(J272,Substituicoes!J:R,6,0),IF(L272=J272,VLOOKUP(Escalacao!J272,Substituicoes!K:R,7,0),0)))</f>
        <v>48</v>
      </c>
      <c r="O272" s="28">
        <f>IF(AND(K272=L272,LEFT(E272,1)="T"),VLOOKUP(A272,'JOGOS BASE'!A:E,5,0),IF(K272=J272,VLOOKUP(J272,Substituicoes!J:R,7,0),IF(L272=J272,VLOOKUP(Escalacao!J272,Substituicoes!K:R,8,0),0)))</f>
        <v>51</v>
      </c>
      <c r="P272" s="28">
        <f t="shared" si="33"/>
        <v>99</v>
      </c>
      <c r="Q272" s="28" t="str">
        <f t="shared" si="34"/>
        <v>71Pinheiro - MA</v>
      </c>
      <c r="R272" s="28" t="str">
        <f>VLOOKUP(A272,'JOGOS BASE'!A:H,8)</f>
        <v>18.01.2025 - Imperatriz - MA x Pinheiro - MA</v>
      </c>
    </row>
    <row r="273" spans="1:18" ht="20.399999999999999">
      <c r="A273" s="15">
        <v>7</v>
      </c>
      <c r="B273" s="46">
        <v>2</v>
      </c>
      <c r="C273" s="45" t="s">
        <v>303</v>
      </c>
      <c r="D273" s="45" t="s">
        <v>304</v>
      </c>
      <c r="E273" s="47" t="s">
        <v>26</v>
      </c>
      <c r="F273" s="47" t="s">
        <v>56</v>
      </c>
      <c r="G273" s="46">
        <v>748495</v>
      </c>
      <c r="H273" s="15" t="s">
        <v>368</v>
      </c>
      <c r="I273" s="26" t="str">
        <f t="shared" si="30"/>
        <v>Italo</v>
      </c>
      <c r="J273" s="26" t="str">
        <f t="shared" si="31"/>
        <v>7Pinheiro - MA2</v>
      </c>
      <c r="K273" s="27" t="str">
        <f>IFERROR(VLOOKUP(J273,Substituicoes!J:J,1,0),"SS")</f>
        <v>SS</v>
      </c>
      <c r="L273" s="27" t="str">
        <f>IFERROR(VLOOKUP(J273,Substituicoes!K:K,1,0),"SS")</f>
        <v>SS</v>
      </c>
      <c r="M273" s="28" t="b">
        <f t="shared" si="32"/>
        <v>1</v>
      </c>
      <c r="N273" s="29">
        <f>IF(AND(K273=L273,LEFT(E273,1)="T"),VLOOKUP(A273,'JOGOS BASE'!A:E,4,0),IF(K273=J273,VLOOKUP(J273,Substituicoes!J:R,6,0),IF(L273=J273,VLOOKUP(Escalacao!J273,Substituicoes!K:R,7,0),0)))</f>
        <v>48</v>
      </c>
      <c r="O273" s="28">
        <f>IF(AND(K273=L273,LEFT(E273,1)="T"),VLOOKUP(A273,'JOGOS BASE'!A:E,5,0),IF(K273=J273,VLOOKUP(J273,Substituicoes!J:R,7,0),IF(L273=J273,VLOOKUP(Escalacao!J273,Substituicoes!K:R,8,0),0)))</f>
        <v>51</v>
      </c>
      <c r="P273" s="28">
        <f t="shared" si="33"/>
        <v>99</v>
      </c>
      <c r="Q273" s="28" t="str">
        <f t="shared" si="34"/>
        <v>72Pinheiro - MA</v>
      </c>
      <c r="R273" s="28" t="str">
        <f>VLOOKUP(A273,'JOGOS BASE'!A:H,8)</f>
        <v>18.01.2025 - Imperatriz - MA x Pinheiro - MA</v>
      </c>
    </row>
    <row r="274" spans="1:18" ht="30.6">
      <c r="A274" s="15">
        <v>7</v>
      </c>
      <c r="B274" s="46">
        <v>3</v>
      </c>
      <c r="C274" s="45" t="s">
        <v>305</v>
      </c>
      <c r="D274" s="45" t="s">
        <v>306</v>
      </c>
      <c r="E274" s="47" t="s">
        <v>26</v>
      </c>
      <c r="F274" s="47" t="s">
        <v>24</v>
      </c>
      <c r="G274" s="46">
        <v>619339</v>
      </c>
      <c r="H274" s="15" t="s">
        <v>368</v>
      </c>
      <c r="I274" s="26" t="str">
        <f t="shared" si="30"/>
        <v>Henrique</v>
      </c>
      <c r="J274" s="26" t="str">
        <f t="shared" si="31"/>
        <v>7Pinheiro - MA3</v>
      </c>
      <c r="K274" s="27" t="str">
        <f>IFERROR(VLOOKUP(J274,Substituicoes!J:J,1,0),"SS")</f>
        <v>SS</v>
      </c>
      <c r="L274" s="27" t="str">
        <f>IFERROR(VLOOKUP(J274,Substituicoes!K:K,1,0),"SS")</f>
        <v>SS</v>
      </c>
      <c r="M274" s="28" t="b">
        <f t="shared" si="32"/>
        <v>1</v>
      </c>
      <c r="N274" s="29">
        <f>IF(AND(K274=L274,LEFT(E274,1)="T"),VLOOKUP(A274,'JOGOS BASE'!A:E,4,0),IF(K274=J274,VLOOKUP(J274,Substituicoes!J:R,6,0),IF(L274=J274,VLOOKUP(Escalacao!J274,Substituicoes!K:R,7,0),0)))</f>
        <v>48</v>
      </c>
      <c r="O274" s="28">
        <f>IF(AND(K274=L274,LEFT(E274,1)="T"),VLOOKUP(A274,'JOGOS BASE'!A:E,5,0),IF(K274=J274,VLOOKUP(J274,Substituicoes!J:R,7,0),IF(L274=J274,VLOOKUP(Escalacao!J274,Substituicoes!K:R,8,0),0)))</f>
        <v>51</v>
      </c>
      <c r="P274" s="28">
        <f t="shared" si="33"/>
        <v>99</v>
      </c>
      <c r="Q274" s="28" t="str">
        <f t="shared" si="34"/>
        <v>73Pinheiro - MA</v>
      </c>
      <c r="R274" s="28" t="str">
        <f>VLOOKUP(A274,'JOGOS BASE'!A:H,8)</f>
        <v>18.01.2025 - Imperatriz - MA x Pinheiro - MA</v>
      </c>
    </row>
    <row r="275" spans="1:18" ht="30.6">
      <c r="A275" s="15">
        <v>7</v>
      </c>
      <c r="B275" s="46">
        <v>4</v>
      </c>
      <c r="C275" s="45" t="s">
        <v>307</v>
      </c>
      <c r="D275" s="45" t="s">
        <v>308</v>
      </c>
      <c r="E275" s="47" t="s">
        <v>26</v>
      </c>
      <c r="F275" s="47" t="s">
        <v>24</v>
      </c>
      <c r="G275" s="46">
        <v>710616</v>
      </c>
      <c r="H275" s="15" t="s">
        <v>368</v>
      </c>
      <c r="I275" s="26" t="str">
        <f t="shared" si="30"/>
        <v>Rikelmmer</v>
      </c>
      <c r="J275" s="26" t="str">
        <f t="shared" si="31"/>
        <v>7Pinheiro - MA4</v>
      </c>
      <c r="K275" s="27" t="str">
        <f>IFERROR(VLOOKUP(J275,Substituicoes!J:J,1,0),"SS")</f>
        <v>SS</v>
      </c>
      <c r="L275" s="27" t="str">
        <f>IFERROR(VLOOKUP(J275,Substituicoes!K:K,1,0),"SS")</f>
        <v>SS</v>
      </c>
      <c r="M275" s="28" t="b">
        <f t="shared" si="32"/>
        <v>1</v>
      </c>
      <c r="N275" s="29">
        <f>IF(AND(K275=L275,LEFT(E275,1)="T"),VLOOKUP(A275,'JOGOS BASE'!A:E,4,0),IF(K275=J275,VLOOKUP(J275,Substituicoes!J:R,6,0),IF(L275=J275,VLOOKUP(Escalacao!J275,Substituicoes!K:R,7,0),0)))</f>
        <v>48</v>
      </c>
      <c r="O275" s="28">
        <f>IF(AND(K275=L275,LEFT(E275,1)="T"),VLOOKUP(A275,'JOGOS BASE'!A:E,5,0),IF(K275=J275,VLOOKUP(J275,Substituicoes!J:R,7,0),IF(L275=J275,VLOOKUP(Escalacao!J275,Substituicoes!K:R,8,0),0)))</f>
        <v>51</v>
      </c>
      <c r="P275" s="28">
        <f t="shared" si="33"/>
        <v>99</v>
      </c>
      <c r="Q275" s="28" t="str">
        <f t="shared" si="34"/>
        <v>74Pinheiro - MA</v>
      </c>
      <c r="R275" s="28" t="str">
        <f>VLOOKUP(A275,'JOGOS BASE'!A:H,8)</f>
        <v>18.01.2025 - Imperatriz - MA x Pinheiro - MA</v>
      </c>
    </row>
    <row r="276" spans="1:18" ht="20.399999999999999">
      <c r="A276" s="15">
        <v>7</v>
      </c>
      <c r="B276" s="46">
        <v>5</v>
      </c>
      <c r="C276" s="45" t="s">
        <v>309</v>
      </c>
      <c r="D276" s="45" t="s">
        <v>310</v>
      </c>
      <c r="E276" s="47" t="s">
        <v>26</v>
      </c>
      <c r="F276" s="47" t="s">
        <v>24</v>
      </c>
      <c r="G276" s="46">
        <v>537343</v>
      </c>
      <c r="H276" s="15" t="s">
        <v>368</v>
      </c>
      <c r="I276" s="26" t="str">
        <f t="shared" si="30"/>
        <v>Rayandeson</v>
      </c>
      <c r="J276" s="26" t="str">
        <f t="shared" si="31"/>
        <v>7Pinheiro - MA5</v>
      </c>
      <c r="K276" s="27" t="str">
        <f>IFERROR(VLOOKUP(J276,Substituicoes!J:J,1,0),"SS")</f>
        <v>SS</v>
      </c>
      <c r="L276" s="27" t="str">
        <f>IFERROR(VLOOKUP(J276,Substituicoes!K:K,1,0),"SS")</f>
        <v>SS</v>
      </c>
      <c r="M276" s="28" t="b">
        <f t="shared" si="32"/>
        <v>1</v>
      </c>
      <c r="N276" s="29">
        <f>IF(AND(K276=L276,LEFT(E276,1)="T"),VLOOKUP(A276,'JOGOS BASE'!A:E,4,0),IF(K276=J276,VLOOKUP(J276,Substituicoes!J:R,6,0),IF(L276=J276,VLOOKUP(Escalacao!J276,Substituicoes!K:R,7,0),0)))</f>
        <v>48</v>
      </c>
      <c r="O276" s="28">
        <f>IF(AND(K276=L276,LEFT(E276,1)="T"),VLOOKUP(A276,'JOGOS BASE'!A:E,5,0),IF(K276=J276,VLOOKUP(J276,Substituicoes!J:R,7,0),IF(L276=J276,VLOOKUP(Escalacao!J276,Substituicoes!K:R,8,0),0)))</f>
        <v>51</v>
      </c>
      <c r="P276" s="28">
        <f t="shared" si="33"/>
        <v>99</v>
      </c>
      <c r="Q276" s="28" t="str">
        <f t="shared" si="34"/>
        <v>75Pinheiro - MA</v>
      </c>
      <c r="R276" s="28" t="str">
        <f>VLOOKUP(A276,'JOGOS BASE'!A:H,8)</f>
        <v>18.01.2025 - Imperatriz - MA x Pinheiro - MA</v>
      </c>
    </row>
    <row r="277" spans="1:18" ht="20.399999999999999">
      <c r="A277" s="15">
        <v>7</v>
      </c>
      <c r="B277" s="46">
        <v>6</v>
      </c>
      <c r="C277" s="45" t="s">
        <v>246</v>
      </c>
      <c r="D277" s="45" t="s">
        <v>311</v>
      </c>
      <c r="E277" s="47" t="s">
        <v>26</v>
      </c>
      <c r="F277" s="47" t="s">
        <v>24</v>
      </c>
      <c r="G277" s="46">
        <v>637743</v>
      </c>
      <c r="H277" s="15" t="s">
        <v>368</v>
      </c>
      <c r="I277" s="26" t="str">
        <f t="shared" si="30"/>
        <v>Gabriel</v>
      </c>
      <c r="J277" s="26" t="str">
        <f t="shared" si="31"/>
        <v>7Pinheiro - MA6</v>
      </c>
      <c r="K277" s="27" t="str">
        <f>IFERROR(VLOOKUP(J277,Substituicoes!J:J,1,0),"SS")</f>
        <v>SS</v>
      </c>
      <c r="L277" s="27" t="str">
        <f>IFERROR(VLOOKUP(J277,Substituicoes!K:K,1,0),"SS")</f>
        <v>7Pinheiro - MA6</v>
      </c>
      <c r="M277" s="28" t="b">
        <f t="shared" si="32"/>
        <v>0</v>
      </c>
      <c r="N277" s="29">
        <f>IF(AND(K277=L277,LEFT(E277,1)="T"),VLOOKUP(A277,'JOGOS BASE'!A:E,4,0),IF(K277=J277,VLOOKUP(J277,Substituicoes!J:R,6,0),IF(L277=J277,VLOOKUP(Escalacao!J277,Substituicoes!K:R,7,0),0)))</f>
        <v>48</v>
      </c>
      <c r="O277" s="28">
        <f>IF(AND(K277=L277,LEFT(E277,1)="T"),VLOOKUP(A277,'JOGOS BASE'!A:E,5,0),IF(K277=J277,VLOOKUP(J277,Substituicoes!J:R,7,0),IF(L277=J277,VLOOKUP(Escalacao!J277,Substituicoes!K:R,8,0),0)))</f>
        <v>0</v>
      </c>
      <c r="P277" s="28">
        <f t="shared" si="33"/>
        <v>48</v>
      </c>
      <c r="Q277" s="28" t="str">
        <f t="shared" si="34"/>
        <v>76Pinheiro - MA</v>
      </c>
      <c r="R277" s="28" t="str">
        <f>VLOOKUP(A277,'JOGOS BASE'!A:H,8)</f>
        <v>18.01.2025 - Imperatriz - MA x Pinheiro - MA</v>
      </c>
    </row>
    <row r="278" spans="1:18" ht="20.399999999999999">
      <c r="A278" s="15">
        <v>7</v>
      </c>
      <c r="B278" s="46">
        <v>7</v>
      </c>
      <c r="C278" s="45" t="s">
        <v>312</v>
      </c>
      <c r="D278" s="45" t="s">
        <v>313</v>
      </c>
      <c r="E278" s="47" t="s">
        <v>26</v>
      </c>
      <c r="F278" s="47" t="s">
        <v>24</v>
      </c>
      <c r="G278" s="46">
        <v>738325</v>
      </c>
      <c r="H278" s="15" t="s">
        <v>368</v>
      </c>
      <c r="I278" s="26" t="str">
        <f t="shared" si="30"/>
        <v>FRANCISCO</v>
      </c>
      <c r="J278" s="26" t="str">
        <f t="shared" si="31"/>
        <v>7Pinheiro - MA7</v>
      </c>
      <c r="K278" s="27" t="str">
        <f>IFERROR(VLOOKUP(J278,Substituicoes!J:J,1,0),"SS")</f>
        <v>SS</v>
      </c>
      <c r="L278" s="27" t="str">
        <f>IFERROR(VLOOKUP(J278,Substituicoes!K:K,1,0),"SS")</f>
        <v>SS</v>
      </c>
      <c r="M278" s="28" t="b">
        <f t="shared" si="32"/>
        <v>1</v>
      </c>
      <c r="N278" s="29">
        <f>IF(AND(K278=L278,LEFT(E278,1)="T"),VLOOKUP(A278,'JOGOS BASE'!A:E,4,0),IF(K278=J278,VLOOKUP(J278,Substituicoes!J:R,6,0),IF(L278=J278,VLOOKUP(Escalacao!J278,Substituicoes!K:R,7,0),0)))</f>
        <v>48</v>
      </c>
      <c r="O278" s="28">
        <f>IF(AND(K278=L278,LEFT(E278,1)="T"),VLOOKUP(A278,'JOGOS BASE'!A:E,5,0),IF(K278=J278,VLOOKUP(J278,Substituicoes!J:R,7,0),IF(L278=J278,VLOOKUP(Escalacao!J278,Substituicoes!K:R,8,0),0)))</f>
        <v>51</v>
      </c>
      <c r="P278" s="28">
        <f t="shared" si="33"/>
        <v>99</v>
      </c>
      <c r="Q278" s="28" t="str">
        <f t="shared" si="34"/>
        <v>77Pinheiro - MA</v>
      </c>
      <c r="R278" s="28" t="str">
        <f>VLOOKUP(A278,'JOGOS BASE'!A:H,8)</f>
        <v>18.01.2025 - Imperatriz - MA x Pinheiro - MA</v>
      </c>
    </row>
    <row r="279" spans="1:18" ht="20.399999999999999">
      <c r="A279" s="15">
        <v>7</v>
      </c>
      <c r="B279" s="46">
        <v>8</v>
      </c>
      <c r="C279" s="45" t="s">
        <v>314</v>
      </c>
      <c r="D279" s="45" t="s">
        <v>315</v>
      </c>
      <c r="E279" s="47" t="s">
        <v>26</v>
      </c>
      <c r="F279" s="47" t="s">
        <v>24</v>
      </c>
      <c r="G279" s="46">
        <v>552300</v>
      </c>
      <c r="H279" s="15" t="s">
        <v>368</v>
      </c>
      <c r="I279" s="26" t="str">
        <f t="shared" si="30"/>
        <v>Tulio</v>
      </c>
      <c r="J279" s="26" t="str">
        <f t="shared" si="31"/>
        <v>7Pinheiro - MA8</v>
      </c>
      <c r="K279" s="27" t="str">
        <f>IFERROR(VLOOKUP(J279,Substituicoes!J:J,1,0),"SS")</f>
        <v>SS</v>
      </c>
      <c r="L279" s="27" t="str">
        <f>IFERROR(VLOOKUP(J279,Substituicoes!K:K,1,0),"SS")</f>
        <v>SS</v>
      </c>
      <c r="M279" s="28" t="b">
        <f t="shared" si="32"/>
        <v>1</v>
      </c>
      <c r="N279" s="29">
        <f>IF(AND(K279=L279,LEFT(E279,1)="T"),VLOOKUP(A279,'JOGOS BASE'!A:E,4,0),IF(K279=J279,VLOOKUP(J279,Substituicoes!J:R,6,0),IF(L279=J279,VLOOKUP(Escalacao!J279,Substituicoes!K:R,7,0),0)))</f>
        <v>48</v>
      </c>
      <c r="O279" s="28">
        <f>IF(AND(K279=L279,LEFT(E279,1)="T"),VLOOKUP(A279,'JOGOS BASE'!A:E,5,0),IF(K279=J279,VLOOKUP(J279,Substituicoes!J:R,7,0),IF(L279=J279,VLOOKUP(Escalacao!J279,Substituicoes!K:R,8,0),0)))</f>
        <v>51</v>
      </c>
      <c r="P279" s="28">
        <f t="shared" si="33"/>
        <v>99</v>
      </c>
      <c r="Q279" s="28" t="str">
        <f t="shared" si="34"/>
        <v>78Pinheiro - MA</v>
      </c>
      <c r="R279" s="28" t="str">
        <f>VLOOKUP(A279,'JOGOS BASE'!A:H,8)</f>
        <v>18.01.2025 - Imperatriz - MA x Pinheiro - MA</v>
      </c>
    </row>
    <row r="280" spans="1:18" ht="30.6">
      <c r="A280" s="15">
        <v>7</v>
      </c>
      <c r="B280" s="46">
        <v>9</v>
      </c>
      <c r="C280" s="45" t="s">
        <v>316</v>
      </c>
      <c r="D280" s="45" t="s">
        <v>317</v>
      </c>
      <c r="E280" s="47" t="s">
        <v>26</v>
      </c>
      <c r="F280" s="47" t="s">
        <v>24</v>
      </c>
      <c r="G280" s="46">
        <v>464141</v>
      </c>
      <c r="H280" s="15" t="s">
        <v>368</v>
      </c>
      <c r="I280" s="26" t="str">
        <f t="shared" si="30"/>
        <v>Cleber</v>
      </c>
      <c r="J280" s="26" t="str">
        <f t="shared" si="31"/>
        <v>7Pinheiro - MA9</v>
      </c>
      <c r="K280" s="27" t="str">
        <f>IFERROR(VLOOKUP(J280,Substituicoes!J:J,1,0),"SS")</f>
        <v>SS</v>
      </c>
      <c r="L280" s="27" t="str">
        <f>IFERROR(VLOOKUP(J280,Substituicoes!K:K,1,0),"SS")</f>
        <v>7Pinheiro - MA9</v>
      </c>
      <c r="M280" s="28" t="b">
        <f t="shared" si="32"/>
        <v>0</v>
      </c>
      <c r="N280" s="29">
        <f>IF(AND(K280=L280,LEFT(E280,1)="T"),VLOOKUP(A280,'JOGOS BASE'!A:E,4,0),IF(K280=J280,VLOOKUP(J280,Substituicoes!J:R,6,0),IF(L280=J280,VLOOKUP(Escalacao!J280,Substituicoes!K:R,7,0),0)))</f>
        <v>48</v>
      </c>
      <c r="O280" s="28">
        <f>IF(AND(K280=L280,LEFT(E280,1)="T"),VLOOKUP(A280,'JOGOS BASE'!A:E,5,0),IF(K280=J280,VLOOKUP(J280,Substituicoes!J:R,7,0),IF(L280=J280,VLOOKUP(Escalacao!J280,Substituicoes!K:R,8,0),0)))</f>
        <v>30</v>
      </c>
      <c r="P280" s="28">
        <f t="shared" si="33"/>
        <v>78</v>
      </c>
      <c r="Q280" s="28" t="str">
        <f t="shared" si="34"/>
        <v>79Pinheiro - MA</v>
      </c>
      <c r="R280" s="28" t="str">
        <f>VLOOKUP(A280,'JOGOS BASE'!A:H,8)</f>
        <v>18.01.2025 - Imperatriz - MA x Pinheiro - MA</v>
      </c>
    </row>
    <row r="281" spans="1:18" ht="20.399999999999999">
      <c r="A281" s="15">
        <v>7</v>
      </c>
      <c r="B281" s="46">
        <v>10</v>
      </c>
      <c r="C281" s="45" t="s">
        <v>318</v>
      </c>
      <c r="D281" s="45" t="s">
        <v>319</v>
      </c>
      <c r="E281" s="47" t="s">
        <v>26</v>
      </c>
      <c r="F281" s="47" t="s">
        <v>24</v>
      </c>
      <c r="G281" s="46">
        <v>554277</v>
      </c>
      <c r="H281" s="15" t="s">
        <v>368</v>
      </c>
      <c r="I281" s="26" t="str">
        <f t="shared" si="30"/>
        <v>Neto</v>
      </c>
      <c r="J281" s="26" t="str">
        <f t="shared" si="31"/>
        <v>7Pinheiro - MA10</v>
      </c>
      <c r="K281" s="27" t="str">
        <f>IFERROR(VLOOKUP(J281,Substituicoes!J:J,1,0),"SS")</f>
        <v>SS</v>
      </c>
      <c r="L281" s="27" t="str">
        <f>IFERROR(VLOOKUP(J281,Substituicoes!K:K,1,0),"SS")</f>
        <v>SS</v>
      </c>
      <c r="M281" s="28" t="b">
        <f t="shared" si="32"/>
        <v>1</v>
      </c>
      <c r="N281" s="29">
        <f>IF(AND(K281=L281,LEFT(E281,1)="T"),VLOOKUP(A281,'JOGOS BASE'!A:E,4,0),IF(K281=J281,VLOOKUP(J281,Substituicoes!J:R,6,0),IF(L281=J281,VLOOKUP(Escalacao!J281,Substituicoes!K:R,7,0),0)))</f>
        <v>48</v>
      </c>
      <c r="O281" s="28">
        <f>IF(AND(K281=L281,LEFT(E281,1)="T"),VLOOKUP(A281,'JOGOS BASE'!A:E,5,0),IF(K281=J281,VLOOKUP(J281,Substituicoes!J:R,7,0),IF(L281=J281,VLOOKUP(Escalacao!J281,Substituicoes!K:R,8,0),0)))</f>
        <v>51</v>
      </c>
      <c r="P281" s="28">
        <f t="shared" si="33"/>
        <v>99</v>
      </c>
      <c r="Q281" s="28" t="str">
        <f t="shared" si="34"/>
        <v>710Pinheiro - MA</v>
      </c>
      <c r="R281" s="28" t="str">
        <f>VLOOKUP(A281,'JOGOS BASE'!A:H,8)</f>
        <v>18.01.2025 - Imperatriz - MA x Pinheiro - MA</v>
      </c>
    </row>
    <row r="282" spans="1:18" ht="30.6">
      <c r="A282" s="15">
        <v>7</v>
      </c>
      <c r="B282" s="46">
        <v>11</v>
      </c>
      <c r="C282" s="45" t="s">
        <v>320</v>
      </c>
      <c r="D282" s="45" t="s">
        <v>581</v>
      </c>
      <c r="E282" s="47" t="s">
        <v>26</v>
      </c>
      <c r="F282" s="47" t="s">
        <v>24</v>
      </c>
      <c r="G282" s="46">
        <v>612866</v>
      </c>
      <c r="H282" s="15" t="s">
        <v>368</v>
      </c>
      <c r="I282" s="26" t="str">
        <f t="shared" si="30"/>
        <v>Joao Pedro</v>
      </c>
      <c r="J282" s="26" t="str">
        <f t="shared" si="31"/>
        <v>7Pinheiro - MA11</v>
      </c>
      <c r="K282" s="27" t="str">
        <f>IFERROR(VLOOKUP(J282,Substituicoes!J:J,1,0),"SS")</f>
        <v>SS</v>
      </c>
      <c r="L282" s="27" t="str">
        <f>IFERROR(VLOOKUP(J282,Substituicoes!K:K,1,0),"SS")</f>
        <v>7Pinheiro - MA11</v>
      </c>
      <c r="M282" s="28" t="b">
        <f t="shared" si="32"/>
        <v>0</v>
      </c>
      <c r="N282" s="29">
        <f>IF(AND(K282=L282,LEFT(E282,1)="T"),VLOOKUP(A282,'JOGOS BASE'!A:E,4,0),IF(K282=J282,VLOOKUP(J282,Substituicoes!J:R,6,0),IF(L282=J282,VLOOKUP(Escalacao!J282,Substituicoes!K:R,7,0),0)))</f>
        <v>48</v>
      </c>
      <c r="O282" s="28">
        <f>IF(AND(K282=L282,LEFT(E282,1)="T"),VLOOKUP(A282,'JOGOS BASE'!A:E,5,0),IF(K282=J282,VLOOKUP(J282,Substituicoes!J:R,7,0),IF(L282=J282,VLOOKUP(Escalacao!J282,Substituicoes!K:R,8,0),0)))</f>
        <v>0</v>
      </c>
      <c r="P282" s="28">
        <f t="shared" si="33"/>
        <v>48</v>
      </c>
      <c r="Q282" s="28" t="str">
        <f t="shared" si="34"/>
        <v>711Pinheiro - MA</v>
      </c>
      <c r="R282" s="28" t="str">
        <f>VLOOKUP(A282,'JOGOS BASE'!A:H,8)</f>
        <v>18.01.2025 - Imperatriz - MA x Pinheiro - MA</v>
      </c>
    </row>
    <row r="283" spans="1:18" ht="20.399999999999999">
      <c r="A283" s="15">
        <v>7</v>
      </c>
      <c r="B283" s="46">
        <v>12</v>
      </c>
      <c r="C283" s="45" t="s">
        <v>322</v>
      </c>
      <c r="D283" s="45" t="s">
        <v>323</v>
      </c>
      <c r="E283" s="47" t="s">
        <v>40</v>
      </c>
      <c r="F283" s="47" t="s">
        <v>24</v>
      </c>
      <c r="G283" s="46">
        <v>637255</v>
      </c>
      <c r="H283" s="15" t="s">
        <v>368</v>
      </c>
      <c r="I283" s="26" t="str">
        <f t="shared" si="30"/>
        <v>LUAN</v>
      </c>
      <c r="J283" s="26" t="str">
        <f t="shared" si="31"/>
        <v>7Pinheiro - MA12</v>
      </c>
      <c r="K283" s="27" t="str">
        <f>IFERROR(VLOOKUP(J283,Substituicoes!J:J,1,0),"SS")</f>
        <v>SS</v>
      </c>
      <c r="L283" s="27" t="str">
        <f>IFERROR(VLOOKUP(J283,Substituicoes!K:K,1,0),"SS")</f>
        <v>SS</v>
      </c>
      <c r="M283" s="28" t="b">
        <f t="shared" si="32"/>
        <v>1</v>
      </c>
      <c r="N283" s="29">
        <f>IF(AND(K283=L283,LEFT(E283,1)="T"),VLOOKUP(A283,'JOGOS BASE'!A:E,4,0),IF(K283=J283,VLOOKUP(J283,Substituicoes!J:R,6,0),IF(L283=J283,VLOOKUP(Escalacao!J283,Substituicoes!K:R,7,0),0)))</f>
        <v>0</v>
      </c>
      <c r="O283" s="28">
        <f>IF(AND(K283=L283,LEFT(E283,1)="T"),VLOOKUP(A283,'JOGOS BASE'!A:E,5,0),IF(K283=J283,VLOOKUP(J283,Substituicoes!J:R,7,0),IF(L283=J283,VLOOKUP(Escalacao!J283,Substituicoes!K:R,8,0),0)))</f>
        <v>0</v>
      </c>
      <c r="P283" s="28">
        <f t="shared" si="33"/>
        <v>0</v>
      </c>
      <c r="Q283" s="28" t="str">
        <f t="shared" si="34"/>
        <v>712Pinheiro - MA</v>
      </c>
      <c r="R283" s="28" t="str">
        <f>VLOOKUP(A283,'JOGOS BASE'!A:H,8)</f>
        <v>18.01.2025 - Imperatriz - MA x Pinheiro - MA</v>
      </c>
    </row>
    <row r="284" spans="1:18" ht="30.6">
      <c r="A284" s="15">
        <v>7</v>
      </c>
      <c r="B284" s="46">
        <v>13</v>
      </c>
      <c r="C284" s="45" t="s">
        <v>324</v>
      </c>
      <c r="D284" s="45" t="s">
        <v>325</v>
      </c>
      <c r="E284" s="47" t="s">
        <v>42</v>
      </c>
      <c r="F284" s="47" t="s">
        <v>24</v>
      </c>
      <c r="G284" s="46">
        <v>554265</v>
      </c>
      <c r="H284" s="15" t="s">
        <v>368</v>
      </c>
      <c r="I284" s="26" t="str">
        <f t="shared" si="30"/>
        <v>Aldomir</v>
      </c>
      <c r="J284" s="26" t="str">
        <f t="shared" si="31"/>
        <v>7Pinheiro - MA13</v>
      </c>
      <c r="K284" s="27" t="str">
        <f>IFERROR(VLOOKUP(J284,Substituicoes!J:J,1,0),"SS")</f>
        <v>SS</v>
      </c>
      <c r="L284" s="27" t="str">
        <f>IFERROR(VLOOKUP(J284,Substituicoes!K:K,1,0),"SS")</f>
        <v>SS</v>
      </c>
      <c r="M284" s="28" t="b">
        <f t="shared" si="32"/>
        <v>1</v>
      </c>
      <c r="N284" s="29">
        <f>IF(AND(K284=L284,LEFT(E284,1)="T"),VLOOKUP(A284,'JOGOS BASE'!A:E,4,0),IF(K284=J284,VLOOKUP(J284,Substituicoes!J:R,6,0),IF(L284=J284,VLOOKUP(Escalacao!J284,Substituicoes!K:R,7,0),0)))</f>
        <v>0</v>
      </c>
      <c r="O284" s="28">
        <f>IF(AND(K284=L284,LEFT(E284,1)="T"),VLOOKUP(A284,'JOGOS BASE'!A:E,5,0),IF(K284=J284,VLOOKUP(J284,Substituicoes!J:R,7,0),IF(L284=J284,VLOOKUP(Escalacao!J284,Substituicoes!K:R,8,0),0)))</f>
        <v>0</v>
      </c>
      <c r="P284" s="28">
        <f t="shared" si="33"/>
        <v>0</v>
      </c>
      <c r="Q284" s="28" t="str">
        <f t="shared" si="34"/>
        <v>713Pinheiro - MA</v>
      </c>
      <c r="R284" s="28" t="str">
        <f>VLOOKUP(A284,'JOGOS BASE'!A:H,8)</f>
        <v>18.01.2025 - Imperatriz - MA x Pinheiro - MA</v>
      </c>
    </row>
    <row r="285" spans="1:18" ht="20.399999999999999">
      <c r="A285" s="15">
        <v>7</v>
      </c>
      <c r="B285" s="46">
        <v>14</v>
      </c>
      <c r="C285" s="45" t="s">
        <v>326</v>
      </c>
      <c r="D285" s="45" t="s">
        <v>327</v>
      </c>
      <c r="E285" s="47" t="s">
        <v>42</v>
      </c>
      <c r="F285" s="47" t="s">
        <v>56</v>
      </c>
      <c r="G285" s="46">
        <v>804398</v>
      </c>
      <c r="H285" s="15" t="s">
        <v>368</v>
      </c>
      <c r="I285" s="26" t="str">
        <f t="shared" si="30"/>
        <v>Igor Mineiro</v>
      </c>
      <c r="J285" s="26" t="str">
        <f t="shared" si="31"/>
        <v>7Pinheiro - MA14</v>
      </c>
      <c r="K285" s="27" t="str">
        <f>IFERROR(VLOOKUP(J285,Substituicoes!J:J,1,0),"SS")</f>
        <v>SS</v>
      </c>
      <c r="L285" s="27" t="str">
        <f>IFERROR(VLOOKUP(J285,Substituicoes!K:K,1,0),"SS")</f>
        <v>SS</v>
      </c>
      <c r="M285" s="28" t="b">
        <f t="shared" si="32"/>
        <v>1</v>
      </c>
      <c r="N285" s="29">
        <f>IF(AND(K285=L285,LEFT(E285,1)="T"),VLOOKUP(A285,'JOGOS BASE'!A:E,4,0),IF(K285=J285,VLOOKUP(J285,Substituicoes!J:R,6,0),IF(L285=J285,VLOOKUP(Escalacao!J285,Substituicoes!K:R,7,0),0)))</f>
        <v>0</v>
      </c>
      <c r="O285" s="28">
        <f>IF(AND(K285=L285,LEFT(E285,1)="T"),VLOOKUP(A285,'JOGOS BASE'!A:E,5,0),IF(K285=J285,VLOOKUP(J285,Substituicoes!J:R,7,0),IF(L285=J285,VLOOKUP(Escalacao!J285,Substituicoes!K:R,8,0),0)))</f>
        <v>0</v>
      </c>
      <c r="P285" s="28">
        <f t="shared" si="33"/>
        <v>0</v>
      </c>
      <c r="Q285" s="28" t="str">
        <f t="shared" si="34"/>
        <v>714Pinheiro - MA</v>
      </c>
      <c r="R285" s="28" t="str">
        <f>VLOOKUP(A285,'JOGOS BASE'!A:H,8)</f>
        <v>18.01.2025 - Imperatriz - MA x Pinheiro - MA</v>
      </c>
    </row>
    <row r="286" spans="1:18" ht="30.6">
      <c r="A286" s="15">
        <v>7</v>
      </c>
      <c r="B286" s="46">
        <v>15</v>
      </c>
      <c r="C286" s="45" t="s">
        <v>328</v>
      </c>
      <c r="D286" s="45" t="s">
        <v>329</v>
      </c>
      <c r="E286" s="47" t="s">
        <v>42</v>
      </c>
      <c r="F286" s="47" t="s">
        <v>56</v>
      </c>
      <c r="G286" s="46">
        <v>779893</v>
      </c>
      <c r="H286" s="15" t="s">
        <v>368</v>
      </c>
      <c r="I286" s="26" t="str">
        <f t="shared" si="30"/>
        <v>George</v>
      </c>
      <c r="J286" s="26" t="str">
        <f t="shared" si="31"/>
        <v>7Pinheiro - MA15</v>
      </c>
      <c r="K286" s="27" t="str">
        <f>IFERROR(VLOOKUP(J286,Substituicoes!J:J,1,0),"SS")</f>
        <v>7Pinheiro - MA15</v>
      </c>
      <c r="L286" s="27" t="str">
        <f>IFERROR(VLOOKUP(J286,Substituicoes!K:K,1,0),"SS")</f>
        <v>SS</v>
      </c>
      <c r="M286" s="28" t="b">
        <f t="shared" si="32"/>
        <v>0</v>
      </c>
      <c r="N286" s="29">
        <f>IF(AND(K286=L286,LEFT(E286,1)="T"),VLOOKUP(A286,'JOGOS BASE'!A:E,4,0),IF(K286=J286,VLOOKUP(J286,Substituicoes!J:R,6,0),IF(L286=J286,VLOOKUP(Escalacao!J286,Substituicoes!K:R,7,0),0)))</f>
        <v>0</v>
      </c>
      <c r="O286" s="28">
        <f>IF(AND(K286=L286,LEFT(E286,1)="T"),VLOOKUP(A286,'JOGOS BASE'!A:E,5,0),IF(K286=J286,VLOOKUP(J286,Substituicoes!J:R,7,0),IF(L286=J286,VLOOKUP(Escalacao!J286,Substituicoes!K:R,8,0),0)))</f>
        <v>51</v>
      </c>
      <c r="P286" s="28">
        <f t="shared" si="33"/>
        <v>51</v>
      </c>
      <c r="Q286" s="28" t="str">
        <f t="shared" si="34"/>
        <v>715Pinheiro - MA</v>
      </c>
      <c r="R286" s="28" t="str">
        <f>VLOOKUP(A286,'JOGOS BASE'!A:H,8)</f>
        <v>18.01.2025 - Imperatriz - MA x Pinheiro - MA</v>
      </c>
    </row>
    <row r="287" spans="1:18" ht="20.399999999999999">
      <c r="A287" s="15">
        <v>7</v>
      </c>
      <c r="B287" s="46">
        <v>16</v>
      </c>
      <c r="C287" s="45" t="s">
        <v>214</v>
      </c>
      <c r="D287" s="45" t="s">
        <v>330</v>
      </c>
      <c r="E287" s="47" t="s">
        <v>42</v>
      </c>
      <c r="F287" s="47" t="s">
        <v>24</v>
      </c>
      <c r="G287" s="46">
        <v>559235</v>
      </c>
      <c r="H287" s="15" t="s">
        <v>368</v>
      </c>
      <c r="I287" s="26" t="str">
        <f t="shared" si="30"/>
        <v>Jean</v>
      </c>
      <c r="J287" s="26" t="str">
        <f t="shared" si="31"/>
        <v>7Pinheiro - MA16</v>
      </c>
      <c r="K287" s="27" t="str">
        <f>IFERROR(VLOOKUP(J287,Substituicoes!J:J,1,0),"SS")</f>
        <v>SS</v>
      </c>
      <c r="L287" s="27" t="str">
        <f>IFERROR(VLOOKUP(J287,Substituicoes!K:K,1,0),"SS")</f>
        <v>SS</v>
      </c>
      <c r="M287" s="28" t="b">
        <f t="shared" si="32"/>
        <v>1</v>
      </c>
      <c r="N287" s="29">
        <f>IF(AND(K287=L287,LEFT(E287,1)="T"),VLOOKUP(A287,'JOGOS BASE'!A:E,4,0),IF(K287=J287,VLOOKUP(J287,Substituicoes!J:R,6,0),IF(L287=J287,VLOOKUP(Escalacao!J287,Substituicoes!K:R,7,0),0)))</f>
        <v>0</v>
      </c>
      <c r="O287" s="28">
        <f>IF(AND(K287=L287,LEFT(E287,1)="T"),VLOOKUP(A287,'JOGOS BASE'!A:E,5,0),IF(K287=J287,VLOOKUP(J287,Substituicoes!J:R,7,0),IF(L287=J287,VLOOKUP(Escalacao!J287,Substituicoes!K:R,8,0),0)))</f>
        <v>0</v>
      </c>
      <c r="P287" s="28">
        <f t="shared" si="33"/>
        <v>0</v>
      </c>
      <c r="Q287" s="28" t="str">
        <f t="shared" si="34"/>
        <v>716Pinheiro - MA</v>
      </c>
      <c r="R287" s="28" t="str">
        <f>VLOOKUP(A287,'JOGOS BASE'!A:H,8)</f>
        <v>18.01.2025 - Imperatriz - MA x Pinheiro - MA</v>
      </c>
    </row>
    <row r="288" spans="1:18" ht="30.6">
      <c r="A288" s="15">
        <v>7</v>
      </c>
      <c r="B288" s="46">
        <v>17</v>
      </c>
      <c r="C288" s="45" t="s">
        <v>331</v>
      </c>
      <c r="D288" s="45" t="s">
        <v>332</v>
      </c>
      <c r="E288" s="47" t="s">
        <v>42</v>
      </c>
      <c r="F288" s="47" t="s">
        <v>24</v>
      </c>
      <c r="G288" s="46">
        <v>816868</v>
      </c>
      <c r="H288" s="15" t="s">
        <v>368</v>
      </c>
      <c r="I288" s="26" t="str">
        <f t="shared" si="30"/>
        <v>KAYKY</v>
      </c>
      <c r="J288" s="26" t="str">
        <f t="shared" si="31"/>
        <v>7Pinheiro - MA17</v>
      </c>
      <c r="K288" s="27" t="str">
        <f>IFERROR(VLOOKUP(J288,Substituicoes!J:J,1,0),"SS")</f>
        <v>7Pinheiro - MA17</v>
      </c>
      <c r="L288" s="27" t="str">
        <f>IFERROR(VLOOKUP(J288,Substituicoes!K:K,1,0),"SS")</f>
        <v>SS</v>
      </c>
      <c r="M288" s="28" t="b">
        <f t="shared" si="32"/>
        <v>0</v>
      </c>
      <c r="N288" s="29">
        <f>IF(AND(K288=L288,LEFT(E288,1)="T"),VLOOKUP(A288,'JOGOS BASE'!A:E,4,0),IF(K288=J288,VLOOKUP(J288,Substituicoes!J:R,6,0),IF(L288=J288,VLOOKUP(Escalacao!J288,Substituicoes!K:R,7,0),0)))</f>
        <v>0</v>
      </c>
      <c r="O288" s="28">
        <f>IF(AND(K288=L288,LEFT(E288,1)="T"),VLOOKUP(A288,'JOGOS BASE'!A:E,5,0),IF(K288=J288,VLOOKUP(J288,Substituicoes!J:R,7,0),IF(L288=J288,VLOOKUP(Escalacao!J288,Substituicoes!K:R,8,0),0)))</f>
        <v>21</v>
      </c>
      <c r="P288" s="28">
        <f t="shared" si="33"/>
        <v>21</v>
      </c>
      <c r="Q288" s="28" t="str">
        <f t="shared" si="34"/>
        <v>717Pinheiro - MA</v>
      </c>
      <c r="R288" s="28" t="str">
        <f>VLOOKUP(A288,'JOGOS BASE'!A:H,8)</f>
        <v>18.01.2025 - Imperatriz - MA x Pinheiro - MA</v>
      </c>
    </row>
    <row r="289" spans="1:18" ht="30.6">
      <c r="A289" s="15">
        <v>7</v>
      </c>
      <c r="B289" s="46">
        <v>18</v>
      </c>
      <c r="C289" s="45" t="s">
        <v>333</v>
      </c>
      <c r="D289" s="45" t="s">
        <v>582</v>
      </c>
      <c r="E289" s="47" t="s">
        <v>42</v>
      </c>
      <c r="F289" s="47" t="s">
        <v>24</v>
      </c>
      <c r="G289" s="46">
        <v>710709</v>
      </c>
      <c r="H289" s="15" t="s">
        <v>368</v>
      </c>
      <c r="I289" s="26" t="str">
        <f t="shared" si="30"/>
        <v>BASTICO</v>
      </c>
      <c r="J289" s="26" t="str">
        <f t="shared" si="31"/>
        <v>7Pinheiro - MA18</v>
      </c>
      <c r="K289" s="27" t="str">
        <f>IFERROR(VLOOKUP(J289,Substituicoes!J:J,1,0),"SS")</f>
        <v>7Pinheiro - MA18</v>
      </c>
      <c r="L289" s="27" t="str">
        <f>IFERROR(VLOOKUP(J289,Substituicoes!K:K,1,0),"SS")</f>
        <v>SS</v>
      </c>
      <c r="M289" s="28" t="b">
        <f t="shared" si="32"/>
        <v>0</v>
      </c>
      <c r="N289" s="29">
        <f>IF(AND(K289=L289,LEFT(E289,1)="T"),VLOOKUP(A289,'JOGOS BASE'!A:E,4,0),IF(K289=J289,VLOOKUP(J289,Substituicoes!J:R,6,0),IF(L289=J289,VLOOKUP(Escalacao!J289,Substituicoes!K:R,7,0),0)))</f>
        <v>0</v>
      </c>
      <c r="O289" s="28">
        <f>IF(AND(K289=L289,LEFT(E289,1)="T"),VLOOKUP(A289,'JOGOS BASE'!A:E,5,0),IF(K289=J289,VLOOKUP(J289,Substituicoes!J:R,7,0),IF(L289=J289,VLOOKUP(Escalacao!J289,Substituicoes!K:R,8,0),0)))</f>
        <v>51</v>
      </c>
      <c r="P289" s="28">
        <f t="shared" si="33"/>
        <v>51</v>
      </c>
      <c r="Q289" s="28" t="str">
        <f t="shared" si="34"/>
        <v>718Pinheiro - MA</v>
      </c>
      <c r="R289" s="28" t="str">
        <f>VLOOKUP(A289,'JOGOS BASE'!A:H,8)</f>
        <v>18.01.2025 - Imperatriz - MA x Pinheiro - MA</v>
      </c>
    </row>
    <row r="290" spans="1:18" ht="30.6">
      <c r="A290" s="15">
        <v>7</v>
      </c>
      <c r="B290" s="46">
        <v>19</v>
      </c>
      <c r="C290" s="45" t="s">
        <v>392</v>
      </c>
      <c r="D290" s="45" t="s">
        <v>393</v>
      </c>
      <c r="E290" s="47" t="s">
        <v>42</v>
      </c>
      <c r="F290" s="47" t="s">
        <v>56</v>
      </c>
      <c r="G290" s="46">
        <v>894254</v>
      </c>
      <c r="H290" s="15" t="s">
        <v>368</v>
      </c>
      <c r="I290" s="26" t="str">
        <f t="shared" si="30"/>
        <v>ANDERSON</v>
      </c>
      <c r="J290" s="26" t="str">
        <f t="shared" si="31"/>
        <v>7Pinheiro - MA19</v>
      </c>
      <c r="K290" s="27" t="str">
        <f>IFERROR(VLOOKUP(J290,Substituicoes!J:J,1,0),"SS")</f>
        <v>SS</v>
      </c>
      <c r="L290" s="27" t="str">
        <f>IFERROR(VLOOKUP(J290,Substituicoes!K:K,1,0),"SS")</f>
        <v>SS</v>
      </c>
      <c r="M290" s="28" t="b">
        <f t="shared" si="32"/>
        <v>1</v>
      </c>
      <c r="N290" s="29">
        <f>IF(AND(K290=L290,LEFT(E290,1)="T"),VLOOKUP(A290,'JOGOS BASE'!A:E,4,0),IF(K290=J290,VLOOKUP(J290,Substituicoes!J:R,6,0),IF(L290=J290,VLOOKUP(Escalacao!J290,Substituicoes!K:R,7,0),0)))</f>
        <v>0</v>
      </c>
      <c r="O290" s="28">
        <f>IF(AND(K290=L290,LEFT(E290,1)="T"),VLOOKUP(A290,'JOGOS BASE'!A:E,5,0),IF(K290=J290,VLOOKUP(J290,Substituicoes!J:R,7,0),IF(L290=J290,VLOOKUP(Escalacao!J290,Substituicoes!K:R,8,0),0)))</f>
        <v>0</v>
      </c>
      <c r="P290" s="28">
        <f t="shared" si="33"/>
        <v>0</v>
      </c>
      <c r="Q290" s="28" t="str">
        <f t="shared" si="34"/>
        <v>719Pinheiro - MA</v>
      </c>
      <c r="R290" s="28" t="str">
        <f>VLOOKUP(A290,'JOGOS BASE'!A:H,8)</f>
        <v>18.01.2025 - Imperatriz - MA x Pinheiro - MA</v>
      </c>
    </row>
    <row r="291" spans="1:18" ht="30.6">
      <c r="A291" s="15">
        <v>8</v>
      </c>
      <c r="B291" s="46">
        <v>1</v>
      </c>
      <c r="C291" s="45" t="s">
        <v>335</v>
      </c>
      <c r="D291" s="45" t="s">
        <v>336</v>
      </c>
      <c r="E291" s="47" t="s">
        <v>23</v>
      </c>
      <c r="F291" s="47" t="s">
        <v>24</v>
      </c>
      <c r="G291" s="46">
        <v>178014</v>
      </c>
      <c r="H291" s="18" t="s">
        <v>381</v>
      </c>
      <c r="I291" s="26" t="str">
        <f t="shared" ref="I291:I326" si="35">C291</f>
        <v>Saulo</v>
      </c>
      <c r="J291" s="26" t="str">
        <f t="shared" ref="J291:J326" si="36">A291&amp;H291&amp;B291</f>
        <v>8Viana - MA1</v>
      </c>
      <c r="K291" s="27" t="str">
        <f>IFERROR(VLOOKUP(J291,Substituicoes!J:J,1,0),"SS")</f>
        <v>SS</v>
      </c>
      <c r="L291" s="27" t="str">
        <f>IFERROR(VLOOKUP(J291,Substituicoes!K:K,1,0),"SS")</f>
        <v>SS</v>
      </c>
      <c r="M291" s="28" t="b">
        <f t="shared" ref="M291:M326" si="37">K291=L291</f>
        <v>1</v>
      </c>
      <c r="N291" s="29">
        <f>IF(AND(K291=L291,LEFT(E291,1)="T"),VLOOKUP(A291,'JOGOS BASE'!A:E,4,0),IF(K291=J291,VLOOKUP(J291,Substituicoes!J:R,6,0),IF(L291=J291,VLOOKUP(Escalacao!J291,Substituicoes!K:R,7,0),0)))</f>
        <v>50</v>
      </c>
      <c r="O291" s="28">
        <f>IF(AND(K291=L291,LEFT(E291,1)="T"),VLOOKUP(A291,'JOGOS BASE'!A:E,5,0),IF(K291=J291,VLOOKUP(J291,Substituicoes!J:R,7,0),IF(L291=J291,VLOOKUP(Escalacao!J291,Substituicoes!K:R,8,0),0)))</f>
        <v>53</v>
      </c>
      <c r="P291" s="28">
        <f t="shared" ref="P291:P326" si="38">N291+O291</f>
        <v>103</v>
      </c>
      <c r="Q291" s="28" t="str">
        <f t="shared" ref="Q291:Q326" si="39">A291&amp;B291&amp;H291</f>
        <v>81Viana - MA</v>
      </c>
      <c r="R291" s="28" t="str">
        <f>VLOOKUP(A291,'JOGOS BASE'!A:H,8)</f>
        <v>19.01.2025 - Viana - MA x Sampaio Corrêa - MA</v>
      </c>
    </row>
    <row r="292" spans="1:18" ht="30.6">
      <c r="A292" s="15">
        <v>8</v>
      </c>
      <c r="B292" s="46">
        <v>2</v>
      </c>
      <c r="C292" s="45" t="s">
        <v>604</v>
      </c>
      <c r="D292" s="45" t="s">
        <v>605</v>
      </c>
      <c r="E292" s="47" t="s">
        <v>26</v>
      </c>
      <c r="F292" s="47" t="s">
        <v>24</v>
      </c>
      <c r="G292" s="46">
        <v>894365</v>
      </c>
      <c r="H292" s="18" t="s">
        <v>381</v>
      </c>
      <c r="I292" s="26" t="str">
        <f t="shared" si="35"/>
        <v>JAMILSON</v>
      </c>
      <c r="J292" s="26" t="str">
        <f t="shared" si="36"/>
        <v>8Viana - MA2</v>
      </c>
      <c r="K292" s="27" t="str">
        <f>IFERROR(VLOOKUP(J292,Substituicoes!J:J,1,0),"SS")</f>
        <v>SS</v>
      </c>
      <c r="L292" s="27" t="str">
        <f>IFERROR(VLOOKUP(J292,Substituicoes!K:K,1,0),"SS")</f>
        <v>SS</v>
      </c>
      <c r="M292" s="28" t="b">
        <f t="shared" si="37"/>
        <v>1</v>
      </c>
      <c r="N292" s="29">
        <f>IF(AND(K292=L292,LEFT(E292,1)="T"),VLOOKUP(A292,'JOGOS BASE'!A:E,4,0),IF(K292=J292,VLOOKUP(J292,Substituicoes!J:R,6,0),IF(L292=J292,VLOOKUP(Escalacao!J292,Substituicoes!K:R,7,0),0)))</f>
        <v>50</v>
      </c>
      <c r="O292" s="28">
        <f>IF(AND(K292=L292,LEFT(E292,1)="T"),VLOOKUP(A292,'JOGOS BASE'!A:E,5,0),IF(K292=J292,VLOOKUP(J292,Substituicoes!J:R,7,0),IF(L292=J292,VLOOKUP(Escalacao!J292,Substituicoes!K:R,8,0),0)))</f>
        <v>53</v>
      </c>
      <c r="P292" s="28">
        <f t="shared" si="38"/>
        <v>103</v>
      </c>
      <c r="Q292" s="28" t="str">
        <f t="shared" si="39"/>
        <v>82Viana - MA</v>
      </c>
      <c r="R292" s="28" t="str">
        <f>VLOOKUP(A292,'JOGOS BASE'!A:H,8)</f>
        <v>19.01.2025 - Viana - MA x Sampaio Corrêa - MA</v>
      </c>
    </row>
    <row r="293" spans="1:18" ht="30.6">
      <c r="A293" s="15">
        <v>8</v>
      </c>
      <c r="B293" s="46">
        <v>3</v>
      </c>
      <c r="C293" s="45" t="s">
        <v>339</v>
      </c>
      <c r="D293" s="45" t="s">
        <v>340</v>
      </c>
      <c r="E293" s="47" t="s">
        <v>26</v>
      </c>
      <c r="F293" s="47" t="s">
        <v>24</v>
      </c>
      <c r="G293" s="46">
        <v>396008</v>
      </c>
      <c r="H293" s="18" t="s">
        <v>381</v>
      </c>
      <c r="I293" s="26" t="str">
        <f t="shared" si="35"/>
        <v>Brener Bessa</v>
      </c>
      <c r="J293" s="26" t="str">
        <f t="shared" si="36"/>
        <v>8Viana - MA3</v>
      </c>
      <c r="K293" s="27" t="str">
        <f>IFERROR(VLOOKUP(J293,Substituicoes!J:J,1,0),"SS")</f>
        <v>SS</v>
      </c>
      <c r="L293" s="27" t="str">
        <f>IFERROR(VLOOKUP(J293,Substituicoes!K:K,1,0),"SS")</f>
        <v>SS</v>
      </c>
      <c r="M293" s="28" t="b">
        <f t="shared" si="37"/>
        <v>1</v>
      </c>
      <c r="N293" s="29">
        <f>IF(AND(K293=L293,LEFT(E293,1)="T"),VLOOKUP(A293,'JOGOS BASE'!A:E,4,0),IF(K293=J293,VLOOKUP(J293,Substituicoes!J:R,6,0),IF(L293=J293,VLOOKUP(Escalacao!J293,Substituicoes!K:R,7,0),0)))</f>
        <v>50</v>
      </c>
      <c r="O293" s="28">
        <f>IF(AND(K293=L293,LEFT(E293,1)="T"),VLOOKUP(A293,'JOGOS BASE'!A:E,5,0),IF(K293=J293,VLOOKUP(J293,Substituicoes!J:R,7,0),IF(L293=J293,VLOOKUP(Escalacao!J293,Substituicoes!K:R,8,0),0)))</f>
        <v>53</v>
      </c>
      <c r="P293" s="28">
        <f t="shared" si="38"/>
        <v>103</v>
      </c>
      <c r="Q293" s="28" t="str">
        <f t="shared" si="39"/>
        <v>83Viana - MA</v>
      </c>
      <c r="R293" s="28" t="str">
        <f>VLOOKUP(A293,'JOGOS BASE'!A:H,8)</f>
        <v>19.01.2025 - Viana - MA x Sampaio Corrêa - MA</v>
      </c>
    </row>
    <row r="294" spans="1:18" ht="20.399999999999999">
      <c r="A294" s="15">
        <v>8</v>
      </c>
      <c r="B294" s="46">
        <v>4</v>
      </c>
      <c r="C294" s="45" t="s">
        <v>606</v>
      </c>
      <c r="D294" s="45" t="s">
        <v>607</v>
      </c>
      <c r="E294" s="47" t="s">
        <v>26</v>
      </c>
      <c r="F294" s="47" t="s">
        <v>24</v>
      </c>
      <c r="G294" s="46">
        <v>709273</v>
      </c>
      <c r="H294" s="18" t="s">
        <v>381</v>
      </c>
      <c r="I294" s="26" t="str">
        <f t="shared" si="35"/>
        <v>CAIO</v>
      </c>
      <c r="J294" s="26" t="str">
        <f t="shared" si="36"/>
        <v>8Viana - MA4</v>
      </c>
      <c r="K294" s="27" t="str">
        <f>IFERROR(VLOOKUP(J294,Substituicoes!J:J,1,0),"SS")</f>
        <v>SS</v>
      </c>
      <c r="L294" s="27" t="str">
        <f>IFERROR(VLOOKUP(J294,Substituicoes!K:K,1,0),"SS")</f>
        <v>SS</v>
      </c>
      <c r="M294" s="28" t="b">
        <f t="shared" si="37"/>
        <v>1</v>
      </c>
      <c r="N294" s="29">
        <f>IF(AND(K294=L294,LEFT(E294,1)="T"),VLOOKUP(A294,'JOGOS BASE'!A:E,4,0),IF(K294=J294,VLOOKUP(J294,Substituicoes!J:R,6,0),IF(L294=J294,VLOOKUP(Escalacao!J294,Substituicoes!K:R,7,0),0)))</f>
        <v>50</v>
      </c>
      <c r="O294" s="28">
        <f>IF(AND(K294=L294,LEFT(E294,1)="T"),VLOOKUP(A294,'JOGOS BASE'!A:E,5,0),IF(K294=J294,VLOOKUP(J294,Substituicoes!J:R,7,0),IF(L294=J294,VLOOKUP(Escalacao!J294,Substituicoes!K:R,8,0),0)))</f>
        <v>53</v>
      </c>
      <c r="P294" s="28">
        <f t="shared" si="38"/>
        <v>103</v>
      </c>
      <c r="Q294" s="28" t="str">
        <f t="shared" si="39"/>
        <v>84Viana - MA</v>
      </c>
      <c r="R294" s="28" t="str">
        <f>VLOOKUP(A294,'JOGOS BASE'!A:H,8)</f>
        <v>19.01.2025 - Viana - MA x Sampaio Corrêa - MA</v>
      </c>
    </row>
    <row r="295" spans="1:18" ht="30.6">
      <c r="A295" s="15">
        <v>8</v>
      </c>
      <c r="B295" s="46">
        <v>5</v>
      </c>
      <c r="C295" s="45" t="s">
        <v>343</v>
      </c>
      <c r="D295" s="45" t="s">
        <v>344</v>
      </c>
      <c r="E295" s="47" t="s">
        <v>26</v>
      </c>
      <c r="F295" s="47" t="s">
        <v>24</v>
      </c>
      <c r="G295" s="46">
        <v>799878</v>
      </c>
      <c r="H295" s="18" t="s">
        <v>381</v>
      </c>
      <c r="I295" s="26" t="str">
        <f t="shared" si="35"/>
        <v>RIQUELME</v>
      </c>
      <c r="J295" s="26" t="str">
        <f t="shared" si="36"/>
        <v>8Viana - MA5</v>
      </c>
      <c r="K295" s="27" t="str">
        <f>IFERROR(VLOOKUP(J295,Substituicoes!J:J,1,0),"SS")</f>
        <v>SS</v>
      </c>
      <c r="L295" s="27" t="str">
        <f>IFERROR(VLOOKUP(J295,Substituicoes!K:K,1,0),"SS")</f>
        <v>SS</v>
      </c>
      <c r="M295" s="28" t="b">
        <f t="shared" si="37"/>
        <v>1</v>
      </c>
      <c r="N295" s="29">
        <f>IF(AND(K295=L295,LEFT(E295,1)="T"),VLOOKUP(A295,'JOGOS BASE'!A:E,4,0),IF(K295=J295,VLOOKUP(J295,Substituicoes!J:R,6,0),IF(L295=J295,VLOOKUP(Escalacao!J295,Substituicoes!K:R,7,0),0)))</f>
        <v>50</v>
      </c>
      <c r="O295" s="28">
        <f>IF(AND(K295=L295,LEFT(E295,1)="T"),VLOOKUP(A295,'JOGOS BASE'!A:E,5,0),IF(K295=J295,VLOOKUP(J295,Substituicoes!J:R,7,0),IF(L295=J295,VLOOKUP(Escalacao!J295,Substituicoes!K:R,8,0),0)))</f>
        <v>53</v>
      </c>
      <c r="P295" s="28">
        <f t="shared" si="38"/>
        <v>103</v>
      </c>
      <c r="Q295" s="28" t="str">
        <f t="shared" si="39"/>
        <v>85Viana - MA</v>
      </c>
      <c r="R295" s="28" t="str">
        <f>VLOOKUP(A295,'JOGOS BASE'!A:H,8)</f>
        <v>19.01.2025 - Viana - MA x Sampaio Corrêa - MA</v>
      </c>
    </row>
    <row r="296" spans="1:18" ht="30.6">
      <c r="A296" s="15">
        <v>8</v>
      </c>
      <c r="B296" s="46">
        <v>6</v>
      </c>
      <c r="C296" s="45" t="s">
        <v>301</v>
      </c>
      <c r="D296" s="45" t="s">
        <v>608</v>
      </c>
      <c r="E296" s="47" t="s">
        <v>26</v>
      </c>
      <c r="F296" s="47" t="s">
        <v>24</v>
      </c>
      <c r="G296" s="46">
        <v>581708</v>
      </c>
      <c r="H296" s="18" t="s">
        <v>381</v>
      </c>
      <c r="I296" s="26" t="str">
        <f t="shared" si="35"/>
        <v>Mateus</v>
      </c>
      <c r="J296" s="26" t="str">
        <f t="shared" si="36"/>
        <v>8Viana - MA6</v>
      </c>
      <c r="K296" s="27" t="str">
        <f>IFERROR(VLOOKUP(J296,Substituicoes!J:J,1,0),"SS")</f>
        <v>SS</v>
      </c>
      <c r="L296" s="27" t="str">
        <f>IFERROR(VLOOKUP(J296,Substituicoes!K:K,1,0),"SS")</f>
        <v>SS</v>
      </c>
      <c r="M296" s="28" t="b">
        <f t="shared" si="37"/>
        <v>1</v>
      </c>
      <c r="N296" s="29">
        <f>IF(AND(K296=L296,LEFT(E296,1)="T"),VLOOKUP(A296,'JOGOS BASE'!A:E,4,0),IF(K296=J296,VLOOKUP(J296,Substituicoes!J:R,6,0),IF(L296=J296,VLOOKUP(Escalacao!J296,Substituicoes!K:R,7,0),0)))</f>
        <v>50</v>
      </c>
      <c r="O296" s="28">
        <f>IF(AND(K296=L296,LEFT(E296,1)="T"),VLOOKUP(A296,'JOGOS BASE'!A:E,5,0),IF(K296=J296,VLOOKUP(J296,Substituicoes!J:R,7,0),IF(L296=J296,VLOOKUP(Escalacao!J296,Substituicoes!K:R,8,0),0)))</f>
        <v>53</v>
      </c>
      <c r="P296" s="28">
        <f t="shared" si="38"/>
        <v>103</v>
      </c>
      <c r="Q296" s="28" t="str">
        <f t="shared" si="39"/>
        <v>86Viana - MA</v>
      </c>
      <c r="R296" s="28" t="str">
        <f>VLOOKUP(A296,'JOGOS BASE'!A:H,8)</f>
        <v>19.01.2025 - Viana - MA x Sampaio Corrêa - MA</v>
      </c>
    </row>
    <row r="297" spans="1:18" ht="30.6">
      <c r="A297" s="15">
        <v>8</v>
      </c>
      <c r="B297" s="46">
        <v>7</v>
      </c>
      <c r="C297" s="45" t="s">
        <v>609</v>
      </c>
      <c r="D297" s="45" t="s">
        <v>610</v>
      </c>
      <c r="E297" s="47" t="s">
        <v>26</v>
      </c>
      <c r="F297" s="47" t="s">
        <v>24</v>
      </c>
      <c r="G297" s="46">
        <v>590716</v>
      </c>
      <c r="H297" s="18" t="s">
        <v>381</v>
      </c>
      <c r="I297" s="26" t="str">
        <f t="shared" si="35"/>
        <v>arisco</v>
      </c>
      <c r="J297" s="26" t="str">
        <f t="shared" si="36"/>
        <v>8Viana - MA7</v>
      </c>
      <c r="K297" s="27" t="str">
        <f>IFERROR(VLOOKUP(J297,Substituicoes!J:J,1,0),"SS")</f>
        <v>SS</v>
      </c>
      <c r="L297" s="27" t="str">
        <f>IFERROR(VLOOKUP(J297,Substituicoes!K:K,1,0),"SS")</f>
        <v>8Viana - MA7</v>
      </c>
      <c r="M297" s="28" t="b">
        <f t="shared" si="37"/>
        <v>0</v>
      </c>
      <c r="N297" s="29">
        <f>IF(AND(K297=L297,LEFT(E297,1)="T"),VLOOKUP(A297,'JOGOS BASE'!A:E,4,0),IF(K297=J297,VLOOKUP(J297,Substituicoes!J:R,6,0),IF(L297=J297,VLOOKUP(Escalacao!J297,Substituicoes!K:R,7,0),0)))</f>
        <v>50</v>
      </c>
      <c r="O297" s="28">
        <f>IF(AND(K297=L297,LEFT(E297,1)="T"),VLOOKUP(A297,'JOGOS BASE'!A:E,5,0),IF(K297=J297,VLOOKUP(J297,Substituicoes!J:R,7,0),IF(L297=J297,VLOOKUP(Escalacao!J297,Substituicoes!K:R,8,0),0)))</f>
        <v>42</v>
      </c>
      <c r="P297" s="28">
        <f t="shared" si="38"/>
        <v>92</v>
      </c>
      <c r="Q297" s="28" t="str">
        <f t="shared" si="39"/>
        <v>87Viana - MA</v>
      </c>
      <c r="R297" s="28" t="str">
        <f>VLOOKUP(A297,'JOGOS BASE'!A:H,8)</f>
        <v>19.01.2025 - Viana - MA x Sampaio Corrêa - MA</v>
      </c>
    </row>
    <row r="298" spans="1:18" ht="30.6">
      <c r="A298" s="15">
        <v>8</v>
      </c>
      <c r="B298" s="46">
        <v>8</v>
      </c>
      <c r="C298" s="45" t="s">
        <v>611</v>
      </c>
      <c r="D298" s="45" t="s">
        <v>612</v>
      </c>
      <c r="E298" s="47" t="s">
        <v>26</v>
      </c>
      <c r="F298" s="47" t="s">
        <v>24</v>
      </c>
      <c r="G298" s="46">
        <v>894358</v>
      </c>
      <c r="H298" s="18" t="s">
        <v>381</v>
      </c>
      <c r="I298" s="26" t="str">
        <f t="shared" si="35"/>
        <v>LUANDERSO</v>
      </c>
      <c r="J298" s="26" t="str">
        <f t="shared" si="36"/>
        <v>8Viana - MA8</v>
      </c>
      <c r="K298" s="27" t="str">
        <f>IFERROR(VLOOKUP(J298,Substituicoes!J:J,1,0),"SS")</f>
        <v>SS</v>
      </c>
      <c r="L298" s="27" t="str">
        <f>IFERROR(VLOOKUP(J298,Substituicoes!K:K,1,0),"SS")</f>
        <v>8Viana - MA8</v>
      </c>
      <c r="M298" s="28" t="b">
        <f t="shared" si="37"/>
        <v>0</v>
      </c>
      <c r="N298" s="29">
        <f>IF(AND(K298=L298,LEFT(E298,1)="T"),VLOOKUP(A298,'JOGOS BASE'!A:E,4,0),IF(K298=J298,VLOOKUP(J298,Substituicoes!J:R,6,0),IF(L298=J298,VLOOKUP(Escalacao!J298,Substituicoes!K:R,7,0),0)))</f>
        <v>50</v>
      </c>
      <c r="O298" s="28">
        <f>IF(AND(K298=L298,LEFT(E298,1)="T"),VLOOKUP(A298,'JOGOS BASE'!A:E,5,0),IF(K298=J298,VLOOKUP(J298,Substituicoes!J:R,7,0),IF(L298=J298,VLOOKUP(Escalacao!J298,Substituicoes!K:R,8,0),0)))</f>
        <v>17</v>
      </c>
      <c r="P298" s="28">
        <f t="shared" si="38"/>
        <v>67</v>
      </c>
      <c r="Q298" s="28" t="str">
        <f t="shared" si="39"/>
        <v>88Viana - MA</v>
      </c>
      <c r="R298" s="28" t="str">
        <f>VLOOKUP(A298,'JOGOS BASE'!A:H,8)</f>
        <v>19.01.2025 - Viana - MA x Sampaio Corrêa - MA</v>
      </c>
    </row>
    <row r="299" spans="1:18" ht="30.6">
      <c r="A299" s="15">
        <v>8</v>
      </c>
      <c r="B299" s="46">
        <v>9</v>
      </c>
      <c r="C299" s="45" t="s">
        <v>92</v>
      </c>
      <c r="D299" s="45" t="s">
        <v>347</v>
      </c>
      <c r="E299" s="47" t="s">
        <v>26</v>
      </c>
      <c r="F299" s="47" t="s">
        <v>24</v>
      </c>
      <c r="G299" s="46">
        <v>611781</v>
      </c>
      <c r="H299" s="18" t="s">
        <v>381</v>
      </c>
      <c r="I299" s="26" t="str">
        <f t="shared" si="35"/>
        <v>Thiago</v>
      </c>
      <c r="J299" s="26" t="str">
        <f t="shared" si="36"/>
        <v>8Viana - MA9</v>
      </c>
      <c r="K299" s="27" t="str">
        <f>IFERROR(VLOOKUP(J299,Substituicoes!J:J,1,0),"SS")</f>
        <v>SS</v>
      </c>
      <c r="L299" s="27" t="str">
        <f>IFERROR(VLOOKUP(J299,Substituicoes!K:K,1,0),"SS")</f>
        <v>SS</v>
      </c>
      <c r="M299" s="28" t="b">
        <f t="shared" si="37"/>
        <v>1</v>
      </c>
      <c r="N299" s="29">
        <f>IF(AND(K299=L299,LEFT(E299,1)="T"),VLOOKUP(A299,'JOGOS BASE'!A:E,4,0),IF(K299=J299,VLOOKUP(J299,Substituicoes!J:R,6,0),IF(L299=J299,VLOOKUP(Escalacao!J299,Substituicoes!K:R,7,0),0)))</f>
        <v>50</v>
      </c>
      <c r="O299" s="28">
        <f>IF(AND(K299=L299,LEFT(E299,1)="T"),VLOOKUP(A299,'JOGOS BASE'!A:E,5,0),IF(K299=J299,VLOOKUP(J299,Substituicoes!J:R,7,0),IF(L299=J299,VLOOKUP(Escalacao!J299,Substituicoes!K:R,8,0),0)))</f>
        <v>53</v>
      </c>
      <c r="P299" s="28">
        <f t="shared" si="38"/>
        <v>103</v>
      </c>
      <c r="Q299" s="28" t="str">
        <f t="shared" si="39"/>
        <v>89Viana - MA</v>
      </c>
      <c r="R299" s="28" t="str">
        <f>VLOOKUP(A299,'JOGOS BASE'!A:H,8)</f>
        <v>19.01.2025 - Viana - MA x Sampaio Corrêa - MA</v>
      </c>
    </row>
    <row r="300" spans="1:18" ht="20.399999999999999">
      <c r="A300" s="15">
        <v>8</v>
      </c>
      <c r="B300" s="46">
        <v>10</v>
      </c>
      <c r="C300" s="45" t="s">
        <v>353</v>
      </c>
      <c r="D300" s="45" t="s">
        <v>354</v>
      </c>
      <c r="E300" s="47" t="s">
        <v>26</v>
      </c>
      <c r="F300" s="47" t="s">
        <v>24</v>
      </c>
      <c r="G300" s="46">
        <v>700228</v>
      </c>
      <c r="H300" s="18" t="s">
        <v>381</v>
      </c>
      <c r="I300" s="26" t="str">
        <f t="shared" si="35"/>
        <v>ARIEL</v>
      </c>
      <c r="J300" s="26" t="str">
        <f t="shared" si="36"/>
        <v>8Viana - MA10</v>
      </c>
      <c r="K300" s="27" t="str">
        <f>IFERROR(VLOOKUP(J300,Substituicoes!J:J,1,0),"SS")</f>
        <v>SS</v>
      </c>
      <c r="L300" s="27" t="str">
        <f>IFERROR(VLOOKUP(J300,Substituicoes!K:K,1,0),"SS")</f>
        <v>8Viana - MA10</v>
      </c>
      <c r="M300" s="28" t="b">
        <f t="shared" si="37"/>
        <v>0</v>
      </c>
      <c r="N300" s="29">
        <f>IF(AND(K300=L300,LEFT(E300,1)="T"),VLOOKUP(A300,'JOGOS BASE'!A:E,4,0),IF(K300=J300,VLOOKUP(J300,Substituicoes!J:R,6,0),IF(L300=J300,VLOOKUP(Escalacao!J300,Substituicoes!K:R,7,0),0)))</f>
        <v>50</v>
      </c>
      <c r="O300" s="28">
        <f>IF(AND(K300=L300,LEFT(E300,1)="T"),VLOOKUP(A300,'JOGOS BASE'!A:E,5,0),IF(K300=J300,VLOOKUP(J300,Substituicoes!J:R,7,0),IF(L300=J300,VLOOKUP(Escalacao!J300,Substituicoes!K:R,8,0),0)))</f>
        <v>0</v>
      </c>
      <c r="P300" s="28">
        <f t="shared" si="38"/>
        <v>50</v>
      </c>
      <c r="Q300" s="28" t="str">
        <f t="shared" si="39"/>
        <v>810Viana - MA</v>
      </c>
      <c r="R300" s="28" t="str">
        <f>VLOOKUP(A300,'JOGOS BASE'!A:H,8)</f>
        <v>19.01.2025 - Viana - MA x Sampaio Corrêa - MA</v>
      </c>
    </row>
    <row r="301" spans="1:18" ht="30.6">
      <c r="A301" s="15">
        <v>8</v>
      </c>
      <c r="B301" s="46">
        <v>11</v>
      </c>
      <c r="C301" s="45" t="s">
        <v>92</v>
      </c>
      <c r="D301" s="45" t="s">
        <v>352</v>
      </c>
      <c r="E301" s="47" t="s">
        <v>26</v>
      </c>
      <c r="F301" s="47" t="s">
        <v>24</v>
      </c>
      <c r="G301" s="46">
        <v>642816</v>
      </c>
      <c r="H301" s="18" t="s">
        <v>381</v>
      </c>
      <c r="I301" s="26" t="str">
        <f t="shared" si="35"/>
        <v>Thiago</v>
      </c>
      <c r="J301" s="26" t="str">
        <f t="shared" si="36"/>
        <v>8Viana - MA11</v>
      </c>
      <c r="K301" s="27" t="str">
        <f>IFERROR(VLOOKUP(J301,Substituicoes!J:J,1,0),"SS")</f>
        <v>SS</v>
      </c>
      <c r="L301" s="27" t="str">
        <f>IFERROR(VLOOKUP(J301,Substituicoes!K:K,1,0),"SS")</f>
        <v>SS</v>
      </c>
      <c r="M301" s="28" t="b">
        <f t="shared" si="37"/>
        <v>1</v>
      </c>
      <c r="N301" s="29">
        <f>IF(AND(K301=L301,LEFT(E301,1)="T"),VLOOKUP(A301,'JOGOS BASE'!A:E,4,0),IF(K301=J301,VLOOKUP(J301,Substituicoes!J:R,6,0),IF(L301=J301,VLOOKUP(Escalacao!J301,Substituicoes!K:R,7,0),0)))</f>
        <v>50</v>
      </c>
      <c r="O301" s="28">
        <f>IF(AND(K301=L301,LEFT(E301,1)="T"),VLOOKUP(A301,'JOGOS BASE'!A:E,5,0),IF(K301=J301,VLOOKUP(J301,Substituicoes!J:R,7,0),IF(L301=J301,VLOOKUP(Escalacao!J301,Substituicoes!K:R,8,0),0)))</f>
        <v>53</v>
      </c>
      <c r="P301" s="28">
        <f t="shared" si="38"/>
        <v>103</v>
      </c>
      <c r="Q301" s="28" t="str">
        <f t="shared" si="39"/>
        <v>811Viana - MA</v>
      </c>
      <c r="R301" s="28" t="str">
        <f>VLOOKUP(A301,'JOGOS BASE'!A:H,8)</f>
        <v>19.01.2025 - Viana - MA x Sampaio Corrêa - MA</v>
      </c>
    </row>
    <row r="302" spans="1:18" ht="30.6">
      <c r="A302" s="15">
        <v>8</v>
      </c>
      <c r="B302" s="46">
        <v>12</v>
      </c>
      <c r="C302" s="45" t="s">
        <v>250</v>
      </c>
      <c r="D302" s="45" t="s">
        <v>613</v>
      </c>
      <c r="E302" s="47" t="s">
        <v>40</v>
      </c>
      <c r="F302" s="47" t="s">
        <v>24</v>
      </c>
      <c r="G302" s="46">
        <v>648064</v>
      </c>
      <c r="H302" s="18" t="s">
        <v>381</v>
      </c>
      <c r="I302" s="26" t="str">
        <f t="shared" si="35"/>
        <v>LUCAS</v>
      </c>
      <c r="J302" s="26" t="str">
        <f t="shared" si="36"/>
        <v>8Viana - MA12</v>
      </c>
      <c r="K302" s="27" t="str">
        <f>IFERROR(VLOOKUP(J302,Substituicoes!J:J,1,0),"SS")</f>
        <v>SS</v>
      </c>
      <c r="L302" s="27" t="str">
        <f>IFERROR(VLOOKUP(J302,Substituicoes!K:K,1,0),"SS")</f>
        <v>SS</v>
      </c>
      <c r="M302" s="28" t="b">
        <f t="shared" si="37"/>
        <v>1</v>
      </c>
      <c r="N302" s="29">
        <f>IF(AND(K302=L302,LEFT(E302,1)="T"),VLOOKUP(A302,'JOGOS BASE'!A:E,4,0),IF(K302=J302,VLOOKUP(J302,Substituicoes!J:R,6,0),IF(L302=J302,VLOOKUP(Escalacao!J302,Substituicoes!K:R,7,0),0)))</f>
        <v>0</v>
      </c>
      <c r="O302" s="28">
        <f>IF(AND(K302=L302,LEFT(E302,1)="T"),VLOOKUP(A302,'JOGOS BASE'!A:E,5,0),IF(K302=J302,VLOOKUP(J302,Substituicoes!J:R,7,0),IF(L302=J302,VLOOKUP(Escalacao!J302,Substituicoes!K:R,8,0),0)))</f>
        <v>0</v>
      </c>
      <c r="P302" s="28">
        <f t="shared" si="38"/>
        <v>0</v>
      </c>
      <c r="Q302" s="28" t="str">
        <f t="shared" si="39"/>
        <v>812Viana - MA</v>
      </c>
      <c r="R302" s="28" t="str">
        <f>VLOOKUP(A302,'JOGOS BASE'!A:H,8)</f>
        <v>19.01.2025 - Viana - MA x Sampaio Corrêa - MA</v>
      </c>
    </row>
    <row r="303" spans="1:18" ht="30.6">
      <c r="A303" s="15">
        <v>8</v>
      </c>
      <c r="B303" s="46">
        <v>13</v>
      </c>
      <c r="C303" s="45" t="s">
        <v>355</v>
      </c>
      <c r="D303" s="45" t="s">
        <v>356</v>
      </c>
      <c r="E303" s="47" t="s">
        <v>42</v>
      </c>
      <c r="F303" s="47" t="s">
        <v>56</v>
      </c>
      <c r="G303" s="46">
        <v>683760</v>
      </c>
      <c r="H303" s="18" t="s">
        <v>381</v>
      </c>
      <c r="I303" s="26" t="str">
        <f t="shared" si="35"/>
        <v>PAULO</v>
      </c>
      <c r="J303" s="26" t="str">
        <f t="shared" si="36"/>
        <v>8Viana - MA13</v>
      </c>
      <c r="K303" s="27" t="str">
        <f>IFERROR(VLOOKUP(J303,Substituicoes!J:J,1,0),"SS")</f>
        <v>8Viana - MA13</v>
      </c>
      <c r="L303" s="27" t="str">
        <f>IFERROR(VLOOKUP(J303,Substituicoes!K:K,1,0),"SS")</f>
        <v>SS</v>
      </c>
      <c r="M303" s="28" t="b">
        <f t="shared" si="37"/>
        <v>0</v>
      </c>
      <c r="N303" s="29">
        <f>IF(AND(K303=L303,LEFT(E303,1)="T"),VLOOKUP(A303,'JOGOS BASE'!A:E,4,0),IF(K303=J303,VLOOKUP(J303,Substituicoes!J:R,6,0),IF(L303=J303,VLOOKUP(Escalacao!J303,Substituicoes!K:R,7,0),0)))</f>
        <v>0</v>
      </c>
      <c r="O303" s="28">
        <f>IF(AND(K303=L303,LEFT(E303,1)="T"),VLOOKUP(A303,'JOGOS BASE'!A:E,5,0),IF(K303=J303,VLOOKUP(J303,Substituicoes!J:R,7,0),IF(L303=J303,VLOOKUP(Escalacao!J303,Substituicoes!K:R,8,0),0)))</f>
        <v>11</v>
      </c>
      <c r="P303" s="28">
        <f t="shared" si="38"/>
        <v>11</v>
      </c>
      <c r="Q303" s="28" t="str">
        <f t="shared" si="39"/>
        <v>813Viana - MA</v>
      </c>
      <c r="R303" s="28" t="str">
        <f>VLOOKUP(A303,'JOGOS BASE'!A:H,8)</f>
        <v>19.01.2025 - Viana - MA x Sampaio Corrêa - MA</v>
      </c>
    </row>
    <row r="304" spans="1:18" ht="30.6">
      <c r="A304" s="15">
        <v>8</v>
      </c>
      <c r="B304" s="46">
        <v>14</v>
      </c>
      <c r="C304" s="45" t="s">
        <v>350</v>
      </c>
      <c r="D304" s="45" t="s">
        <v>351</v>
      </c>
      <c r="E304" s="47" t="s">
        <v>42</v>
      </c>
      <c r="F304" s="47" t="s">
        <v>24</v>
      </c>
      <c r="G304" s="46">
        <v>628431</v>
      </c>
      <c r="H304" s="18" t="s">
        <v>381</v>
      </c>
      <c r="I304" s="26" t="str">
        <f t="shared" si="35"/>
        <v>Lucas Ramos</v>
      </c>
      <c r="J304" s="26" t="str">
        <f t="shared" si="36"/>
        <v>8Viana - MA14</v>
      </c>
      <c r="K304" s="27" t="str">
        <f>IFERROR(VLOOKUP(J304,Substituicoes!J:J,1,0),"SS")</f>
        <v>8Viana - MA14</v>
      </c>
      <c r="L304" s="27" t="str">
        <f>IFERROR(VLOOKUP(J304,Substituicoes!K:K,1,0),"SS")</f>
        <v>SS</v>
      </c>
      <c r="M304" s="28" t="b">
        <f t="shared" si="37"/>
        <v>0</v>
      </c>
      <c r="N304" s="29">
        <f>IF(AND(K304=L304,LEFT(E304,1)="T"),VLOOKUP(A304,'JOGOS BASE'!A:E,4,0),IF(K304=J304,VLOOKUP(J304,Substituicoes!J:R,6,0),IF(L304=J304,VLOOKUP(Escalacao!J304,Substituicoes!K:R,7,0),0)))</f>
        <v>0</v>
      </c>
      <c r="O304" s="28">
        <f>IF(AND(K304=L304,LEFT(E304,1)="T"),VLOOKUP(A304,'JOGOS BASE'!A:E,5,0),IF(K304=J304,VLOOKUP(J304,Substituicoes!J:R,7,0),IF(L304=J304,VLOOKUP(Escalacao!J304,Substituicoes!K:R,8,0),0)))</f>
        <v>36</v>
      </c>
      <c r="P304" s="28">
        <f t="shared" si="38"/>
        <v>36</v>
      </c>
      <c r="Q304" s="28" t="str">
        <f t="shared" si="39"/>
        <v>814Viana - MA</v>
      </c>
      <c r="R304" s="28" t="str">
        <f>VLOOKUP(A304,'JOGOS BASE'!A:H,8)</f>
        <v>19.01.2025 - Viana - MA x Sampaio Corrêa - MA</v>
      </c>
    </row>
    <row r="305" spans="1:18" ht="30.6">
      <c r="A305" s="15">
        <v>8</v>
      </c>
      <c r="B305" s="46">
        <v>15</v>
      </c>
      <c r="C305" s="45" t="s">
        <v>345</v>
      </c>
      <c r="D305" s="45" t="s">
        <v>346</v>
      </c>
      <c r="E305" s="47" t="s">
        <v>42</v>
      </c>
      <c r="F305" s="47" t="s">
        <v>24</v>
      </c>
      <c r="G305" s="46">
        <v>621098</v>
      </c>
      <c r="H305" s="18" t="s">
        <v>381</v>
      </c>
      <c r="I305" s="26" t="str">
        <f t="shared" si="35"/>
        <v>Leleu</v>
      </c>
      <c r="J305" s="26" t="str">
        <f t="shared" si="36"/>
        <v>8Viana - MA15</v>
      </c>
      <c r="K305" s="27" t="str">
        <f>IFERROR(VLOOKUP(J305,Substituicoes!J:J,1,0),"SS")</f>
        <v>8Viana - MA15</v>
      </c>
      <c r="L305" s="27" t="str">
        <f>IFERROR(VLOOKUP(J305,Substituicoes!K:K,1,0),"SS")</f>
        <v>SS</v>
      </c>
      <c r="M305" s="28" t="b">
        <f t="shared" si="37"/>
        <v>0</v>
      </c>
      <c r="N305" s="29">
        <f>IF(AND(K305=L305,LEFT(E305,1)="T"),VLOOKUP(A305,'JOGOS BASE'!A:E,4,0),IF(K305=J305,VLOOKUP(J305,Substituicoes!J:R,6,0),IF(L305=J305,VLOOKUP(Escalacao!J305,Substituicoes!K:R,7,0),0)))</f>
        <v>0</v>
      </c>
      <c r="O305" s="28">
        <f>IF(AND(K305=L305,LEFT(E305,1)="T"),VLOOKUP(A305,'JOGOS BASE'!A:E,5,0),IF(K305=J305,VLOOKUP(J305,Substituicoes!J:R,7,0),IF(L305=J305,VLOOKUP(Escalacao!J305,Substituicoes!K:R,8,0),0)))</f>
        <v>53</v>
      </c>
      <c r="P305" s="28">
        <f t="shared" si="38"/>
        <v>53</v>
      </c>
      <c r="Q305" s="28" t="str">
        <f t="shared" si="39"/>
        <v>815Viana - MA</v>
      </c>
      <c r="R305" s="28" t="str">
        <f>VLOOKUP(A305,'JOGOS BASE'!A:H,8)</f>
        <v>19.01.2025 - Viana - MA x Sampaio Corrêa - MA</v>
      </c>
    </row>
    <row r="306" spans="1:18" ht="30.6">
      <c r="A306" s="15">
        <v>8</v>
      </c>
      <c r="B306" s="46">
        <v>16</v>
      </c>
      <c r="C306" s="45" t="s">
        <v>614</v>
      </c>
      <c r="D306" s="45" t="s">
        <v>615</v>
      </c>
      <c r="E306" s="47" t="s">
        <v>42</v>
      </c>
      <c r="F306" s="47" t="s">
        <v>24</v>
      </c>
      <c r="G306" s="46">
        <v>894165</v>
      </c>
      <c r="H306" s="18" t="s">
        <v>381</v>
      </c>
      <c r="I306" s="26" t="str">
        <f t="shared" si="35"/>
        <v>MATEUS OLI .</v>
      </c>
      <c r="J306" s="26" t="str">
        <f t="shared" si="36"/>
        <v>8Viana - MA16</v>
      </c>
      <c r="K306" s="27" t="str">
        <f>IFERROR(VLOOKUP(J306,Substituicoes!J:J,1,0),"SS")</f>
        <v>SS</v>
      </c>
      <c r="L306" s="27" t="str">
        <f>IFERROR(VLOOKUP(J306,Substituicoes!K:K,1,0),"SS")</f>
        <v>SS</v>
      </c>
      <c r="M306" s="28" t="b">
        <f t="shared" si="37"/>
        <v>1</v>
      </c>
      <c r="N306" s="29">
        <f>IF(AND(K306=L306,LEFT(E306,1)="T"),VLOOKUP(A306,'JOGOS BASE'!A:E,4,0),IF(K306=J306,VLOOKUP(J306,Substituicoes!J:R,6,0),IF(L306=J306,VLOOKUP(Escalacao!J306,Substituicoes!K:R,7,0),0)))</f>
        <v>0</v>
      </c>
      <c r="O306" s="28">
        <f>IF(AND(K306=L306,LEFT(E306,1)="T"),VLOOKUP(A306,'JOGOS BASE'!A:E,5,0),IF(K306=J306,VLOOKUP(J306,Substituicoes!J:R,7,0),IF(L306=J306,VLOOKUP(Escalacao!J306,Substituicoes!K:R,8,0),0)))</f>
        <v>0</v>
      </c>
      <c r="P306" s="28">
        <f t="shared" si="38"/>
        <v>0</v>
      </c>
      <c r="Q306" s="28" t="str">
        <f t="shared" si="39"/>
        <v>816Viana - MA</v>
      </c>
      <c r="R306" s="28" t="str">
        <f>VLOOKUP(A306,'JOGOS BASE'!A:H,8)</f>
        <v>19.01.2025 - Viana - MA x Sampaio Corrêa - MA</v>
      </c>
    </row>
    <row r="307" spans="1:18" ht="30.6">
      <c r="A307" s="15">
        <v>8</v>
      </c>
      <c r="B307" s="46">
        <v>12</v>
      </c>
      <c r="C307" s="45" t="s">
        <v>78</v>
      </c>
      <c r="D307" s="45" t="s">
        <v>79</v>
      </c>
      <c r="E307" s="47" t="s">
        <v>23</v>
      </c>
      <c r="F307" s="47" t="s">
        <v>24</v>
      </c>
      <c r="G307" s="46">
        <v>387319</v>
      </c>
      <c r="H307" s="18" t="s">
        <v>122</v>
      </c>
      <c r="I307" s="26" t="str">
        <f t="shared" si="35"/>
        <v>Rhuan</v>
      </c>
      <c r="J307" s="26" t="str">
        <f t="shared" si="36"/>
        <v>8Sampaio Corrêa - MA12</v>
      </c>
      <c r="K307" s="27" t="str">
        <f>IFERROR(VLOOKUP(J307,Substituicoes!J:J,1,0),"SS")</f>
        <v>SS</v>
      </c>
      <c r="L307" s="27" t="str">
        <f>IFERROR(VLOOKUP(J307,Substituicoes!K:K,1,0),"SS")</f>
        <v>SS</v>
      </c>
      <c r="M307" s="28" t="b">
        <f t="shared" si="37"/>
        <v>1</v>
      </c>
      <c r="N307" s="29">
        <f>IF(AND(K307=L307,LEFT(E307,1)="T"),VLOOKUP(A307,'JOGOS BASE'!A:E,4,0),IF(K307=J307,VLOOKUP(J307,Substituicoes!J:R,6,0),IF(L307=J307,VLOOKUP(Escalacao!J307,Substituicoes!K:R,7,0),0)))</f>
        <v>50</v>
      </c>
      <c r="O307" s="28">
        <f>IF(AND(K307=L307,LEFT(E307,1)="T"),VLOOKUP(A307,'JOGOS BASE'!A:E,5,0),IF(K307=J307,VLOOKUP(J307,Substituicoes!J:R,7,0),IF(L307=J307,VLOOKUP(Escalacao!J307,Substituicoes!K:R,8,0),0)))</f>
        <v>53</v>
      </c>
      <c r="P307" s="28">
        <f t="shared" si="38"/>
        <v>103</v>
      </c>
      <c r="Q307" s="28" t="str">
        <f t="shared" si="39"/>
        <v>812Sampaio Corrêa - MA</v>
      </c>
      <c r="R307" s="28" t="str">
        <f>VLOOKUP(A307,'JOGOS BASE'!A:H,8)</f>
        <v>19.01.2025 - Viana - MA x Sampaio Corrêa - MA</v>
      </c>
    </row>
    <row r="308" spans="1:18" ht="30.6">
      <c r="A308" s="15">
        <v>8</v>
      </c>
      <c r="B308" s="46">
        <v>2</v>
      </c>
      <c r="C308" s="45" t="s">
        <v>82</v>
      </c>
      <c r="D308" s="45" t="s">
        <v>83</v>
      </c>
      <c r="E308" s="47" t="s">
        <v>26</v>
      </c>
      <c r="F308" s="47" t="s">
        <v>24</v>
      </c>
      <c r="G308" s="46">
        <v>552526</v>
      </c>
      <c r="H308" s="18" t="s">
        <v>122</v>
      </c>
      <c r="I308" s="26" t="str">
        <f t="shared" si="35"/>
        <v>Ray</v>
      </c>
      <c r="J308" s="26" t="str">
        <f t="shared" si="36"/>
        <v>8Sampaio Corrêa - MA2</v>
      </c>
      <c r="K308" s="27" t="str">
        <f>IFERROR(VLOOKUP(J308,Substituicoes!J:J,1,0),"SS")</f>
        <v>SS</v>
      </c>
      <c r="L308" s="27" t="str">
        <f>IFERROR(VLOOKUP(J308,Substituicoes!K:K,1,0),"SS")</f>
        <v>SS</v>
      </c>
      <c r="M308" s="28" t="b">
        <f t="shared" si="37"/>
        <v>1</v>
      </c>
      <c r="N308" s="29">
        <f>IF(AND(K308=L308,LEFT(E308,1)="T"),VLOOKUP(A308,'JOGOS BASE'!A:E,4,0),IF(K308=J308,VLOOKUP(J308,Substituicoes!J:R,6,0),IF(L308=J308,VLOOKUP(Escalacao!J308,Substituicoes!K:R,7,0),0)))</f>
        <v>50</v>
      </c>
      <c r="O308" s="28">
        <f>IF(AND(K308=L308,LEFT(E308,1)="T"),VLOOKUP(A308,'JOGOS BASE'!A:E,5,0),IF(K308=J308,VLOOKUP(J308,Substituicoes!J:R,7,0),IF(L308=J308,VLOOKUP(Escalacao!J308,Substituicoes!K:R,8,0),0)))</f>
        <v>53</v>
      </c>
      <c r="P308" s="28">
        <f t="shared" si="38"/>
        <v>103</v>
      </c>
      <c r="Q308" s="28" t="str">
        <f t="shared" si="39"/>
        <v>82Sampaio Corrêa - MA</v>
      </c>
      <c r="R308" s="28" t="str">
        <f>VLOOKUP(A308,'JOGOS BASE'!A:H,8)</f>
        <v>19.01.2025 - Viana - MA x Sampaio Corrêa - MA</v>
      </c>
    </row>
    <row r="309" spans="1:18" ht="30.6">
      <c r="A309" s="15">
        <v>8</v>
      </c>
      <c r="B309" s="46">
        <v>3</v>
      </c>
      <c r="C309" s="45" t="s">
        <v>13</v>
      </c>
      <c r="D309" s="45" t="s">
        <v>63</v>
      </c>
      <c r="E309" s="47" t="s">
        <v>26</v>
      </c>
      <c r="F309" s="47" t="s">
        <v>24</v>
      </c>
      <c r="G309" s="46">
        <v>657429</v>
      </c>
      <c r="H309" s="18" t="s">
        <v>122</v>
      </c>
      <c r="I309" s="26" t="str">
        <f t="shared" si="35"/>
        <v>Eduardo</v>
      </c>
      <c r="J309" s="26" t="str">
        <f t="shared" si="36"/>
        <v>8Sampaio Corrêa - MA3</v>
      </c>
      <c r="K309" s="27" t="str">
        <f>IFERROR(VLOOKUP(J309,Substituicoes!J:J,1,0),"SS")</f>
        <v>SS</v>
      </c>
      <c r="L309" s="27" t="str">
        <f>IFERROR(VLOOKUP(J309,Substituicoes!K:K,1,0),"SS")</f>
        <v>SS</v>
      </c>
      <c r="M309" s="28" t="b">
        <f t="shared" si="37"/>
        <v>1</v>
      </c>
      <c r="N309" s="29">
        <f>IF(AND(K309=L309,LEFT(E309,1)="T"),VLOOKUP(A309,'JOGOS BASE'!A:E,4,0),IF(K309=J309,VLOOKUP(J309,Substituicoes!J:R,6,0),IF(L309=J309,VLOOKUP(Escalacao!J309,Substituicoes!K:R,7,0),0)))</f>
        <v>50</v>
      </c>
      <c r="O309" s="28">
        <f>IF(AND(K309=L309,LEFT(E309,1)="T"),VLOOKUP(A309,'JOGOS BASE'!A:E,5,0),IF(K309=J309,VLOOKUP(J309,Substituicoes!J:R,7,0),IF(L309=J309,VLOOKUP(Escalacao!J309,Substituicoes!K:R,8,0),0)))</f>
        <v>53</v>
      </c>
      <c r="P309" s="28">
        <f t="shared" si="38"/>
        <v>103</v>
      </c>
      <c r="Q309" s="28" t="str">
        <f t="shared" si="39"/>
        <v>83Sampaio Corrêa - MA</v>
      </c>
      <c r="R309" s="28" t="str">
        <f>VLOOKUP(A309,'JOGOS BASE'!A:H,8)</f>
        <v>19.01.2025 - Viana - MA x Sampaio Corrêa - MA</v>
      </c>
    </row>
    <row r="310" spans="1:18" ht="30.6">
      <c r="A310" s="15">
        <v>8</v>
      </c>
      <c r="B310" s="46">
        <v>4</v>
      </c>
      <c r="C310" s="45" t="s">
        <v>80</v>
      </c>
      <c r="D310" s="45" t="s">
        <v>81</v>
      </c>
      <c r="E310" s="47" t="s">
        <v>26</v>
      </c>
      <c r="F310" s="47" t="s">
        <v>24</v>
      </c>
      <c r="G310" s="46">
        <v>590518</v>
      </c>
      <c r="H310" s="18" t="s">
        <v>122</v>
      </c>
      <c r="I310" s="26" t="str">
        <f t="shared" si="35"/>
        <v>GALVÃO</v>
      </c>
      <c r="J310" s="26" t="str">
        <f t="shared" si="36"/>
        <v>8Sampaio Corrêa - MA4</v>
      </c>
      <c r="K310" s="27" t="str">
        <f>IFERROR(VLOOKUP(J310,Substituicoes!J:J,1,0),"SS")</f>
        <v>SS</v>
      </c>
      <c r="L310" s="27" t="str">
        <f>IFERROR(VLOOKUP(J310,Substituicoes!K:K,1,0),"SS")</f>
        <v>SS</v>
      </c>
      <c r="M310" s="28" t="b">
        <f t="shared" si="37"/>
        <v>1</v>
      </c>
      <c r="N310" s="29">
        <f>IF(AND(K310=L310,LEFT(E310,1)="T"),VLOOKUP(A310,'JOGOS BASE'!A:E,4,0),IF(K310=J310,VLOOKUP(J310,Substituicoes!J:R,6,0),IF(L310=J310,VLOOKUP(Escalacao!J310,Substituicoes!K:R,7,0),0)))</f>
        <v>50</v>
      </c>
      <c r="O310" s="28">
        <f>IF(AND(K310=L310,LEFT(E310,1)="T"),VLOOKUP(A310,'JOGOS BASE'!A:E,5,0),IF(K310=J310,VLOOKUP(J310,Substituicoes!J:R,7,0),IF(L310=J310,VLOOKUP(Escalacao!J310,Substituicoes!K:R,8,0),0)))</f>
        <v>53</v>
      </c>
      <c r="P310" s="28">
        <f t="shared" si="38"/>
        <v>103</v>
      </c>
      <c r="Q310" s="28" t="str">
        <f t="shared" si="39"/>
        <v>84Sampaio Corrêa - MA</v>
      </c>
      <c r="R310" s="28" t="str">
        <f>VLOOKUP(A310,'JOGOS BASE'!A:H,8)</f>
        <v>19.01.2025 - Viana - MA x Sampaio Corrêa - MA</v>
      </c>
    </row>
    <row r="311" spans="1:18" ht="30.6">
      <c r="A311" s="15">
        <v>8</v>
      </c>
      <c r="B311" s="46">
        <v>5</v>
      </c>
      <c r="C311" s="45" t="s">
        <v>94</v>
      </c>
      <c r="D311" s="45" t="s">
        <v>95</v>
      </c>
      <c r="E311" s="47" t="s">
        <v>26</v>
      </c>
      <c r="F311" s="47" t="s">
        <v>24</v>
      </c>
      <c r="G311" s="46">
        <v>757475</v>
      </c>
      <c r="H311" s="18" t="s">
        <v>122</v>
      </c>
      <c r="I311" s="26" t="str">
        <f t="shared" si="35"/>
        <v>JARDSON</v>
      </c>
      <c r="J311" s="26" t="str">
        <f t="shared" si="36"/>
        <v>8Sampaio Corrêa - MA5</v>
      </c>
      <c r="K311" s="27" t="str">
        <f>IFERROR(VLOOKUP(J311,Substituicoes!J:J,1,0),"SS")</f>
        <v>SS</v>
      </c>
      <c r="L311" s="27" t="str">
        <f>IFERROR(VLOOKUP(J311,Substituicoes!K:K,1,0),"SS")</f>
        <v>8Sampaio Corrêa - MA5</v>
      </c>
      <c r="M311" s="28" t="b">
        <f t="shared" si="37"/>
        <v>0</v>
      </c>
      <c r="N311" s="29">
        <f>IF(AND(K311=L311,LEFT(E311,1)="T"),VLOOKUP(A311,'JOGOS BASE'!A:E,4,0),IF(K311=J311,VLOOKUP(J311,Substituicoes!J:R,6,0),IF(L311=J311,VLOOKUP(Escalacao!J311,Substituicoes!K:R,7,0),0)))</f>
        <v>50</v>
      </c>
      <c r="O311" s="28">
        <f>IF(AND(K311=L311,LEFT(E311,1)="T"),VLOOKUP(A311,'JOGOS BASE'!A:E,5,0),IF(K311=J311,VLOOKUP(J311,Substituicoes!J:R,7,0),IF(L311=J311,VLOOKUP(Escalacao!J311,Substituicoes!K:R,8,0),0)))</f>
        <v>14</v>
      </c>
      <c r="P311" s="28">
        <f t="shared" si="38"/>
        <v>64</v>
      </c>
      <c r="Q311" s="28" t="str">
        <f t="shared" si="39"/>
        <v>85Sampaio Corrêa - MA</v>
      </c>
      <c r="R311" s="28" t="str">
        <f>VLOOKUP(A311,'JOGOS BASE'!A:H,8)</f>
        <v>19.01.2025 - Viana - MA x Sampaio Corrêa - MA</v>
      </c>
    </row>
    <row r="312" spans="1:18" ht="30.6">
      <c r="A312" s="15">
        <v>8</v>
      </c>
      <c r="B312" s="46">
        <v>6</v>
      </c>
      <c r="C312" s="45" t="s">
        <v>478</v>
      </c>
      <c r="D312" s="45" t="s">
        <v>479</v>
      </c>
      <c r="E312" s="47" t="s">
        <v>26</v>
      </c>
      <c r="F312" s="47" t="s">
        <v>24</v>
      </c>
      <c r="G312" s="46">
        <v>636795</v>
      </c>
      <c r="H312" s="18" t="s">
        <v>122</v>
      </c>
      <c r="I312" s="26" t="str">
        <f t="shared" si="35"/>
        <v>Elivelton</v>
      </c>
      <c r="J312" s="26" t="str">
        <f t="shared" si="36"/>
        <v>8Sampaio Corrêa - MA6</v>
      </c>
      <c r="K312" s="27" t="str">
        <f>IFERROR(VLOOKUP(J312,Substituicoes!J:J,1,0),"SS")</f>
        <v>SS</v>
      </c>
      <c r="L312" s="27" t="str">
        <f>IFERROR(VLOOKUP(J312,Substituicoes!K:K,1,0),"SS")</f>
        <v>SS</v>
      </c>
      <c r="M312" s="28" t="b">
        <f t="shared" si="37"/>
        <v>1</v>
      </c>
      <c r="N312" s="29">
        <f>IF(AND(K312=L312,LEFT(E312,1)="T"),VLOOKUP(A312,'JOGOS BASE'!A:E,4,0),IF(K312=J312,VLOOKUP(J312,Substituicoes!J:R,6,0),IF(L312=J312,VLOOKUP(Escalacao!J312,Substituicoes!K:R,7,0),0)))</f>
        <v>50</v>
      </c>
      <c r="O312" s="28">
        <f>IF(AND(K312=L312,LEFT(E312,1)="T"),VLOOKUP(A312,'JOGOS BASE'!A:E,5,0),IF(K312=J312,VLOOKUP(J312,Substituicoes!J:R,7,0),IF(L312=J312,VLOOKUP(Escalacao!J312,Substituicoes!K:R,8,0),0)))</f>
        <v>53</v>
      </c>
      <c r="P312" s="28">
        <f t="shared" si="38"/>
        <v>103</v>
      </c>
      <c r="Q312" s="28" t="str">
        <f t="shared" si="39"/>
        <v>86Sampaio Corrêa - MA</v>
      </c>
      <c r="R312" s="28" t="str">
        <f>VLOOKUP(A312,'JOGOS BASE'!A:H,8)</f>
        <v>19.01.2025 - Viana - MA x Sampaio Corrêa - MA</v>
      </c>
    </row>
    <row r="313" spans="1:18" ht="30.6">
      <c r="A313" s="15">
        <v>8</v>
      </c>
      <c r="B313" s="46">
        <v>7</v>
      </c>
      <c r="C313" s="45" t="s">
        <v>482</v>
      </c>
      <c r="D313" s="45" t="s">
        <v>483</v>
      </c>
      <c r="E313" s="47" t="s">
        <v>26</v>
      </c>
      <c r="F313" s="47" t="s">
        <v>24</v>
      </c>
      <c r="G313" s="46">
        <v>614561</v>
      </c>
      <c r="H313" s="18" t="s">
        <v>122</v>
      </c>
      <c r="I313" s="26" t="str">
        <f t="shared" si="35"/>
        <v>Dodô</v>
      </c>
      <c r="J313" s="26" t="str">
        <f t="shared" si="36"/>
        <v>8Sampaio Corrêa - MA7</v>
      </c>
      <c r="K313" s="27" t="str">
        <f>IFERROR(VLOOKUP(J313,Substituicoes!J:J,1,0),"SS")</f>
        <v>SS</v>
      </c>
      <c r="L313" s="27" t="str">
        <f>IFERROR(VLOOKUP(J313,Substituicoes!K:K,1,0),"SS")</f>
        <v>8Sampaio Corrêa - MA7</v>
      </c>
      <c r="M313" s="28" t="b">
        <f t="shared" si="37"/>
        <v>0</v>
      </c>
      <c r="N313" s="29">
        <f>IF(AND(K313=L313,LEFT(E313,1)="T"),VLOOKUP(A313,'JOGOS BASE'!A:E,4,0),IF(K313=J313,VLOOKUP(J313,Substituicoes!J:R,6,0),IF(L313=J313,VLOOKUP(Escalacao!J313,Substituicoes!K:R,7,0),0)))</f>
        <v>50</v>
      </c>
      <c r="O313" s="28">
        <f>IF(AND(K313=L313,LEFT(E313,1)="T"),VLOOKUP(A313,'JOGOS BASE'!A:E,5,0),IF(K313=J313,VLOOKUP(J313,Substituicoes!J:R,7,0),IF(L313=J313,VLOOKUP(Escalacao!J313,Substituicoes!K:R,8,0),0)))</f>
        <v>30</v>
      </c>
      <c r="P313" s="28">
        <f t="shared" si="38"/>
        <v>80</v>
      </c>
      <c r="Q313" s="28" t="str">
        <f t="shared" si="39"/>
        <v>87Sampaio Corrêa - MA</v>
      </c>
      <c r="R313" s="28" t="str">
        <f>VLOOKUP(A313,'JOGOS BASE'!A:H,8)</f>
        <v>19.01.2025 - Viana - MA x Sampaio Corrêa - MA</v>
      </c>
    </row>
    <row r="314" spans="1:18" ht="30.6">
      <c r="A314" s="15">
        <v>8</v>
      </c>
      <c r="B314" s="46">
        <v>8</v>
      </c>
      <c r="C314" s="45" t="s">
        <v>84</v>
      </c>
      <c r="D314" s="45" t="s">
        <v>85</v>
      </c>
      <c r="E314" s="47" t="s">
        <v>26</v>
      </c>
      <c r="F314" s="47" t="s">
        <v>24</v>
      </c>
      <c r="G314" s="46">
        <v>523681</v>
      </c>
      <c r="H314" s="18" t="s">
        <v>122</v>
      </c>
      <c r="I314" s="26" t="str">
        <f t="shared" si="35"/>
        <v>Jairzinho</v>
      </c>
      <c r="J314" s="26" t="str">
        <f t="shared" si="36"/>
        <v>8Sampaio Corrêa - MA8</v>
      </c>
      <c r="K314" s="27" t="str">
        <f>IFERROR(VLOOKUP(J314,Substituicoes!J:J,1,0),"SS")</f>
        <v>SS</v>
      </c>
      <c r="L314" s="27" t="str">
        <f>IFERROR(VLOOKUP(J314,Substituicoes!K:K,1,0),"SS")</f>
        <v>8Sampaio Corrêa - MA8</v>
      </c>
      <c r="M314" s="28" t="b">
        <f t="shared" si="37"/>
        <v>0</v>
      </c>
      <c r="N314" s="29">
        <f>IF(AND(K314=L314,LEFT(E314,1)="T"),VLOOKUP(A314,'JOGOS BASE'!A:E,4,0),IF(K314=J314,VLOOKUP(J314,Substituicoes!J:R,6,0),IF(L314=J314,VLOOKUP(Escalacao!J314,Substituicoes!K:R,7,0),0)))</f>
        <v>50</v>
      </c>
      <c r="O314" s="28">
        <f>IF(AND(K314=L314,LEFT(E314,1)="T"),VLOOKUP(A314,'JOGOS BASE'!A:E,5,0),IF(K314=J314,VLOOKUP(J314,Substituicoes!J:R,7,0),IF(L314=J314,VLOOKUP(Escalacao!J314,Substituicoes!K:R,8,0),0)))</f>
        <v>21</v>
      </c>
      <c r="P314" s="28">
        <f t="shared" si="38"/>
        <v>71</v>
      </c>
      <c r="Q314" s="28" t="str">
        <f t="shared" si="39"/>
        <v>88Sampaio Corrêa - MA</v>
      </c>
      <c r="R314" s="28" t="str">
        <f>VLOOKUP(A314,'JOGOS BASE'!A:H,8)</f>
        <v>19.01.2025 - Viana - MA x Sampaio Corrêa - MA</v>
      </c>
    </row>
    <row r="315" spans="1:18" ht="30.6">
      <c r="A315" s="15">
        <v>8</v>
      </c>
      <c r="B315" s="46">
        <v>9</v>
      </c>
      <c r="C315" s="45" t="s">
        <v>88</v>
      </c>
      <c r="D315" s="45" t="s">
        <v>89</v>
      </c>
      <c r="E315" s="47" t="s">
        <v>26</v>
      </c>
      <c r="F315" s="47" t="s">
        <v>24</v>
      </c>
      <c r="G315" s="46">
        <v>673834</v>
      </c>
      <c r="H315" s="18" t="s">
        <v>122</v>
      </c>
      <c r="I315" s="26" t="str">
        <f t="shared" si="35"/>
        <v>L7</v>
      </c>
      <c r="J315" s="26" t="str">
        <f t="shared" si="36"/>
        <v>8Sampaio Corrêa - MA9</v>
      </c>
      <c r="K315" s="27" t="str">
        <f>IFERROR(VLOOKUP(J315,Substituicoes!J:J,1,0),"SS")</f>
        <v>SS</v>
      </c>
      <c r="L315" s="27" t="str">
        <f>IFERROR(VLOOKUP(J315,Substituicoes!K:K,1,0),"SS")</f>
        <v>8Sampaio Corrêa - MA9</v>
      </c>
      <c r="M315" s="28" t="b">
        <f t="shared" si="37"/>
        <v>0</v>
      </c>
      <c r="N315" s="29">
        <f>IF(AND(K315=L315,LEFT(E315,1)="T"),VLOOKUP(A315,'JOGOS BASE'!A:E,4,0),IF(K315=J315,VLOOKUP(J315,Substituicoes!J:R,6,0),IF(L315=J315,VLOOKUP(Escalacao!J315,Substituicoes!K:R,7,0),0)))</f>
        <v>50</v>
      </c>
      <c r="O315" s="28">
        <f>IF(AND(K315=L315,LEFT(E315,1)="T"),VLOOKUP(A315,'JOGOS BASE'!A:E,5,0),IF(K315=J315,VLOOKUP(J315,Substituicoes!J:R,7,0),IF(L315=J315,VLOOKUP(Escalacao!J315,Substituicoes!K:R,8,0),0)))</f>
        <v>0</v>
      </c>
      <c r="P315" s="28">
        <f t="shared" si="38"/>
        <v>50</v>
      </c>
      <c r="Q315" s="28" t="str">
        <f t="shared" si="39"/>
        <v>89Sampaio Corrêa - MA</v>
      </c>
      <c r="R315" s="28" t="str">
        <f>VLOOKUP(A315,'JOGOS BASE'!A:H,8)</f>
        <v>19.01.2025 - Viana - MA x Sampaio Corrêa - MA</v>
      </c>
    </row>
    <row r="316" spans="1:18" ht="30.6">
      <c r="A316" s="15">
        <v>8</v>
      </c>
      <c r="B316" s="46">
        <v>11</v>
      </c>
      <c r="C316" s="45" t="s">
        <v>76</v>
      </c>
      <c r="D316" s="45" t="s">
        <v>77</v>
      </c>
      <c r="E316" s="47" t="s">
        <v>26</v>
      </c>
      <c r="F316" s="47" t="s">
        <v>24</v>
      </c>
      <c r="G316" s="46">
        <v>612220</v>
      </c>
      <c r="H316" s="18" t="s">
        <v>122</v>
      </c>
      <c r="I316" s="26" t="str">
        <f t="shared" si="35"/>
        <v>Wendell</v>
      </c>
      <c r="J316" s="26" t="str">
        <f t="shared" si="36"/>
        <v>8Sampaio Corrêa - MA11</v>
      </c>
      <c r="K316" s="27" t="str">
        <f>IFERROR(VLOOKUP(J316,Substituicoes!J:J,1,0),"SS")</f>
        <v>SS</v>
      </c>
      <c r="L316" s="27" t="str">
        <f>IFERROR(VLOOKUP(J316,Substituicoes!K:K,1,0),"SS")</f>
        <v>8Sampaio Corrêa - MA11</v>
      </c>
      <c r="M316" s="28" t="b">
        <f t="shared" si="37"/>
        <v>0</v>
      </c>
      <c r="N316" s="29">
        <f>IF(AND(K316=L316,LEFT(E316,1)="T"),VLOOKUP(A316,'JOGOS BASE'!A:E,4,0),IF(K316=J316,VLOOKUP(J316,Substituicoes!J:R,6,0),IF(L316=J316,VLOOKUP(Escalacao!J316,Substituicoes!K:R,7,0),0)))</f>
        <v>50</v>
      </c>
      <c r="O316" s="28">
        <f>IF(AND(K316=L316,LEFT(E316,1)="T"),VLOOKUP(A316,'JOGOS BASE'!A:E,5,0),IF(K316=J316,VLOOKUP(J316,Substituicoes!J:R,7,0),IF(L316=J316,VLOOKUP(Escalacao!J316,Substituicoes!K:R,8,0),0)))</f>
        <v>0</v>
      </c>
      <c r="P316" s="28">
        <f t="shared" si="38"/>
        <v>50</v>
      </c>
      <c r="Q316" s="28" t="str">
        <f t="shared" si="39"/>
        <v>811Sampaio Corrêa - MA</v>
      </c>
      <c r="R316" s="28" t="str">
        <f>VLOOKUP(A316,'JOGOS BASE'!A:H,8)</f>
        <v>19.01.2025 - Viana - MA x Sampaio Corrêa - MA</v>
      </c>
    </row>
    <row r="317" spans="1:18" ht="30.6">
      <c r="A317" s="15">
        <v>8</v>
      </c>
      <c r="B317" s="46">
        <v>18</v>
      </c>
      <c r="C317" s="45" t="s">
        <v>90</v>
      </c>
      <c r="D317" s="45" t="s">
        <v>91</v>
      </c>
      <c r="E317" s="47" t="s">
        <v>26</v>
      </c>
      <c r="F317" s="47" t="s">
        <v>24</v>
      </c>
      <c r="G317" s="46">
        <v>335977</v>
      </c>
      <c r="H317" s="18" t="s">
        <v>122</v>
      </c>
      <c r="I317" s="26" t="str">
        <f t="shared" si="35"/>
        <v>Bruno Matos</v>
      </c>
      <c r="J317" s="26" t="str">
        <f t="shared" si="36"/>
        <v>8Sampaio Corrêa - MA18</v>
      </c>
      <c r="K317" s="27" t="str">
        <f>IFERROR(VLOOKUP(J317,Substituicoes!J:J,1,0),"SS")</f>
        <v>SS</v>
      </c>
      <c r="L317" s="27" t="str">
        <f>IFERROR(VLOOKUP(J317,Substituicoes!K:K,1,0),"SS")</f>
        <v>SS</v>
      </c>
      <c r="M317" s="28" t="b">
        <f t="shared" si="37"/>
        <v>1</v>
      </c>
      <c r="N317" s="29">
        <f>IF(AND(K317=L317,LEFT(E317,1)="T"),VLOOKUP(A317,'JOGOS BASE'!A:E,4,0),IF(K317=J317,VLOOKUP(J317,Substituicoes!J:R,6,0),IF(L317=J317,VLOOKUP(Escalacao!J317,Substituicoes!K:R,7,0),0)))</f>
        <v>50</v>
      </c>
      <c r="O317" s="28">
        <f>IF(AND(K317=L317,LEFT(E317,1)="T"),VLOOKUP(A317,'JOGOS BASE'!A:E,5,0),IF(K317=J317,VLOOKUP(J317,Substituicoes!J:R,7,0),IF(L317=J317,VLOOKUP(Escalacao!J317,Substituicoes!K:R,8,0),0)))</f>
        <v>53</v>
      </c>
      <c r="P317" s="28">
        <f t="shared" si="38"/>
        <v>103</v>
      </c>
      <c r="Q317" s="28" t="str">
        <f t="shared" si="39"/>
        <v>818Sampaio Corrêa - MA</v>
      </c>
      <c r="R317" s="28" t="str">
        <f>VLOOKUP(A317,'JOGOS BASE'!A:H,8)</f>
        <v>19.01.2025 - Viana - MA x Sampaio Corrêa - MA</v>
      </c>
    </row>
    <row r="318" spans="1:18" ht="30.6">
      <c r="A318" s="15">
        <v>8</v>
      </c>
      <c r="B318" s="46">
        <v>1</v>
      </c>
      <c r="C318" s="45" t="s">
        <v>59</v>
      </c>
      <c r="D318" s="45" t="s">
        <v>60</v>
      </c>
      <c r="E318" s="47" t="s">
        <v>40</v>
      </c>
      <c r="F318" s="47" t="s">
        <v>24</v>
      </c>
      <c r="G318" s="46">
        <v>639922</v>
      </c>
      <c r="H318" s="18" t="s">
        <v>122</v>
      </c>
      <c r="I318" s="26" t="str">
        <f t="shared" si="35"/>
        <v>ALAN</v>
      </c>
      <c r="J318" s="26" t="str">
        <f t="shared" si="36"/>
        <v>8Sampaio Corrêa - MA1</v>
      </c>
      <c r="K318" s="27" t="str">
        <f>IFERROR(VLOOKUP(J318,Substituicoes!J:J,1,0),"SS")</f>
        <v>SS</v>
      </c>
      <c r="L318" s="27" t="str">
        <f>IFERROR(VLOOKUP(J318,Substituicoes!K:K,1,0),"SS")</f>
        <v>SS</v>
      </c>
      <c r="M318" s="28" t="b">
        <f t="shared" si="37"/>
        <v>1</v>
      </c>
      <c r="N318" s="29">
        <f>IF(AND(K318=L318,LEFT(E318,1)="T"),VLOOKUP(A318,'JOGOS BASE'!A:E,4,0),IF(K318=J318,VLOOKUP(J318,Substituicoes!J:R,6,0),IF(L318=J318,VLOOKUP(Escalacao!J318,Substituicoes!K:R,7,0),0)))</f>
        <v>0</v>
      </c>
      <c r="O318" s="28">
        <f>IF(AND(K318=L318,LEFT(E318,1)="T"),VLOOKUP(A318,'JOGOS BASE'!A:E,5,0),IF(K318=J318,VLOOKUP(J318,Substituicoes!J:R,7,0),IF(L318=J318,VLOOKUP(Escalacao!J318,Substituicoes!K:R,8,0),0)))</f>
        <v>0</v>
      </c>
      <c r="P318" s="28">
        <f t="shared" si="38"/>
        <v>0</v>
      </c>
      <c r="Q318" s="28" t="str">
        <f t="shared" si="39"/>
        <v>81Sampaio Corrêa - MA</v>
      </c>
      <c r="R318" s="28" t="str">
        <f>VLOOKUP(A318,'JOGOS BASE'!A:H,8)</f>
        <v>19.01.2025 - Viana - MA x Sampaio Corrêa - MA</v>
      </c>
    </row>
    <row r="319" spans="1:18" ht="30.6">
      <c r="A319" s="15">
        <v>8</v>
      </c>
      <c r="B319" s="46">
        <v>10</v>
      </c>
      <c r="C319" s="45" t="s">
        <v>74</v>
      </c>
      <c r="D319" s="45" t="s">
        <v>75</v>
      </c>
      <c r="E319" s="47" t="s">
        <v>42</v>
      </c>
      <c r="F319" s="47" t="s">
        <v>24</v>
      </c>
      <c r="G319" s="46">
        <v>668800</v>
      </c>
      <c r="H319" s="18" t="s">
        <v>122</v>
      </c>
      <c r="I319" s="26" t="str">
        <f t="shared" si="35"/>
        <v>STENCE</v>
      </c>
      <c r="J319" s="26" t="str">
        <f t="shared" si="36"/>
        <v>8Sampaio Corrêa - MA10</v>
      </c>
      <c r="K319" s="27" t="str">
        <f>IFERROR(VLOOKUP(J319,Substituicoes!J:J,1,0),"SS")</f>
        <v>8Sampaio Corrêa - MA10</v>
      </c>
      <c r="L319" s="27" t="str">
        <f>IFERROR(VLOOKUP(J319,Substituicoes!K:K,1,0),"SS")</f>
        <v>SS</v>
      </c>
      <c r="M319" s="28" t="b">
        <f t="shared" si="37"/>
        <v>0</v>
      </c>
      <c r="N319" s="29">
        <f>IF(AND(K319=L319,LEFT(E319,1)="T"),VLOOKUP(A319,'JOGOS BASE'!A:E,4,0),IF(K319=J319,VLOOKUP(J319,Substituicoes!J:R,6,0),IF(L319=J319,VLOOKUP(Escalacao!J319,Substituicoes!K:R,7,0),0)))</f>
        <v>0</v>
      </c>
      <c r="O319" s="28">
        <f>IF(AND(K319=L319,LEFT(E319,1)="T"),VLOOKUP(A319,'JOGOS BASE'!A:E,5,0),IF(K319=J319,VLOOKUP(J319,Substituicoes!J:R,7,0),IF(L319=J319,VLOOKUP(Escalacao!J319,Substituicoes!K:R,8,0),0)))</f>
        <v>39</v>
      </c>
      <c r="P319" s="28">
        <f t="shared" si="38"/>
        <v>39</v>
      </c>
      <c r="Q319" s="28" t="str">
        <f t="shared" si="39"/>
        <v>810Sampaio Corrêa - MA</v>
      </c>
      <c r="R319" s="28" t="str">
        <f>VLOOKUP(A319,'JOGOS BASE'!A:H,8)</f>
        <v>19.01.2025 - Viana - MA x Sampaio Corrêa - MA</v>
      </c>
    </row>
    <row r="320" spans="1:18" ht="30.6">
      <c r="A320" s="15">
        <v>8</v>
      </c>
      <c r="B320" s="46">
        <v>13</v>
      </c>
      <c r="C320" s="45" t="s">
        <v>12</v>
      </c>
      <c r="D320" s="45" t="s">
        <v>616</v>
      </c>
      <c r="E320" s="47" t="s">
        <v>42</v>
      </c>
      <c r="F320" s="47" t="s">
        <v>24</v>
      </c>
      <c r="G320" s="46">
        <v>748842</v>
      </c>
      <c r="H320" s="18" t="s">
        <v>122</v>
      </c>
      <c r="I320" s="26" t="str">
        <f t="shared" si="35"/>
        <v>Ruan</v>
      </c>
      <c r="J320" s="26" t="str">
        <f t="shared" si="36"/>
        <v>8Sampaio Corrêa - MA13</v>
      </c>
      <c r="K320" s="27" t="str">
        <f>IFERROR(VLOOKUP(J320,Substituicoes!J:J,1,0),"SS")</f>
        <v>SS</v>
      </c>
      <c r="L320" s="27" t="str">
        <f>IFERROR(VLOOKUP(J320,Substituicoes!K:K,1,0),"SS")</f>
        <v>SS</v>
      </c>
      <c r="M320" s="28" t="b">
        <f t="shared" si="37"/>
        <v>1</v>
      </c>
      <c r="N320" s="29">
        <f>IF(AND(K320=L320,LEFT(E320,1)="T"),VLOOKUP(A320,'JOGOS BASE'!A:E,4,0),IF(K320=J320,VLOOKUP(J320,Substituicoes!J:R,6,0),IF(L320=J320,VLOOKUP(Escalacao!J320,Substituicoes!K:R,7,0),0)))</f>
        <v>0</v>
      </c>
      <c r="O320" s="28">
        <f>IF(AND(K320=L320,LEFT(E320,1)="T"),VLOOKUP(A320,'JOGOS BASE'!A:E,5,0),IF(K320=J320,VLOOKUP(J320,Substituicoes!J:R,7,0),IF(L320=J320,VLOOKUP(Escalacao!J320,Substituicoes!K:R,8,0),0)))</f>
        <v>0</v>
      </c>
      <c r="P320" s="28">
        <f t="shared" si="38"/>
        <v>0</v>
      </c>
      <c r="Q320" s="28" t="str">
        <f t="shared" si="39"/>
        <v>813Sampaio Corrêa - MA</v>
      </c>
      <c r="R320" s="28" t="str">
        <f>VLOOKUP(A320,'JOGOS BASE'!A:H,8)</f>
        <v>19.01.2025 - Viana - MA x Sampaio Corrêa - MA</v>
      </c>
    </row>
    <row r="321" spans="1:18" ht="30.6">
      <c r="A321" s="15">
        <v>8</v>
      </c>
      <c r="B321" s="46">
        <v>14</v>
      </c>
      <c r="C321" s="45" t="s">
        <v>86</v>
      </c>
      <c r="D321" s="45" t="s">
        <v>87</v>
      </c>
      <c r="E321" s="47" t="s">
        <v>42</v>
      </c>
      <c r="F321" s="47" t="s">
        <v>24</v>
      </c>
      <c r="G321" s="46">
        <v>709331</v>
      </c>
      <c r="H321" s="18" t="s">
        <v>122</v>
      </c>
      <c r="I321" s="26" t="str">
        <f t="shared" si="35"/>
        <v>Dimas</v>
      </c>
      <c r="J321" s="26" t="str">
        <f t="shared" si="36"/>
        <v>8Sampaio Corrêa - MA14</v>
      </c>
      <c r="K321" s="27" t="str">
        <f>IFERROR(VLOOKUP(J321,Substituicoes!J:J,1,0),"SS")</f>
        <v>SS</v>
      </c>
      <c r="L321" s="27" t="str">
        <f>IFERROR(VLOOKUP(J321,Substituicoes!K:K,1,0),"SS")</f>
        <v>SS</v>
      </c>
      <c r="M321" s="28" t="b">
        <f t="shared" si="37"/>
        <v>1</v>
      </c>
      <c r="N321" s="29">
        <f>IF(AND(K321=L321,LEFT(E321,1)="T"),VLOOKUP(A321,'JOGOS BASE'!A:E,4,0),IF(K321=J321,VLOOKUP(J321,Substituicoes!J:R,6,0),IF(L321=J321,VLOOKUP(Escalacao!J321,Substituicoes!K:R,7,0),0)))</f>
        <v>0</v>
      </c>
      <c r="O321" s="28">
        <f>IF(AND(K321=L321,LEFT(E321,1)="T"),VLOOKUP(A321,'JOGOS BASE'!A:E,5,0),IF(K321=J321,VLOOKUP(J321,Substituicoes!J:R,7,0),IF(L321=J321,VLOOKUP(Escalacao!J321,Substituicoes!K:R,8,0),0)))</f>
        <v>0</v>
      </c>
      <c r="P321" s="28">
        <f t="shared" si="38"/>
        <v>0</v>
      </c>
      <c r="Q321" s="28" t="str">
        <f t="shared" si="39"/>
        <v>814Sampaio Corrêa - MA</v>
      </c>
      <c r="R321" s="28" t="str">
        <f>VLOOKUP(A321,'JOGOS BASE'!A:H,8)</f>
        <v>19.01.2025 - Viana - MA x Sampaio Corrêa - MA</v>
      </c>
    </row>
    <row r="322" spans="1:18" ht="30.6">
      <c r="A322" s="15">
        <v>8</v>
      </c>
      <c r="B322" s="46">
        <v>15</v>
      </c>
      <c r="C322" s="45" t="s">
        <v>480</v>
      </c>
      <c r="D322" s="45" t="s">
        <v>481</v>
      </c>
      <c r="E322" s="47" t="s">
        <v>42</v>
      </c>
      <c r="F322" s="47" t="s">
        <v>24</v>
      </c>
      <c r="G322" s="46">
        <v>724360</v>
      </c>
      <c r="H322" s="18" t="s">
        <v>122</v>
      </c>
      <c r="I322" s="26" t="str">
        <f t="shared" si="35"/>
        <v>BACURAU</v>
      </c>
      <c r="J322" s="26" t="str">
        <f t="shared" si="36"/>
        <v>8Sampaio Corrêa - MA15</v>
      </c>
      <c r="K322" s="27" t="str">
        <f>IFERROR(VLOOKUP(J322,Substituicoes!J:J,1,0),"SS")</f>
        <v>8Sampaio Corrêa - MA15</v>
      </c>
      <c r="L322" s="27" t="str">
        <f>IFERROR(VLOOKUP(J322,Substituicoes!K:K,1,0),"SS")</f>
        <v>SS</v>
      </c>
      <c r="M322" s="28" t="b">
        <f t="shared" si="37"/>
        <v>0</v>
      </c>
      <c r="N322" s="29">
        <f>IF(AND(K322=L322,LEFT(E322,1)="T"),VLOOKUP(A322,'JOGOS BASE'!A:E,4,0),IF(K322=J322,VLOOKUP(J322,Substituicoes!J:R,6,0),IF(L322=J322,VLOOKUP(Escalacao!J322,Substituicoes!K:R,7,0),0)))</f>
        <v>0</v>
      </c>
      <c r="O322" s="28">
        <f>IF(AND(K322=L322,LEFT(E322,1)="T"),VLOOKUP(A322,'JOGOS BASE'!A:E,5,0),IF(K322=J322,VLOOKUP(J322,Substituicoes!J:R,7,0),IF(L322=J322,VLOOKUP(Escalacao!J322,Substituicoes!K:R,8,0),0)))</f>
        <v>32</v>
      </c>
      <c r="P322" s="28">
        <f t="shared" si="38"/>
        <v>32</v>
      </c>
      <c r="Q322" s="28" t="str">
        <f t="shared" si="39"/>
        <v>815Sampaio Corrêa - MA</v>
      </c>
      <c r="R322" s="28" t="str">
        <f>VLOOKUP(A322,'JOGOS BASE'!A:H,8)</f>
        <v>19.01.2025 - Viana - MA x Sampaio Corrêa - MA</v>
      </c>
    </row>
    <row r="323" spans="1:18" ht="30.6">
      <c r="A323" s="15">
        <v>8</v>
      </c>
      <c r="B323" s="46">
        <v>16</v>
      </c>
      <c r="C323" s="45" t="s">
        <v>96</v>
      </c>
      <c r="D323" s="45" t="s">
        <v>97</v>
      </c>
      <c r="E323" s="47" t="s">
        <v>42</v>
      </c>
      <c r="F323" s="47" t="s">
        <v>24</v>
      </c>
      <c r="G323" s="46">
        <v>748572</v>
      </c>
      <c r="H323" s="18" t="s">
        <v>122</v>
      </c>
      <c r="I323" s="26" t="str">
        <f t="shared" si="35"/>
        <v>ADRIANO</v>
      </c>
      <c r="J323" s="26" t="str">
        <f t="shared" si="36"/>
        <v>8Sampaio Corrêa - MA16</v>
      </c>
      <c r="K323" s="27" t="str">
        <f>IFERROR(VLOOKUP(J323,Substituicoes!J:J,1,0),"SS")</f>
        <v>8Sampaio Corrêa - MA16</v>
      </c>
      <c r="L323" s="27" t="str">
        <f>IFERROR(VLOOKUP(J323,Substituicoes!K:K,1,0),"SS")</f>
        <v>SS</v>
      </c>
      <c r="M323" s="28" t="b">
        <f t="shared" si="37"/>
        <v>0</v>
      </c>
      <c r="N323" s="29">
        <f>IF(AND(K323=L323,LEFT(E323,1)="T"),VLOOKUP(A323,'JOGOS BASE'!A:E,4,0),IF(K323=J323,VLOOKUP(J323,Substituicoes!J:R,6,0),IF(L323=J323,VLOOKUP(Escalacao!J323,Substituicoes!K:R,7,0),0)))</f>
        <v>0</v>
      </c>
      <c r="O323" s="28">
        <f>IF(AND(K323=L323,LEFT(E323,1)="T"),VLOOKUP(A323,'JOGOS BASE'!A:E,5,0),IF(K323=J323,VLOOKUP(J323,Substituicoes!J:R,7,0),IF(L323=J323,VLOOKUP(Escalacao!J323,Substituicoes!K:R,8,0),0)))</f>
        <v>53</v>
      </c>
      <c r="P323" s="28">
        <f t="shared" si="38"/>
        <v>53</v>
      </c>
      <c r="Q323" s="28" t="str">
        <f t="shared" si="39"/>
        <v>816Sampaio Corrêa - MA</v>
      </c>
      <c r="R323" s="28" t="str">
        <f>VLOOKUP(A323,'JOGOS BASE'!A:H,8)</f>
        <v>19.01.2025 - Viana - MA x Sampaio Corrêa - MA</v>
      </c>
    </row>
    <row r="324" spans="1:18" ht="30.6">
      <c r="A324" s="15">
        <v>8</v>
      </c>
      <c r="B324" s="46">
        <v>17</v>
      </c>
      <c r="C324" s="45" t="s">
        <v>68</v>
      </c>
      <c r="D324" s="45" t="s">
        <v>69</v>
      </c>
      <c r="E324" s="47" t="s">
        <v>42</v>
      </c>
      <c r="F324" s="47" t="s">
        <v>24</v>
      </c>
      <c r="G324" s="46">
        <v>725771</v>
      </c>
      <c r="H324" s="18" t="s">
        <v>122</v>
      </c>
      <c r="I324" s="26" t="str">
        <f t="shared" si="35"/>
        <v>JOÃO LENGE</v>
      </c>
      <c r="J324" s="26" t="str">
        <f t="shared" si="36"/>
        <v>8Sampaio Corrêa - MA17</v>
      </c>
      <c r="K324" s="27" t="str">
        <f>IFERROR(VLOOKUP(J324,Substituicoes!J:J,1,0),"SS")</f>
        <v>8Sampaio Corrêa - MA17</v>
      </c>
      <c r="L324" s="27" t="str">
        <f>IFERROR(VLOOKUP(J324,Substituicoes!K:K,1,0),"SS")</f>
        <v>SS</v>
      </c>
      <c r="M324" s="28" t="b">
        <f t="shared" si="37"/>
        <v>0</v>
      </c>
      <c r="N324" s="29">
        <f>IF(AND(K324=L324,LEFT(E324,1)="T"),VLOOKUP(A324,'JOGOS BASE'!A:E,4,0),IF(K324=J324,VLOOKUP(J324,Substituicoes!J:R,6,0),IF(L324=J324,VLOOKUP(Escalacao!J324,Substituicoes!K:R,7,0),0)))</f>
        <v>0</v>
      </c>
      <c r="O324" s="28">
        <f>IF(AND(K324=L324,LEFT(E324,1)="T"),VLOOKUP(A324,'JOGOS BASE'!A:E,5,0),IF(K324=J324,VLOOKUP(J324,Substituicoes!J:R,7,0),IF(L324=J324,VLOOKUP(Escalacao!J324,Substituicoes!K:R,8,0),0)))</f>
        <v>23</v>
      </c>
      <c r="P324" s="28">
        <f t="shared" si="38"/>
        <v>23</v>
      </c>
      <c r="Q324" s="28" t="str">
        <f t="shared" si="39"/>
        <v>817Sampaio Corrêa - MA</v>
      </c>
      <c r="R324" s="28" t="str">
        <f>VLOOKUP(A324,'JOGOS BASE'!A:H,8)</f>
        <v>19.01.2025 - Viana - MA x Sampaio Corrêa - MA</v>
      </c>
    </row>
    <row r="325" spans="1:18" ht="30.6">
      <c r="A325" s="15">
        <v>8</v>
      </c>
      <c r="B325" s="46">
        <v>19</v>
      </c>
      <c r="C325" s="45" t="s">
        <v>61</v>
      </c>
      <c r="D325" s="45" t="s">
        <v>62</v>
      </c>
      <c r="E325" s="47" t="s">
        <v>42</v>
      </c>
      <c r="F325" s="47" t="s">
        <v>24</v>
      </c>
      <c r="G325" s="46">
        <v>400878</v>
      </c>
      <c r="H325" s="18" t="s">
        <v>122</v>
      </c>
      <c r="I325" s="26" t="str">
        <f t="shared" si="35"/>
        <v>JÔ</v>
      </c>
      <c r="J325" s="26" t="str">
        <f t="shared" si="36"/>
        <v>8Sampaio Corrêa - MA19</v>
      </c>
      <c r="K325" s="27" t="str">
        <f>IFERROR(VLOOKUP(J325,Substituicoes!J:J,1,0),"SS")</f>
        <v>SS</v>
      </c>
      <c r="L325" s="27" t="str">
        <f>IFERROR(VLOOKUP(J325,Substituicoes!K:K,1,0),"SS")</f>
        <v>SS</v>
      </c>
      <c r="M325" s="28" t="b">
        <f t="shared" si="37"/>
        <v>1</v>
      </c>
      <c r="N325" s="29">
        <f>IF(AND(K325=L325,LEFT(E325,1)="T"),VLOOKUP(A325,'JOGOS BASE'!A:E,4,0),IF(K325=J325,VLOOKUP(J325,Substituicoes!J:R,6,0),IF(L325=J325,VLOOKUP(Escalacao!J325,Substituicoes!K:R,7,0),0)))</f>
        <v>0</v>
      </c>
      <c r="O325" s="28">
        <f>IF(AND(K325=L325,LEFT(E325,1)="T"),VLOOKUP(A325,'JOGOS BASE'!A:E,5,0),IF(K325=J325,VLOOKUP(J325,Substituicoes!J:R,7,0),IF(L325=J325,VLOOKUP(Escalacao!J325,Substituicoes!K:R,8,0),0)))</f>
        <v>0</v>
      </c>
      <c r="P325" s="28">
        <f t="shared" si="38"/>
        <v>0</v>
      </c>
      <c r="Q325" s="28" t="str">
        <f t="shared" si="39"/>
        <v>819Sampaio Corrêa - MA</v>
      </c>
      <c r="R325" s="28" t="str">
        <f>VLOOKUP(A325,'JOGOS BASE'!A:H,8)</f>
        <v>19.01.2025 - Viana - MA x Sampaio Corrêa - MA</v>
      </c>
    </row>
    <row r="326" spans="1:18" ht="30.6">
      <c r="A326" s="15">
        <v>8</v>
      </c>
      <c r="B326" s="46">
        <v>20</v>
      </c>
      <c r="C326" s="45" t="s">
        <v>617</v>
      </c>
      <c r="D326" s="45" t="s">
        <v>618</v>
      </c>
      <c r="E326" s="47" t="s">
        <v>42</v>
      </c>
      <c r="F326" s="47" t="s">
        <v>24</v>
      </c>
      <c r="G326" s="46">
        <v>451946</v>
      </c>
      <c r="H326" s="18" t="s">
        <v>122</v>
      </c>
      <c r="I326" s="26" t="str">
        <f t="shared" si="35"/>
        <v>Rodolfo</v>
      </c>
      <c r="J326" s="26" t="str">
        <f t="shared" si="36"/>
        <v>8Sampaio Corrêa - MA20</v>
      </c>
      <c r="K326" s="27" t="str">
        <f>IFERROR(VLOOKUP(J326,Substituicoes!J:J,1,0),"SS")</f>
        <v>8Sampaio Corrêa - MA20</v>
      </c>
      <c r="L326" s="27" t="str">
        <f>IFERROR(VLOOKUP(J326,Substituicoes!K:K,1,0),"SS")</f>
        <v>SS</v>
      </c>
      <c r="M326" s="28" t="b">
        <f t="shared" si="37"/>
        <v>0</v>
      </c>
      <c r="N326" s="29">
        <f>IF(AND(K326=L326,LEFT(E326,1)="T"),VLOOKUP(A326,'JOGOS BASE'!A:E,4,0),IF(K326=J326,VLOOKUP(J326,Substituicoes!J:R,6,0),IF(L326=J326,VLOOKUP(Escalacao!J326,Substituicoes!K:R,7,0),0)))</f>
        <v>0</v>
      </c>
      <c r="O326" s="28">
        <f>IF(AND(K326=L326,LEFT(E326,1)="T"),VLOOKUP(A326,'JOGOS BASE'!A:E,5,0),IF(K326=J326,VLOOKUP(J326,Substituicoes!J:R,7,0),IF(L326=J326,VLOOKUP(Escalacao!J326,Substituicoes!K:R,8,0),0)))</f>
        <v>53</v>
      </c>
      <c r="P326" s="28">
        <f t="shared" si="38"/>
        <v>53</v>
      </c>
      <c r="Q326" s="28" t="str">
        <f t="shared" si="39"/>
        <v>820Sampaio Corrêa - MA</v>
      </c>
      <c r="R326" s="28" t="str">
        <f>VLOOKUP(A326,'JOGOS BASE'!A:H,8)</f>
        <v>19.01.2025 - Viana - MA x Sampaio Corrêa - MA</v>
      </c>
    </row>
    <row r="327" spans="1:18" ht="20.399999999999999">
      <c r="A327" s="15">
        <v>9</v>
      </c>
      <c r="B327" s="46">
        <v>1</v>
      </c>
      <c r="C327" s="45" t="s">
        <v>432</v>
      </c>
      <c r="D327" s="45" t="s">
        <v>433</v>
      </c>
      <c r="E327" s="47" t="s">
        <v>23</v>
      </c>
      <c r="F327" s="47" t="s">
        <v>24</v>
      </c>
      <c r="G327" s="46">
        <v>559682</v>
      </c>
      <c r="H327" s="18" t="s">
        <v>386</v>
      </c>
      <c r="I327" s="26" t="str">
        <f t="shared" ref="I327:I371" si="40">C327</f>
        <v>Wenderson</v>
      </c>
      <c r="J327" s="26" t="str">
        <f t="shared" ref="J327:J371" si="41">A327&amp;H327&amp;B327</f>
        <v>9IAPE - MA1</v>
      </c>
      <c r="K327" s="27" t="str">
        <f>IFERROR(VLOOKUP(J327,Substituicoes!J:J,1,0),"SS")</f>
        <v>SS</v>
      </c>
      <c r="L327" s="27" t="str">
        <f>IFERROR(VLOOKUP(J327,Substituicoes!K:K,1,0),"SS")</f>
        <v>SS</v>
      </c>
      <c r="M327" s="28" t="b">
        <f t="shared" ref="M327:M371" si="42">K327=L327</f>
        <v>1</v>
      </c>
      <c r="N327" s="29">
        <f>IF(AND(K327=L327,LEFT(E327,1)="T"),VLOOKUP(A327,'JOGOS BASE'!A:E,4,0),IF(K327=J327,VLOOKUP(J327,Substituicoes!J:R,6,0),IF(L327=J327,VLOOKUP(Escalacao!J327,Substituicoes!K:R,7,0),0)))</f>
        <v>48</v>
      </c>
      <c r="O327" s="28">
        <f>IF(AND(K327=L327,LEFT(E327,1)="T"),VLOOKUP(A327,'JOGOS BASE'!A:E,5,0),IF(K327=J327,VLOOKUP(J327,Substituicoes!J:R,7,0),IF(L327=J327,VLOOKUP(Escalacao!J327,Substituicoes!K:R,8,0),0)))</f>
        <v>49</v>
      </c>
      <c r="P327" s="28">
        <f t="shared" ref="P327:P371" si="43">N327+O327</f>
        <v>97</v>
      </c>
      <c r="Q327" s="28" t="str">
        <f t="shared" ref="Q327:Q371" si="44">A327&amp;B327&amp;H327</f>
        <v>91IAPE - MA</v>
      </c>
      <c r="R327" s="28" t="str">
        <f>VLOOKUP(A327,'JOGOS BASE'!A:H,8)</f>
        <v>25.01.2025 - IAPE - MA x Imperatriz - MA</v>
      </c>
    </row>
    <row r="328" spans="1:18" ht="30.6">
      <c r="A328" s="15">
        <v>9</v>
      </c>
      <c r="B328" s="46">
        <v>3</v>
      </c>
      <c r="C328" s="45" t="s">
        <v>434</v>
      </c>
      <c r="D328" s="45" t="s">
        <v>435</v>
      </c>
      <c r="E328" s="47" t="s">
        <v>26</v>
      </c>
      <c r="F328" s="47" t="s">
        <v>24</v>
      </c>
      <c r="G328" s="46">
        <v>421460</v>
      </c>
      <c r="H328" s="18" t="s">
        <v>386</v>
      </c>
      <c r="I328" s="26" t="str">
        <f t="shared" si="40"/>
        <v>Patrick</v>
      </c>
      <c r="J328" s="26" t="str">
        <f t="shared" si="41"/>
        <v>9IAPE - MA3</v>
      </c>
      <c r="K328" s="27" t="str">
        <f>IFERROR(VLOOKUP(J328,Substituicoes!J:J,1,0),"SS")</f>
        <v>SS</v>
      </c>
      <c r="L328" s="27" t="str">
        <f>IFERROR(VLOOKUP(J328,Substituicoes!K:K,1,0),"SS")</f>
        <v>9Iape - MA3</v>
      </c>
      <c r="M328" s="28" t="b">
        <f t="shared" si="42"/>
        <v>0</v>
      </c>
      <c r="N328" s="29">
        <f>IF(AND(K328=L328,LEFT(E328,1)="T"),VLOOKUP(A328,'JOGOS BASE'!A:E,4,0),IF(K328=J328,VLOOKUP(J328,Substituicoes!J:R,6,0),IF(L328=J328,VLOOKUP(Escalacao!J328,Substituicoes!K:R,7,0),0)))</f>
        <v>48</v>
      </c>
      <c r="O328" s="28">
        <f>IF(AND(K328=L328,LEFT(E328,1)="T"),VLOOKUP(A328,'JOGOS BASE'!A:E,5,0),IF(K328=J328,VLOOKUP(J328,Substituicoes!J:R,7,0),IF(L328=J328,VLOOKUP(Escalacao!J328,Substituicoes!K:R,8,0),0)))</f>
        <v>25</v>
      </c>
      <c r="P328" s="28">
        <f t="shared" si="43"/>
        <v>73</v>
      </c>
      <c r="Q328" s="28" t="str">
        <f t="shared" si="44"/>
        <v>93IAPE - MA</v>
      </c>
      <c r="R328" s="28" t="str">
        <f>VLOOKUP(A328,'JOGOS BASE'!A:H,8)</f>
        <v>25.01.2025 - IAPE - MA x Imperatriz - MA</v>
      </c>
    </row>
    <row r="329" spans="1:18" ht="30.6">
      <c r="A329" s="15">
        <v>9</v>
      </c>
      <c r="B329" s="46">
        <v>4</v>
      </c>
      <c r="C329" s="45" t="s">
        <v>436</v>
      </c>
      <c r="D329" s="45" t="s">
        <v>437</v>
      </c>
      <c r="E329" s="47" t="s">
        <v>26</v>
      </c>
      <c r="F329" s="47" t="s">
        <v>24</v>
      </c>
      <c r="G329" s="46">
        <v>450022</v>
      </c>
      <c r="H329" s="18" t="s">
        <v>386</v>
      </c>
      <c r="I329" s="26" t="str">
        <f t="shared" si="40"/>
        <v>Denilson</v>
      </c>
      <c r="J329" s="26" t="str">
        <f t="shared" si="41"/>
        <v>9IAPE - MA4</v>
      </c>
      <c r="K329" s="27" t="str">
        <f>IFERROR(VLOOKUP(J329,Substituicoes!J:J,1,0),"SS")</f>
        <v>SS</v>
      </c>
      <c r="L329" s="27" t="str">
        <f>IFERROR(VLOOKUP(J329,Substituicoes!K:K,1,0),"SS")</f>
        <v>SS</v>
      </c>
      <c r="M329" s="28" t="b">
        <f t="shared" si="42"/>
        <v>1</v>
      </c>
      <c r="N329" s="29">
        <f>IF(AND(K329=L329,LEFT(E329,1)="T"),VLOOKUP(A329,'JOGOS BASE'!A:E,4,0),IF(K329=J329,VLOOKUP(J329,Substituicoes!J:R,6,0),IF(L329=J329,VLOOKUP(Escalacao!J329,Substituicoes!K:R,7,0),0)))</f>
        <v>48</v>
      </c>
      <c r="O329" s="28">
        <f>IF(AND(K329=L329,LEFT(E329,1)="T"),VLOOKUP(A329,'JOGOS BASE'!A:E,5,0),IF(K329=J329,VLOOKUP(J329,Substituicoes!J:R,7,0),IF(L329=J329,VLOOKUP(Escalacao!J329,Substituicoes!K:R,8,0),0)))</f>
        <v>49</v>
      </c>
      <c r="P329" s="28">
        <f t="shared" si="43"/>
        <v>97</v>
      </c>
      <c r="Q329" s="28" t="str">
        <f t="shared" si="44"/>
        <v>94IAPE - MA</v>
      </c>
      <c r="R329" s="28" t="str">
        <f>VLOOKUP(A329,'JOGOS BASE'!A:H,8)</f>
        <v>25.01.2025 - IAPE - MA x Imperatriz - MA</v>
      </c>
    </row>
    <row r="330" spans="1:18" ht="20.399999999999999">
      <c r="A330" s="15">
        <v>9</v>
      </c>
      <c r="B330" s="46">
        <v>5</v>
      </c>
      <c r="C330" s="45" t="s">
        <v>438</v>
      </c>
      <c r="D330" s="45" t="s">
        <v>439</v>
      </c>
      <c r="E330" s="47" t="s">
        <v>26</v>
      </c>
      <c r="F330" s="47" t="s">
        <v>24</v>
      </c>
      <c r="G330" s="46">
        <v>637155</v>
      </c>
      <c r="H330" s="18" t="s">
        <v>386</v>
      </c>
      <c r="I330" s="26" t="str">
        <f t="shared" si="40"/>
        <v>Iuri</v>
      </c>
      <c r="J330" s="26" t="str">
        <f t="shared" si="41"/>
        <v>9IAPE - MA5</v>
      </c>
      <c r="K330" s="27" t="str">
        <f>IFERROR(VLOOKUP(J330,Substituicoes!J:J,1,0),"SS")</f>
        <v>SS</v>
      </c>
      <c r="L330" s="27" t="str">
        <f>IFERROR(VLOOKUP(J330,Substituicoes!K:K,1,0),"SS")</f>
        <v>9Iape - MA5</v>
      </c>
      <c r="M330" s="28" t="b">
        <f t="shared" si="42"/>
        <v>0</v>
      </c>
      <c r="N330" s="29">
        <f>IF(AND(K330=L330,LEFT(E330,1)="T"),VLOOKUP(A330,'JOGOS BASE'!A:E,4,0),IF(K330=J330,VLOOKUP(J330,Substituicoes!J:R,6,0),IF(L330=J330,VLOOKUP(Escalacao!J330,Substituicoes!K:R,7,0),0)))</f>
        <v>48</v>
      </c>
      <c r="O330" s="28">
        <f>IF(AND(K330=L330,LEFT(E330,1)="T"),VLOOKUP(A330,'JOGOS BASE'!A:E,5,0),IF(K330=J330,VLOOKUP(J330,Substituicoes!J:R,7,0),IF(L330=J330,VLOOKUP(Escalacao!J330,Substituicoes!K:R,8,0),0)))</f>
        <v>17</v>
      </c>
      <c r="P330" s="28">
        <f t="shared" si="43"/>
        <v>65</v>
      </c>
      <c r="Q330" s="28" t="str">
        <f t="shared" si="44"/>
        <v>95IAPE - MA</v>
      </c>
      <c r="R330" s="28" t="str">
        <f>VLOOKUP(A330,'JOGOS BASE'!A:H,8)</f>
        <v>25.01.2025 - IAPE - MA x Imperatriz - MA</v>
      </c>
    </row>
    <row r="331" spans="1:18" ht="30.6">
      <c r="A331" s="15">
        <v>9</v>
      </c>
      <c r="B331" s="46">
        <v>6</v>
      </c>
      <c r="C331" s="45" t="s">
        <v>459</v>
      </c>
      <c r="D331" s="45" t="s">
        <v>460</v>
      </c>
      <c r="E331" s="47" t="s">
        <v>26</v>
      </c>
      <c r="F331" s="47" t="s">
        <v>56</v>
      </c>
      <c r="G331" s="46">
        <v>767170</v>
      </c>
      <c r="H331" s="18" t="s">
        <v>386</v>
      </c>
      <c r="I331" s="26" t="str">
        <f t="shared" si="40"/>
        <v>Emerson</v>
      </c>
      <c r="J331" s="26" t="str">
        <f t="shared" si="41"/>
        <v>9IAPE - MA6</v>
      </c>
      <c r="K331" s="27" t="str">
        <f>IFERROR(VLOOKUP(J331,Substituicoes!J:J,1,0),"SS")</f>
        <v>SS</v>
      </c>
      <c r="L331" s="27" t="str">
        <f>IFERROR(VLOOKUP(J331,Substituicoes!K:K,1,0),"SS")</f>
        <v>SS</v>
      </c>
      <c r="M331" s="28" t="b">
        <f t="shared" si="42"/>
        <v>1</v>
      </c>
      <c r="N331" s="29">
        <f>IF(AND(K331=L331,LEFT(E331,1)="T"),VLOOKUP(A331,'JOGOS BASE'!A:E,4,0),IF(K331=J331,VLOOKUP(J331,Substituicoes!J:R,6,0),IF(L331=J331,VLOOKUP(Escalacao!J331,Substituicoes!K:R,7,0),0)))</f>
        <v>48</v>
      </c>
      <c r="O331" s="28">
        <f>IF(AND(K331=L331,LEFT(E331,1)="T"),VLOOKUP(A331,'JOGOS BASE'!A:E,5,0),IF(K331=J331,VLOOKUP(J331,Substituicoes!J:R,7,0),IF(L331=J331,VLOOKUP(Escalacao!J331,Substituicoes!K:R,8,0),0)))</f>
        <v>49</v>
      </c>
      <c r="P331" s="28">
        <f t="shared" si="43"/>
        <v>97</v>
      </c>
      <c r="Q331" s="28" t="str">
        <f t="shared" si="44"/>
        <v>96IAPE - MA</v>
      </c>
      <c r="R331" s="28" t="str">
        <f>VLOOKUP(A331,'JOGOS BASE'!A:H,8)</f>
        <v>25.01.2025 - IAPE - MA x Imperatriz - MA</v>
      </c>
    </row>
    <row r="332" spans="1:18" ht="30.6">
      <c r="A332" s="15">
        <v>9</v>
      </c>
      <c r="B332" s="46">
        <v>8</v>
      </c>
      <c r="C332" s="45" t="s">
        <v>461</v>
      </c>
      <c r="D332" s="45" t="s">
        <v>462</v>
      </c>
      <c r="E332" s="47" t="s">
        <v>26</v>
      </c>
      <c r="F332" s="47" t="s">
        <v>24</v>
      </c>
      <c r="G332" s="46">
        <v>505180</v>
      </c>
      <c r="H332" s="18" t="s">
        <v>386</v>
      </c>
      <c r="I332" s="26" t="str">
        <f t="shared" si="40"/>
        <v>VITAO</v>
      </c>
      <c r="J332" s="26" t="str">
        <f t="shared" si="41"/>
        <v>9IAPE - MA8</v>
      </c>
      <c r="K332" s="27" t="str">
        <f>IFERROR(VLOOKUP(J332,Substituicoes!J:J,1,0),"SS")</f>
        <v>SS</v>
      </c>
      <c r="L332" s="27" t="str">
        <f>IFERROR(VLOOKUP(J332,Substituicoes!K:K,1,0),"SS")</f>
        <v>SS</v>
      </c>
      <c r="M332" s="28" t="b">
        <f t="shared" si="42"/>
        <v>1</v>
      </c>
      <c r="N332" s="29">
        <f>IF(AND(K332=L332,LEFT(E332,1)="T"),VLOOKUP(A332,'JOGOS BASE'!A:E,4,0),IF(K332=J332,VLOOKUP(J332,Substituicoes!J:R,6,0),IF(L332=J332,VLOOKUP(Escalacao!J332,Substituicoes!K:R,7,0),0)))</f>
        <v>48</v>
      </c>
      <c r="O332" s="28">
        <f>IF(AND(K332=L332,LEFT(E332,1)="T"),VLOOKUP(A332,'JOGOS BASE'!A:E,5,0),IF(K332=J332,VLOOKUP(J332,Substituicoes!J:R,7,0),IF(L332=J332,VLOOKUP(Escalacao!J332,Substituicoes!K:R,8,0),0)))</f>
        <v>49</v>
      </c>
      <c r="P332" s="28">
        <f t="shared" si="43"/>
        <v>97</v>
      </c>
      <c r="Q332" s="28" t="str">
        <f t="shared" si="44"/>
        <v>98IAPE - MA</v>
      </c>
      <c r="R332" s="28" t="str">
        <f>VLOOKUP(A332,'JOGOS BASE'!A:H,8)</f>
        <v>25.01.2025 - IAPE - MA x Imperatriz - MA</v>
      </c>
    </row>
    <row r="333" spans="1:18" ht="30.6">
      <c r="A333" s="15">
        <v>9</v>
      </c>
      <c r="B333" s="46">
        <v>9</v>
      </c>
      <c r="C333" s="45" t="s">
        <v>444</v>
      </c>
      <c r="D333" s="45" t="s">
        <v>445</v>
      </c>
      <c r="E333" s="47" t="s">
        <v>26</v>
      </c>
      <c r="F333" s="47" t="s">
        <v>24</v>
      </c>
      <c r="G333" s="46">
        <v>531274</v>
      </c>
      <c r="H333" s="18" t="s">
        <v>386</v>
      </c>
      <c r="I333" s="26" t="str">
        <f t="shared" si="40"/>
        <v>Erivelton</v>
      </c>
      <c r="J333" s="26" t="str">
        <f t="shared" si="41"/>
        <v>9IAPE - MA9</v>
      </c>
      <c r="K333" s="27" t="str">
        <f>IFERROR(VLOOKUP(J333,Substituicoes!J:J,1,0),"SS")</f>
        <v>SS</v>
      </c>
      <c r="L333" s="27" t="str">
        <f>IFERROR(VLOOKUP(J333,Substituicoes!K:K,1,0),"SS")</f>
        <v>9Iape - MA9</v>
      </c>
      <c r="M333" s="28" t="b">
        <f t="shared" si="42"/>
        <v>0</v>
      </c>
      <c r="N333" s="29">
        <f>IF(AND(K333=L333,LEFT(E333,1)="T"),VLOOKUP(A333,'JOGOS BASE'!A:E,4,0),IF(K333=J333,VLOOKUP(J333,Substituicoes!J:R,6,0),IF(L333=J333,VLOOKUP(Escalacao!J333,Substituicoes!K:R,7,0),0)))</f>
        <v>48</v>
      </c>
      <c r="O333" s="28">
        <f>IF(AND(K333=L333,LEFT(E333,1)="T"),VLOOKUP(A333,'JOGOS BASE'!A:E,5,0),IF(K333=J333,VLOOKUP(J333,Substituicoes!J:R,7,0),IF(L333=J333,VLOOKUP(Escalacao!J333,Substituicoes!K:R,8,0),0)))</f>
        <v>9</v>
      </c>
      <c r="P333" s="28">
        <f t="shared" si="43"/>
        <v>57</v>
      </c>
      <c r="Q333" s="28" t="str">
        <f t="shared" si="44"/>
        <v>99IAPE - MA</v>
      </c>
      <c r="R333" s="28" t="str">
        <f>VLOOKUP(A333,'JOGOS BASE'!A:H,8)</f>
        <v>25.01.2025 - IAPE - MA x Imperatriz - MA</v>
      </c>
    </row>
    <row r="334" spans="1:18" ht="20.399999999999999">
      <c r="A334" s="15">
        <v>9</v>
      </c>
      <c r="B334" s="46">
        <v>10</v>
      </c>
      <c r="C334" s="45" t="s">
        <v>446</v>
      </c>
      <c r="D334" s="45" t="s">
        <v>447</v>
      </c>
      <c r="E334" s="47" t="s">
        <v>26</v>
      </c>
      <c r="F334" s="47" t="s">
        <v>24</v>
      </c>
      <c r="G334" s="46">
        <v>184656</v>
      </c>
      <c r="H334" s="18" t="s">
        <v>386</v>
      </c>
      <c r="I334" s="26" t="str">
        <f t="shared" si="40"/>
        <v>Eloir</v>
      </c>
      <c r="J334" s="26" t="str">
        <f t="shared" si="41"/>
        <v>9IAPE - MA10</v>
      </c>
      <c r="K334" s="27" t="str">
        <f>IFERROR(VLOOKUP(J334,Substituicoes!J:J,1,0),"SS")</f>
        <v>SS</v>
      </c>
      <c r="L334" s="27" t="str">
        <f>IFERROR(VLOOKUP(J334,Substituicoes!K:K,1,0),"SS")</f>
        <v>SS</v>
      </c>
      <c r="M334" s="28" t="b">
        <f t="shared" si="42"/>
        <v>1</v>
      </c>
      <c r="N334" s="29">
        <f>IF(AND(K334=L334,LEFT(E334,1)="T"),VLOOKUP(A334,'JOGOS BASE'!A:E,4,0),IF(K334=J334,VLOOKUP(J334,Substituicoes!J:R,6,0),IF(L334=J334,VLOOKUP(Escalacao!J334,Substituicoes!K:R,7,0),0)))</f>
        <v>48</v>
      </c>
      <c r="O334" s="28">
        <f>IF(AND(K334=L334,LEFT(E334,1)="T"),VLOOKUP(A334,'JOGOS BASE'!A:E,5,0),IF(K334=J334,VLOOKUP(J334,Substituicoes!J:R,7,0),IF(L334=J334,VLOOKUP(Escalacao!J334,Substituicoes!K:R,8,0),0)))</f>
        <v>49</v>
      </c>
      <c r="P334" s="28">
        <f t="shared" si="43"/>
        <v>97</v>
      </c>
      <c r="Q334" s="28" t="str">
        <f t="shared" si="44"/>
        <v>910IAPE - MA</v>
      </c>
      <c r="R334" s="28" t="str">
        <f>VLOOKUP(A334,'JOGOS BASE'!A:H,8)</f>
        <v>25.01.2025 - IAPE - MA x Imperatriz - MA</v>
      </c>
    </row>
    <row r="335" spans="1:18" ht="20.399999999999999">
      <c r="A335" s="15">
        <v>9</v>
      </c>
      <c r="B335" s="46">
        <v>11</v>
      </c>
      <c r="C335" s="45" t="s">
        <v>471</v>
      </c>
      <c r="D335" s="45" t="s">
        <v>475</v>
      </c>
      <c r="E335" s="47" t="s">
        <v>26</v>
      </c>
      <c r="F335" s="47" t="s">
        <v>24</v>
      </c>
      <c r="G335" s="46">
        <v>533063</v>
      </c>
      <c r="H335" s="18" t="s">
        <v>386</v>
      </c>
      <c r="I335" s="26" t="str">
        <f t="shared" si="40"/>
        <v>Paulo Victor</v>
      </c>
      <c r="J335" s="26" t="str">
        <f t="shared" si="41"/>
        <v>9IAPE - MA11</v>
      </c>
      <c r="K335" s="27" t="str">
        <f>IFERROR(VLOOKUP(J335,Substituicoes!J:J,1,0),"SS")</f>
        <v>SS</v>
      </c>
      <c r="L335" s="27" t="str">
        <f>IFERROR(VLOOKUP(J335,Substituicoes!K:K,1,0),"SS")</f>
        <v>9Iape - MA11</v>
      </c>
      <c r="M335" s="28" t="b">
        <f t="shared" si="42"/>
        <v>0</v>
      </c>
      <c r="N335" s="29">
        <f>IF(AND(K335=L335,LEFT(E335,1)="T"),VLOOKUP(A335,'JOGOS BASE'!A:E,4,0),IF(K335=J335,VLOOKUP(J335,Substituicoes!J:R,6,0),IF(L335=J335,VLOOKUP(Escalacao!J335,Substituicoes!K:R,7,0),0)))</f>
        <v>48</v>
      </c>
      <c r="O335" s="28">
        <f>IF(AND(K335=L335,LEFT(E335,1)="T"),VLOOKUP(A335,'JOGOS BASE'!A:E,5,0),IF(K335=J335,VLOOKUP(J335,Substituicoes!J:R,7,0),IF(L335=J335,VLOOKUP(Escalacao!J335,Substituicoes!K:R,8,0),0)))</f>
        <v>9</v>
      </c>
      <c r="P335" s="28">
        <f t="shared" si="43"/>
        <v>57</v>
      </c>
      <c r="Q335" s="28" t="str">
        <f t="shared" si="44"/>
        <v>911IAPE - MA</v>
      </c>
      <c r="R335" s="28" t="str">
        <f>VLOOKUP(A335,'JOGOS BASE'!A:H,8)</f>
        <v>25.01.2025 - IAPE - MA x Imperatriz - MA</v>
      </c>
    </row>
    <row r="336" spans="1:18" ht="30.6">
      <c r="A336" s="15">
        <v>9</v>
      </c>
      <c r="B336" s="46">
        <v>16</v>
      </c>
      <c r="C336" s="45" t="s">
        <v>450</v>
      </c>
      <c r="D336" s="45" t="s">
        <v>451</v>
      </c>
      <c r="E336" s="47" t="s">
        <v>26</v>
      </c>
      <c r="F336" s="47" t="s">
        <v>24</v>
      </c>
      <c r="G336" s="46">
        <v>419381</v>
      </c>
      <c r="H336" s="18" t="s">
        <v>386</v>
      </c>
      <c r="I336" s="26" t="str">
        <f t="shared" si="40"/>
        <v>Guilherme</v>
      </c>
      <c r="J336" s="26" t="str">
        <f t="shared" si="41"/>
        <v>9IAPE - MA16</v>
      </c>
      <c r="K336" s="27" t="str">
        <f>IFERROR(VLOOKUP(J336,Substituicoes!J:J,1,0),"SS")</f>
        <v>SS</v>
      </c>
      <c r="L336" s="27" t="str">
        <f>IFERROR(VLOOKUP(J336,Substituicoes!K:K,1,0),"SS")</f>
        <v>SS</v>
      </c>
      <c r="M336" s="28" t="b">
        <f t="shared" si="42"/>
        <v>1</v>
      </c>
      <c r="N336" s="29">
        <f>IF(AND(K336=L336,LEFT(E336,1)="T"),VLOOKUP(A336,'JOGOS BASE'!A:E,4,0),IF(K336=J336,VLOOKUP(J336,Substituicoes!J:R,6,0),IF(L336=J336,VLOOKUP(Escalacao!J336,Substituicoes!K:R,7,0),0)))</f>
        <v>48</v>
      </c>
      <c r="O336" s="28">
        <f>IF(AND(K336=L336,LEFT(E336,1)="T"),VLOOKUP(A336,'JOGOS BASE'!A:E,5,0),IF(K336=J336,VLOOKUP(J336,Substituicoes!J:R,7,0),IF(L336=J336,VLOOKUP(Escalacao!J336,Substituicoes!K:R,8,0),0)))</f>
        <v>49</v>
      </c>
      <c r="P336" s="28">
        <f t="shared" si="43"/>
        <v>97</v>
      </c>
      <c r="Q336" s="28" t="str">
        <f t="shared" si="44"/>
        <v>916IAPE - MA</v>
      </c>
      <c r="R336" s="28" t="str">
        <f>VLOOKUP(A336,'JOGOS BASE'!A:H,8)</f>
        <v>25.01.2025 - IAPE - MA x Imperatriz - MA</v>
      </c>
    </row>
    <row r="337" spans="1:18" ht="30.6">
      <c r="A337" s="15">
        <v>9</v>
      </c>
      <c r="B337" s="46">
        <v>25</v>
      </c>
      <c r="C337" s="45" t="s">
        <v>305</v>
      </c>
      <c r="D337" s="45" t="s">
        <v>452</v>
      </c>
      <c r="E337" s="47" t="s">
        <v>26</v>
      </c>
      <c r="F337" s="47" t="s">
        <v>24</v>
      </c>
      <c r="G337" s="46">
        <v>430582</v>
      </c>
      <c r="H337" s="18" t="s">
        <v>386</v>
      </c>
      <c r="I337" s="26" t="str">
        <f t="shared" si="40"/>
        <v>Henrique</v>
      </c>
      <c r="J337" s="26" t="str">
        <f t="shared" si="41"/>
        <v>9IAPE - MA25</v>
      </c>
      <c r="K337" s="27" t="str">
        <f>IFERROR(VLOOKUP(J337,Substituicoes!J:J,1,0),"SS")</f>
        <v>SS</v>
      </c>
      <c r="L337" s="27" t="str">
        <f>IFERROR(VLOOKUP(J337,Substituicoes!K:K,1,0),"SS")</f>
        <v>9Iape - MA25</v>
      </c>
      <c r="M337" s="28" t="b">
        <f t="shared" si="42"/>
        <v>0</v>
      </c>
      <c r="N337" s="29">
        <f>IF(AND(K337=L337,LEFT(E337,1)="T"),VLOOKUP(A337,'JOGOS BASE'!A:E,4,0),IF(K337=J337,VLOOKUP(J337,Substituicoes!J:R,6,0),IF(L337=J337,VLOOKUP(Escalacao!J337,Substituicoes!K:R,7,0),0)))</f>
        <v>48</v>
      </c>
      <c r="O337" s="28">
        <f>IF(AND(K337=L337,LEFT(E337,1)="T"),VLOOKUP(A337,'JOGOS BASE'!A:E,5,0),IF(K337=J337,VLOOKUP(J337,Substituicoes!J:R,7,0),IF(L337=J337,VLOOKUP(Escalacao!J337,Substituicoes!K:R,8,0),0)))</f>
        <v>25</v>
      </c>
      <c r="P337" s="28">
        <f t="shared" si="43"/>
        <v>73</v>
      </c>
      <c r="Q337" s="28" t="str">
        <f t="shared" si="44"/>
        <v>925IAPE - MA</v>
      </c>
      <c r="R337" s="28" t="str">
        <f>VLOOKUP(A337,'JOGOS BASE'!A:H,8)</f>
        <v>25.01.2025 - IAPE - MA x Imperatriz - MA</v>
      </c>
    </row>
    <row r="338" spans="1:18" ht="30.6">
      <c r="A338" s="15">
        <v>9</v>
      </c>
      <c r="B338" s="46">
        <v>12</v>
      </c>
      <c r="C338" s="45" t="s">
        <v>453</v>
      </c>
      <c r="D338" s="45" t="s">
        <v>454</v>
      </c>
      <c r="E338" s="47" t="s">
        <v>40</v>
      </c>
      <c r="F338" s="47" t="s">
        <v>56</v>
      </c>
      <c r="G338" s="46">
        <v>686771</v>
      </c>
      <c r="H338" s="18" t="s">
        <v>386</v>
      </c>
      <c r="I338" s="26" t="str">
        <f t="shared" si="40"/>
        <v>KENNEDY</v>
      </c>
      <c r="J338" s="26" t="str">
        <f t="shared" si="41"/>
        <v>9IAPE - MA12</v>
      </c>
      <c r="K338" s="27" t="str">
        <f>IFERROR(VLOOKUP(J338,Substituicoes!J:J,1,0),"SS")</f>
        <v>SS</v>
      </c>
      <c r="L338" s="27" t="str">
        <f>IFERROR(VLOOKUP(J338,Substituicoes!K:K,1,0),"SS")</f>
        <v>SS</v>
      </c>
      <c r="M338" s="28" t="b">
        <f t="shared" si="42"/>
        <v>1</v>
      </c>
      <c r="N338" s="29">
        <f>IF(AND(K338=L338,LEFT(E338,1)="T"),VLOOKUP(A338,'JOGOS BASE'!A:E,4,0),IF(K338=J338,VLOOKUP(J338,Substituicoes!J:R,6,0),IF(L338=J338,VLOOKUP(Escalacao!J338,Substituicoes!K:R,7,0),0)))</f>
        <v>0</v>
      </c>
      <c r="O338" s="28">
        <f>IF(AND(K338=L338,LEFT(E338,1)="T"),VLOOKUP(A338,'JOGOS BASE'!A:E,5,0),IF(K338=J338,VLOOKUP(J338,Substituicoes!J:R,7,0),IF(L338=J338,VLOOKUP(Escalacao!J338,Substituicoes!K:R,8,0),0)))</f>
        <v>0</v>
      </c>
      <c r="P338" s="28">
        <f t="shared" si="43"/>
        <v>0</v>
      </c>
      <c r="Q338" s="28" t="str">
        <f t="shared" si="44"/>
        <v>912IAPE - MA</v>
      </c>
      <c r="R338" s="28" t="str">
        <f>VLOOKUP(A338,'JOGOS BASE'!A:H,8)</f>
        <v>25.01.2025 - IAPE - MA x Imperatriz - MA</v>
      </c>
    </row>
    <row r="339" spans="1:18" ht="30.6">
      <c r="A339" s="15">
        <v>9</v>
      </c>
      <c r="B339" s="46">
        <v>2</v>
      </c>
      <c r="C339" s="45" t="s">
        <v>455</v>
      </c>
      <c r="D339" s="45" t="s">
        <v>456</v>
      </c>
      <c r="E339" s="47" t="s">
        <v>42</v>
      </c>
      <c r="F339" s="47" t="s">
        <v>24</v>
      </c>
      <c r="G339" s="46">
        <v>541756</v>
      </c>
      <c r="H339" s="18" t="s">
        <v>386</v>
      </c>
      <c r="I339" s="26" t="str">
        <f t="shared" si="40"/>
        <v>Pablo</v>
      </c>
      <c r="J339" s="26" t="str">
        <f t="shared" si="41"/>
        <v>9IAPE - MA2</v>
      </c>
      <c r="K339" s="27" t="str">
        <f>IFERROR(VLOOKUP(J339,Substituicoes!J:J,1,0),"SS")</f>
        <v>9Iape - MA2</v>
      </c>
      <c r="L339" s="27" t="str">
        <f>IFERROR(VLOOKUP(J339,Substituicoes!K:K,1,0),"SS")</f>
        <v>SS</v>
      </c>
      <c r="M339" s="28" t="b">
        <f t="shared" si="42"/>
        <v>0</v>
      </c>
      <c r="N339" s="29">
        <f>IF(AND(K339=L339,LEFT(E339,1)="T"),VLOOKUP(A339,'JOGOS BASE'!A:E,4,0),IF(K339=J339,VLOOKUP(J339,Substituicoes!J:R,6,0),IF(L339=J339,VLOOKUP(Escalacao!J339,Substituicoes!K:R,7,0),0)))</f>
        <v>0</v>
      </c>
      <c r="O339" s="28">
        <f>IF(AND(K339=L339,LEFT(E339,1)="T"),VLOOKUP(A339,'JOGOS BASE'!A:E,5,0),IF(K339=J339,VLOOKUP(J339,Substituicoes!J:R,7,0),IF(L339=J339,VLOOKUP(Escalacao!J339,Substituicoes!K:R,8,0),0)))</f>
        <v>24</v>
      </c>
      <c r="P339" s="28">
        <f t="shared" si="43"/>
        <v>24</v>
      </c>
      <c r="Q339" s="28" t="str">
        <f t="shared" si="44"/>
        <v>92IAPE - MA</v>
      </c>
      <c r="R339" s="28" t="str">
        <f>VLOOKUP(A339,'JOGOS BASE'!A:H,8)</f>
        <v>25.01.2025 - IAPE - MA x Imperatriz - MA</v>
      </c>
    </row>
    <row r="340" spans="1:18" ht="30.6">
      <c r="A340" s="15">
        <v>9</v>
      </c>
      <c r="B340" s="46">
        <v>7</v>
      </c>
      <c r="C340" s="45" t="s">
        <v>442</v>
      </c>
      <c r="D340" s="45" t="s">
        <v>443</v>
      </c>
      <c r="E340" s="47" t="s">
        <v>42</v>
      </c>
      <c r="F340" s="47" t="s">
        <v>24</v>
      </c>
      <c r="G340" s="46">
        <v>295956</v>
      </c>
      <c r="H340" s="18" t="s">
        <v>386</v>
      </c>
      <c r="I340" s="26" t="str">
        <f t="shared" si="40"/>
        <v>Jhonnatan</v>
      </c>
      <c r="J340" s="26" t="str">
        <f t="shared" si="41"/>
        <v>9IAPE - MA7</v>
      </c>
      <c r="K340" s="27" t="str">
        <f>IFERROR(VLOOKUP(J340,Substituicoes!J:J,1,0),"SS")</f>
        <v>SS</v>
      </c>
      <c r="L340" s="27" t="str">
        <f>IFERROR(VLOOKUP(J340,Substituicoes!K:K,1,0),"SS")</f>
        <v>SS</v>
      </c>
      <c r="M340" s="28" t="b">
        <f t="shared" si="42"/>
        <v>1</v>
      </c>
      <c r="N340" s="29">
        <f>IF(AND(K340=L340,LEFT(E340,1)="T"),VLOOKUP(A340,'JOGOS BASE'!A:E,4,0),IF(K340=J340,VLOOKUP(J340,Substituicoes!J:R,6,0),IF(L340=J340,VLOOKUP(Escalacao!J340,Substituicoes!K:R,7,0),0)))</f>
        <v>0</v>
      </c>
      <c r="O340" s="28">
        <f>IF(AND(K340=L340,LEFT(E340,1)="T"),VLOOKUP(A340,'JOGOS BASE'!A:E,5,0),IF(K340=J340,VLOOKUP(J340,Substituicoes!J:R,7,0),IF(L340=J340,VLOOKUP(Escalacao!J340,Substituicoes!K:R,8,0),0)))</f>
        <v>0</v>
      </c>
      <c r="P340" s="28">
        <f t="shared" si="43"/>
        <v>0</v>
      </c>
      <c r="Q340" s="28" t="str">
        <f t="shared" si="44"/>
        <v>97IAPE - MA</v>
      </c>
      <c r="R340" s="28" t="str">
        <f>VLOOKUP(A340,'JOGOS BASE'!A:H,8)</f>
        <v>25.01.2025 - IAPE - MA x Imperatriz - MA</v>
      </c>
    </row>
    <row r="341" spans="1:18" ht="30.6">
      <c r="A341" s="15">
        <v>9</v>
      </c>
      <c r="B341" s="46">
        <v>13</v>
      </c>
      <c r="C341" s="45" t="s">
        <v>636</v>
      </c>
      <c r="D341" s="45" t="s">
        <v>637</v>
      </c>
      <c r="E341" s="47" t="s">
        <v>42</v>
      </c>
      <c r="F341" s="47" t="s">
        <v>56</v>
      </c>
      <c r="G341" s="46">
        <v>646310</v>
      </c>
      <c r="H341" s="18" t="s">
        <v>386</v>
      </c>
      <c r="I341" s="26" t="str">
        <f t="shared" si="40"/>
        <v>Luann</v>
      </c>
      <c r="J341" s="26" t="str">
        <f t="shared" si="41"/>
        <v>9IAPE - MA13</v>
      </c>
      <c r="K341" s="27" t="str">
        <f>IFERROR(VLOOKUP(J341,Substituicoes!J:J,1,0),"SS")</f>
        <v>SS</v>
      </c>
      <c r="L341" s="27" t="str">
        <f>IFERROR(VLOOKUP(J341,Substituicoes!K:K,1,0),"SS")</f>
        <v>SS</v>
      </c>
      <c r="M341" s="28" t="b">
        <f t="shared" si="42"/>
        <v>1</v>
      </c>
      <c r="N341" s="29">
        <f>IF(AND(K341=L341,LEFT(E341,1)="T"),VLOOKUP(A341,'JOGOS BASE'!A:E,4,0),IF(K341=J341,VLOOKUP(J341,Substituicoes!J:R,6,0),IF(L341=J341,VLOOKUP(Escalacao!J341,Substituicoes!K:R,7,0),0)))</f>
        <v>0</v>
      </c>
      <c r="O341" s="28">
        <f>IF(AND(K341=L341,LEFT(E341,1)="T"),VLOOKUP(A341,'JOGOS BASE'!A:E,5,0),IF(K341=J341,VLOOKUP(J341,Substituicoes!J:R,7,0),IF(L341=J341,VLOOKUP(Escalacao!J341,Substituicoes!K:R,8,0),0)))</f>
        <v>0</v>
      </c>
      <c r="P341" s="28">
        <f t="shared" si="43"/>
        <v>0</v>
      </c>
      <c r="Q341" s="28" t="str">
        <f t="shared" si="44"/>
        <v>913IAPE - MA</v>
      </c>
      <c r="R341" s="28" t="str">
        <f>VLOOKUP(A341,'JOGOS BASE'!A:H,8)</f>
        <v>25.01.2025 - IAPE - MA x Imperatriz - MA</v>
      </c>
    </row>
    <row r="342" spans="1:18" ht="20.399999999999999">
      <c r="A342" s="15">
        <v>9</v>
      </c>
      <c r="B342" s="46">
        <v>14</v>
      </c>
      <c r="C342" s="45" t="s">
        <v>28</v>
      </c>
      <c r="D342" s="45" t="s">
        <v>638</v>
      </c>
      <c r="E342" s="47" t="s">
        <v>42</v>
      </c>
      <c r="F342" s="47" t="s">
        <v>24</v>
      </c>
      <c r="G342" s="46">
        <v>612932</v>
      </c>
      <c r="H342" s="18" t="s">
        <v>386</v>
      </c>
      <c r="I342" s="26" t="str">
        <f t="shared" si="40"/>
        <v>FELIPE</v>
      </c>
      <c r="J342" s="26" t="str">
        <f t="shared" si="41"/>
        <v>9IAPE - MA14</v>
      </c>
      <c r="K342" s="27" t="str">
        <f>IFERROR(VLOOKUP(J342,Substituicoes!J:J,1,0),"SS")</f>
        <v>SS</v>
      </c>
      <c r="L342" s="27" t="str">
        <f>IFERROR(VLOOKUP(J342,Substituicoes!K:K,1,0),"SS")</f>
        <v>SS</v>
      </c>
      <c r="M342" s="28" t="b">
        <f t="shared" si="42"/>
        <v>1</v>
      </c>
      <c r="N342" s="29">
        <f>IF(AND(K342=L342,LEFT(E342,1)="T"),VLOOKUP(A342,'JOGOS BASE'!A:E,4,0),IF(K342=J342,VLOOKUP(J342,Substituicoes!J:R,6,0),IF(L342=J342,VLOOKUP(Escalacao!J342,Substituicoes!K:R,7,0),0)))</f>
        <v>0</v>
      </c>
      <c r="O342" s="28">
        <f>IF(AND(K342=L342,LEFT(E342,1)="T"),VLOOKUP(A342,'JOGOS BASE'!A:E,5,0),IF(K342=J342,VLOOKUP(J342,Substituicoes!J:R,7,0),IF(L342=J342,VLOOKUP(Escalacao!J342,Substituicoes!K:R,8,0),0)))</f>
        <v>0</v>
      </c>
      <c r="P342" s="28">
        <f t="shared" si="43"/>
        <v>0</v>
      </c>
      <c r="Q342" s="28" t="str">
        <f t="shared" si="44"/>
        <v>914IAPE - MA</v>
      </c>
      <c r="R342" s="28" t="str">
        <f>VLOOKUP(A342,'JOGOS BASE'!A:H,8)</f>
        <v>25.01.2025 - IAPE - MA x Imperatriz - MA</v>
      </c>
    </row>
    <row r="343" spans="1:18" ht="30.6">
      <c r="A343" s="15">
        <v>9</v>
      </c>
      <c r="B343" s="46">
        <v>15</v>
      </c>
      <c r="C343" s="45" t="s">
        <v>463</v>
      </c>
      <c r="D343" s="45" t="s">
        <v>464</v>
      </c>
      <c r="E343" s="47" t="s">
        <v>42</v>
      </c>
      <c r="F343" s="47" t="s">
        <v>24</v>
      </c>
      <c r="G343" s="46">
        <v>608948</v>
      </c>
      <c r="H343" s="18" t="s">
        <v>386</v>
      </c>
      <c r="I343" s="26" t="str">
        <f t="shared" si="40"/>
        <v>Nathan</v>
      </c>
      <c r="J343" s="26" t="str">
        <f t="shared" si="41"/>
        <v>9IAPE - MA15</v>
      </c>
      <c r="K343" s="27" t="str">
        <f>IFERROR(VLOOKUP(J343,Substituicoes!J:J,1,0),"SS")</f>
        <v>SS</v>
      </c>
      <c r="L343" s="27" t="str">
        <f>IFERROR(VLOOKUP(J343,Substituicoes!K:K,1,0),"SS")</f>
        <v>SS</v>
      </c>
      <c r="M343" s="28" t="b">
        <f t="shared" si="42"/>
        <v>1</v>
      </c>
      <c r="N343" s="29">
        <f>IF(AND(K343=L343,LEFT(E343,1)="T"),VLOOKUP(A343,'JOGOS BASE'!A:E,4,0),IF(K343=J343,VLOOKUP(J343,Substituicoes!J:R,6,0),IF(L343=J343,VLOOKUP(Escalacao!J343,Substituicoes!K:R,7,0),0)))</f>
        <v>0</v>
      </c>
      <c r="O343" s="28">
        <f>IF(AND(K343=L343,LEFT(E343,1)="T"),VLOOKUP(A343,'JOGOS BASE'!A:E,5,0),IF(K343=J343,VLOOKUP(J343,Substituicoes!J:R,7,0),IF(L343=J343,VLOOKUP(Escalacao!J343,Substituicoes!K:R,8,0),0)))</f>
        <v>0</v>
      </c>
      <c r="P343" s="28">
        <f t="shared" si="43"/>
        <v>0</v>
      </c>
      <c r="Q343" s="28" t="str">
        <f t="shared" si="44"/>
        <v>915IAPE - MA</v>
      </c>
      <c r="R343" s="28" t="str">
        <f>VLOOKUP(A343,'JOGOS BASE'!A:H,8)</f>
        <v>25.01.2025 - IAPE - MA x Imperatriz - MA</v>
      </c>
    </row>
    <row r="344" spans="1:18" ht="30.6">
      <c r="A344" s="15">
        <v>9</v>
      </c>
      <c r="B344" s="46">
        <v>17</v>
      </c>
      <c r="C344" s="45" t="s">
        <v>473</v>
      </c>
      <c r="D344" s="45" t="s">
        <v>474</v>
      </c>
      <c r="E344" s="47" t="s">
        <v>42</v>
      </c>
      <c r="F344" s="47" t="s">
        <v>56</v>
      </c>
      <c r="G344" s="46">
        <v>789699</v>
      </c>
      <c r="H344" s="18" t="s">
        <v>386</v>
      </c>
      <c r="I344" s="26" t="str">
        <f t="shared" si="40"/>
        <v>Kaio Camara</v>
      </c>
      <c r="J344" s="26" t="str">
        <f t="shared" si="41"/>
        <v>9IAPE - MA17</v>
      </c>
      <c r="K344" s="27" t="str">
        <f>IFERROR(VLOOKUP(J344,Substituicoes!J:J,1,0),"SS")</f>
        <v>9Iape - MA17</v>
      </c>
      <c r="L344" s="27" t="str">
        <f>IFERROR(VLOOKUP(J344,Substituicoes!K:K,1,0),"SS")</f>
        <v>SS</v>
      </c>
      <c r="M344" s="28" t="b">
        <f t="shared" si="42"/>
        <v>0</v>
      </c>
      <c r="N344" s="29">
        <f>IF(AND(K344=L344,LEFT(E344,1)="T"),VLOOKUP(A344,'JOGOS BASE'!A:E,4,0),IF(K344=J344,VLOOKUP(J344,Substituicoes!J:R,6,0),IF(L344=J344,VLOOKUP(Escalacao!J344,Substituicoes!K:R,7,0),0)))</f>
        <v>0</v>
      </c>
      <c r="O344" s="28">
        <f>IF(AND(K344=L344,LEFT(E344,1)="T"),VLOOKUP(A344,'JOGOS BASE'!A:E,5,0),IF(K344=J344,VLOOKUP(J344,Substituicoes!J:R,7,0),IF(L344=J344,VLOOKUP(Escalacao!J344,Substituicoes!K:R,8,0),0)))</f>
        <v>24</v>
      </c>
      <c r="P344" s="28">
        <f t="shared" si="43"/>
        <v>24</v>
      </c>
      <c r="Q344" s="28" t="str">
        <f t="shared" si="44"/>
        <v>917IAPE - MA</v>
      </c>
      <c r="R344" s="28" t="str">
        <f>VLOOKUP(A344,'JOGOS BASE'!A:H,8)</f>
        <v>25.01.2025 - IAPE - MA x Imperatriz - MA</v>
      </c>
    </row>
    <row r="345" spans="1:18" ht="30.6">
      <c r="A345" s="15">
        <v>9</v>
      </c>
      <c r="B345" s="46">
        <v>18</v>
      </c>
      <c r="C345" s="45" t="s">
        <v>457</v>
      </c>
      <c r="D345" s="45" t="s">
        <v>458</v>
      </c>
      <c r="E345" s="47" t="s">
        <v>42</v>
      </c>
      <c r="F345" s="47" t="s">
        <v>24</v>
      </c>
      <c r="G345" s="46">
        <v>709062</v>
      </c>
      <c r="H345" s="18" t="s">
        <v>386</v>
      </c>
      <c r="I345" s="26" t="str">
        <f t="shared" si="40"/>
        <v>Maykon</v>
      </c>
      <c r="J345" s="26" t="str">
        <f t="shared" si="41"/>
        <v>9IAPE - MA18</v>
      </c>
      <c r="K345" s="27" t="str">
        <f>IFERROR(VLOOKUP(J345,Substituicoes!J:J,1,0),"SS")</f>
        <v>9Iape - MA18</v>
      </c>
      <c r="L345" s="27" t="str">
        <f>IFERROR(VLOOKUP(J345,Substituicoes!K:K,1,0),"SS")</f>
        <v>SS</v>
      </c>
      <c r="M345" s="28" t="b">
        <f t="shared" si="42"/>
        <v>0</v>
      </c>
      <c r="N345" s="29">
        <f>IF(AND(K345=L345,LEFT(E345,1)="T"),VLOOKUP(A345,'JOGOS BASE'!A:E,4,0),IF(K345=J345,VLOOKUP(J345,Substituicoes!J:R,6,0),IF(L345=J345,VLOOKUP(Escalacao!J345,Substituicoes!K:R,7,0),0)))</f>
        <v>0</v>
      </c>
      <c r="O345" s="28">
        <f>IF(AND(K345=L345,LEFT(E345,1)="T"),VLOOKUP(A345,'JOGOS BASE'!A:E,5,0),IF(K345=J345,VLOOKUP(J345,Substituicoes!J:R,7,0),IF(L345=J345,VLOOKUP(Escalacao!J345,Substituicoes!K:R,8,0),0)))</f>
        <v>32</v>
      </c>
      <c r="P345" s="28">
        <f t="shared" si="43"/>
        <v>32</v>
      </c>
      <c r="Q345" s="28" t="str">
        <f t="shared" si="44"/>
        <v>918IAPE - MA</v>
      </c>
      <c r="R345" s="28" t="str">
        <f>VLOOKUP(A345,'JOGOS BASE'!A:H,8)</f>
        <v>25.01.2025 - IAPE - MA x Imperatriz - MA</v>
      </c>
    </row>
    <row r="346" spans="1:18" ht="30.6">
      <c r="A346" s="15">
        <v>9</v>
      </c>
      <c r="B346" s="46">
        <v>19</v>
      </c>
      <c r="C346" s="45" t="s">
        <v>469</v>
      </c>
      <c r="D346" s="45" t="s">
        <v>470</v>
      </c>
      <c r="E346" s="47" t="s">
        <v>42</v>
      </c>
      <c r="F346" s="47" t="s">
        <v>56</v>
      </c>
      <c r="G346" s="46">
        <v>865525</v>
      </c>
      <c r="H346" s="18" t="s">
        <v>386</v>
      </c>
      <c r="I346" s="26" t="str">
        <f t="shared" si="40"/>
        <v>ESQUERDIN</v>
      </c>
      <c r="J346" s="26" t="str">
        <f t="shared" si="41"/>
        <v>9IAPE - MA19</v>
      </c>
      <c r="K346" s="27" t="str">
        <f>IFERROR(VLOOKUP(J346,Substituicoes!J:J,1,0),"SS")</f>
        <v>SS</v>
      </c>
      <c r="L346" s="27" t="str">
        <f>IFERROR(VLOOKUP(J346,Substituicoes!K:K,1,0),"SS")</f>
        <v>SS</v>
      </c>
      <c r="M346" s="28" t="b">
        <f t="shared" si="42"/>
        <v>1</v>
      </c>
      <c r="N346" s="29">
        <f>IF(AND(K346=L346,LEFT(E346,1)="T"),VLOOKUP(A346,'JOGOS BASE'!A:E,4,0),IF(K346=J346,VLOOKUP(J346,Substituicoes!J:R,6,0),IF(L346=J346,VLOOKUP(Escalacao!J346,Substituicoes!K:R,7,0),0)))</f>
        <v>0</v>
      </c>
      <c r="O346" s="28">
        <f>IF(AND(K346=L346,LEFT(E346,1)="T"),VLOOKUP(A346,'JOGOS BASE'!A:E,5,0),IF(K346=J346,VLOOKUP(J346,Substituicoes!J:R,7,0),IF(L346=J346,VLOOKUP(Escalacao!J346,Substituicoes!K:R,8,0),0)))</f>
        <v>0</v>
      </c>
      <c r="P346" s="28">
        <f t="shared" si="43"/>
        <v>0</v>
      </c>
      <c r="Q346" s="28" t="str">
        <f t="shared" si="44"/>
        <v>919IAPE - MA</v>
      </c>
      <c r="R346" s="28" t="str">
        <f>VLOOKUP(A346,'JOGOS BASE'!A:H,8)</f>
        <v>25.01.2025 - IAPE - MA x Imperatriz - MA</v>
      </c>
    </row>
    <row r="347" spans="1:18" ht="20.399999999999999">
      <c r="A347" s="15">
        <v>9</v>
      </c>
      <c r="B347" s="46">
        <v>20</v>
      </c>
      <c r="C347" s="45" t="s">
        <v>471</v>
      </c>
      <c r="D347" s="45" t="s">
        <v>472</v>
      </c>
      <c r="E347" s="47" t="s">
        <v>42</v>
      </c>
      <c r="F347" s="47" t="s">
        <v>24</v>
      </c>
      <c r="G347" s="46">
        <v>538940</v>
      </c>
      <c r="H347" s="18" t="s">
        <v>386</v>
      </c>
      <c r="I347" s="26" t="str">
        <f t="shared" si="40"/>
        <v>Paulo Victor</v>
      </c>
      <c r="J347" s="26" t="str">
        <f t="shared" si="41"/>
        <v>9IAPE - MA20</v>
      </c>
      <c r="K347" s="27" t="str">
        <f>IFERROR(VLOOKUP(J347,Substituicoes!J:J,1,0),"SS")</f>
        <v>SS</v>
      </c>
      <c r="L347" s="27" t="str">
        <f>IFERROR(VLOOKUP(J347,Substituicoes!K:K,1,0),"SS")</f>
        <v>SS</v>
      </c>
      <c r="M347" s="28" t="b">
        <f t="shared" si="42"/>
        <v>1</v>
      </c>
      <c r="N347" s="29">
        <f>IF(AND(K347=L347,LEFT(E347,1)="T"),VLOOKUP(A347,'JOGOS BASE'!A:E,4,0),IF(K347=J347,VLOOKUP(J347,Substituicoes!J:R,6,0),IF(L347=J347,VLOOKUP(Escalacao!J347,Substituicoes!K:R,7,0),0)))</f>
        <v>0</v>
      </c>
      <c r="O347" s="28">
        <f>IF(AND(K347=L347,LEFT(E347,1)="T"),VLOOKUP(A347,'JOGOS BASE'!A:E,5,0),IF(K347=J347,VLOOKUP(J347,Substituicoes!J:R,7,0),IF(L347=J347,VLOOKUP(Escalacao!J347,Substituicoes!K:R,8,0),0)))</f>
        <v>0</v>
      </c>
      <c r="P347" s="28">
        <f t="shared" si="43"/>
        <v>0</v>
      </c>
      <c r="Q347" s="28" t="str">
        <f t="shared" si="44"/>
        <v>920IAPE - MA</v>
      </c>
      <c r="R347" s="28" t="str">
        <f>VLOOKUP(A347,'JOGOS BASE'!A:H,8)</f>
        <v>25.01.2025 - IAPE - MA x Imperatriz - MA</v>
      </c>
    </row>
    <row r="348" spans="1:18" ht="20.399999999999999">
      <c r="A348" s="15">
        <v>9</v>
      </c>
      <c r="B348" s="46">
        <v>21</v>
      </c>
      <c r="C348" s="45" t="s">
        <v>467</v>
      </c>
      <c r="D348" s="45" t="s">
        <v>468</v>
      </c>
      <c r="E348" s="47" t="s">
        <v>42</v>
      </c>
      <c r="F348" s="47" t="s">
        <v>24</v>
      </c>
      <c r="G348" s="46">
        <v>748771</v>
      </c>
      <c r="H348" s="18" t="s">
        <v>386</v>
      </c>
      <c r="I348" s="26" t="str">
        <f t="shared" si="40"/>
        <v>EDU</v>
      </c>
      <c r="J348" s="26" t="str">
        <f t="shared" si="41"/>
        <v>9IAPE - MA21</v>
      </c>
      <c r="K348" s="27" t="str">
        <f>IFERROR(VLOOKUP(J348,Substituicoes!J:J,1,0),"SS")</f>
        <v>9Iape - MA21</v>
      </c>
      <c r="L348" s="27" t="str">
        <f>IFERROR(VLOOKUP(J348,Substituicoes!K:K,1,0),"SS")</f>
        <v>SS</v>
      </c>
      <c r="M348" s="28" t="b">
        <f t="shared" si="42"/>
        <v>0</v>
      </c>
      <c r="N348" s="29">
        <f>IF(AND(K348=L348,LEFT(E348,1)="T"),VLOOKUP(A348,'JOGOS BASE'!A:E,4,0),IF(K348=J348,VLOOKUP(J348,Substituicoes!J:R,6,0),IF(L348=J348,VLOOKUP(Escalacao!J348,Substituicoes!K:R,7,0),0)))</f>
        <v>0</v>
      </c>
      <c r="O348" s="28">
        <f>IF(AND(K348=L348,LEFT(E348,1)="T"),VLOOKUP(A348,'JOGOS BASE'!A:E,5,0),IF(K348=J348,VLOOKUP(J348,Substituicoes!J:R,7,0),IF(L348=J348,VLOOKUP(Escalacao!J348,Substituicoes!K:R,8,0),0)))</f>
        <v>40</v>
      </c>
      <c r="P348" s="28">
        <f t="shared" si="43"/>
        <v>40</v>
      </c>
      <c r="Q348" s="28" t="str">
        <f t="shared" si="44"/>
        <v>921IAPE - MA</v>
      </c>
      <c r="R348" s="28" t="str">
        <f>VLOOKUP(A348,'JOGOS BASE'!A:H,8)</f>
        <v>25.01.2025 - IAPE - MA x Imperatriz - MA</v>
      </c>
    </row>
    <row r="349" spans="1:18" ht="20.399999999999999">
      <c r="A349" s="15">
        <v>9</v>
      </c>
      <c r="B349" s="46">
        <v>22</v>
      </c>
      <c r="C349" s="45" t="s">
        <v>448</v>
      </c>
      <c r="D349" s="45" t="s">
        <v>449</v>
      </c>
      <c r="E349" s="47" t="s">
        <v>42</v>
      </c>
      <c r="F349" s="47" t="s">
        <v>24</v>
      </c>
      <c r="G349" s="46">
        <v>367629</v>
      </c>
      <c r="H349" s="18" t="s">
        <v>386</v>
      </c>
      <c r="I349" s="26" t="str">
        <f t="shared" si="40"/>
        <v>Gleyson</v>
      </c>
      <c r="J349" s="26" t="str">
        <f t="shared" si="41"/>
        <v>9IAPE - MA22</v>
      </c>
      <c r="K349" s="27" t="str">
        <f>IFERROR(VLOOKUP(J349,Substituicoes!J:J,1,0),"SS")</f>
        <v>9Iape - MA22</v>
      </c>
      <c r="L349" s="27" t="str">
        <f>IFERROR(VLOOKUP(J349,Substituicoes!K:K,1,0),"SS")</f>
        <v>SS</v>
      </c>
      <c r="M349" s="28" t="b">
        <f t="shared" si="42"/>
        <v>0</v>
      </c>
      <c r="N349" s="29">
        <f>IF(AND(K349=L349,LEFT(E349,1)="T"),VLOOKUP(A349,'JOGOS BASE'!A:E,4,0),IF(K349=J349,VLOOKUP(J349,Substituicoes!J:R,6,0),IF(L349=J349,VLOOKUP(Escalacao!J349,Substituicoes!K:R,7,0),0)))</f>
        <v>0</v>
      </c>
      <c r="O349" s="28">
        <f>IF(AND(K349=L349,LEFT(E349,1)="T"),VLOOKUP(A349,'JOGOS BASE'!A:E,5,0),IF(K349=J349,VLOOKUP(J349,Substituicoes!J:R,7,0),IF(L349=J349,VLOOKUP(Escalacao!J349,Substituicoes!K:R,8,0),0)))</f>
        <v>40</v>
      </c>
      <c r="P349" s="28">
        <f t="shared" si="43"/>
        <v>40</v>
      </c>
      <c r="Q349" s="28" t="str">
        <f t="shared" si="44"/>
        <v>922IAPE - MA</v>
      </c>
      <c r="R349" s="28" t="str">
        <f>VLOOKUP(A349,'JOGOS BASE'!A:H,8)</f>
        <v>25.01.2025 - IAPE - MA x Imperatriz - MA</v>
      </c>
    </row>
    <row r="350" spans="1:18" ht="20.399999999999999">
      <c r="A350" s="15">
        <v>9</v>
      </c>
      <c r="B350" s="46">
        <v>1</v>
      </c>
      <c r="C350" s="45" t="s">
        <v>21</v>
      </c>
      <c r="D350" s="45" t="s">
        <v>22</v>
      </c>
      <c r="E350" s="47" t="s">
        <v>23</v>
      </c>
      <c r="F350" s="47" t="s">
        <v>24</v>
      </c>
      <c r="G350" s="46">
        <v>459328</v>
      </c>
      <c r="H350" s="18" t="s">
        <v>107</v>
      </c>
      <c r="I350" s="26" t="str">
        <f t="shared" si="40"/>
        <v>Jr Conceiç ...</v>
      </c>
      <c r="J350" s="26" t="str">
        <f t="shared" si="41"/>
        <v>9Imperatriz - MA1</v>
      </c>
      <c r="K350" s="27" t="str">
        <f>IFERROR(VLOOKUP(J350,Substituicoes!J:J,1,0),"SS")</f>
        <v>SS</v>
      </c>
      <c r="L350" s="27" t="str">
        <f>IFERROR(VLOOKUP(J350,Substituicoes!K:K,1,0),"SS")</f>
        <v>SS</v>
      </c>
      <c r="M350" s="28" t="b">
        <f t="shared" si="42"/>
        <v>1</v>
      </c>
      <c r="N350" s="29">
        <f>IF(AND(K350=L350,LEFT(E350,1)="T"),VLOOKUP(A350,'JOGOS BASE'!A:E,4,0),IF(K350=J350,VLOOKUP(J350,Substituicoes!J:R,6,0),IF(L350=J350,VLOOKUP(Escalacao!J350,Substituicoes!K:R,7,0),0)))</f>
        <v>48</v>
      </c>
      <c r="O350" s="28">
        <f>IF(AND(K350=L350,LEFT(E350,1)="T"),VLOOKUP(A350,'JOGOS BASE'!A:E,5,0),IF(K350=J350,VLOOKUP(J350,Substituicoes!J:R,7,0),IF(L350=J350,VLOOKUP(Escalacao!J350,Substituicoes!K:R,8,0),0)))</f>
        <v>49</v>
      </c>
      <c r="P350" s="28">
        <f t="shared" si="43"/>
        <v>97</v>
      </c>
      <c r="Q350" s="28" t="str">
        <f t="shared" si="44"/>
        <v>91Imperatriz - MA</v>
      </c>
      <c r="R350" s="28" t="str">
        <f>VLOOKUP(A350,'JOGOS BASE'!A:H,8)</f>
        <v>25.01.2025 - IAPE - MA x Imperatriz - MA</v>
      </c>
    </row>
    <row r="351" spans="1:18" ht="30.6">
      <c r="A351" s="15">
        <v>9</v>
      </c>
      <c r="B351" s="46">
        <v>2</v>
      </c>
      <c r="C351" s="45" t="s">
        <v>1</v>
      </c>
      <c r="D351" s="45" t="s">
        <v>25</v>
      </c>
      <c r="E351" s="47" t="s">
        <v>26</v>
      </c>
      <c r="F351" s="47" t="s">
        <v>24</v>
      </c>
      <c r="G351" s="46">
        <v>451402</v>
      </c>
      <c r="H351" s="18" t="s">
        <v>107</v>
      </c>
      <c r="I351" s="26" t="str">
        <f t="shared" si="40"/>
        <v>Fabricio</v>
      </c>
      <c r="J351" s="26" t="str">
        <f t="shared" si="41"/>
        <v>9Imperatriz - MA2</v>
      </c>
      <c r="K351" s="27" t="str">
        <f>IFERROR(VLOOKUP(J351,Substituicoes!J:J,1,0),"SS")</f>
        <v>SS</v>
      </c>
      <c r="L351" s="27" t="str">
        <f>IFERROR(VLOOKUP(J351,Substituicoes!K:K,1,0),"SS")</f>
        <v>SS</v>
      </c>
      <c r="M351" s="28" t="b">
        <f t="shared" si="42"/>
        <v>1</v>
      </c>
      <c r="N351" s="29">
        <f>IF(AND(K351=L351,LEFT(E351,1)="T"),VLOOKUP(A351,'JOGOS BASE'!A:E,4,0),IF(K351=J351,VLOOKUP(J351,Substituicoes!J:R,6,0),IF(L351=J351,VLOOKUP(Escalacao!J351,Substituicoes!K:R,7,0),0)))</f>
        <v>48</v>
      </c>
      <c r="O351" s="28">
        <f>IF(AND(K351=L351,LEFT(E351,1)="T"),VLOOKUP(A351,'JOGOS BASE'!A:E,5,0),IF(K351=J351,VLOOKUP(J351,Substituicoes!J:R,7,0),IF(L351=J351,VLOOKUP(Escalacao!J351,Substituicoes!K:R,8,0),0)))</f>
        <v>49</v>
      </c>
      <c r="P351" s="28">
        <f t="shared" si="43"/>
        <v>97</v>
      </c>
      <c r="Q351" s="28" t="str">
        <f t="shared" si="44"/>
        <v>92Imperatriz - MA</v>
      </c>
      <c r="R351" s="28" t="str">
        <f>VLOOKUP(A351,'JOGOS BASE'!A:H,8)</f>
        <v>25.01.2025 - IAPE - MA x Imperatriz - MA</v>
      </c>
    </row>
    <row r="352" spans="1:18" ht="20.399999999999999">
      <c r="A352" s="15">
        <v>9</v>
      </c>
      <c r="B352" s="46">
        <v>3</v>
      </c>
      <c r="C352" s="45" t="s">
        <v>2</v>
      </c>
      <c r="D352" s="45" t="s">
        <v>27</v>
      </c>
      <c r="E352" s="47" t="s">
        <v>26</v>
      </c>
      <c r="F352" s="47" t="s">
        <v>24</v>
      </c>
      <c r="G352" s="46">
        <v>393115</v>
      </c>
      <c r="H352" s="18" t="s">
        <v>107</v>
      </c>
      <c r="I352" s="26" t="str">
        <f t="shared" si="40"/>
        <v>Andre Penalva</v>
      </c>
      <c r="J352" s="26" t="str">
        <f t="shared" si="41"/>
        <v>9Imperatriz - MA3</v>
      </c>
      <c r="K352" s="27" t="str">
        <f>IFERROR(VLOOKUP(J352,Substituicoes!J:J,1,0),"SS")</f>
        <v>SS</v>
      </c>
      <c r="L352" s="27" t="str">
        <f>IFERROR(VLOOKUP(J352,Substituicoes!K:K,1,0),"SS")</f>
        <v>SS</v>
      </c>
      <c r="M352" s="28" t="b">
        <f t="shared" si="42"/>
        <v>1</v>
      </c>
      <c r="N352" s="29">
        <f>IF(AND(K352=L352,LEFT(E352,1)="T"),VLOOKUP(A352,'JOGOS BASE'!A:E,4,0),IF(K352=J352,VLOOKUP(J352,Substituicoes!J:R,6,0),IF(L352=J352,VLOOKUP(Escalacao!J352,Substituicoes!K:R,7,0),0)))</f>
        <v>48</v>
      </c>
      <c r="O352" s="28">
        <f>IF(AND(K352=L352,LEFT(E352,1)="T"),VLOOKUP(A352,'JOGOS BASE'!A:E,5,0),IF(K352=J352,VLOOKUP(J352,Substituicoes!J:R,7,0),IF(L352=J352,VLOOKUP(Escalacao!J352,Substituicoes!K:R,8,0),0)))</f>
        <v>49</v>
      </c>
      <c r="P352" s="28">
        <f t="shared" si="43"/>
        <v>97</v>
      </c>
      <c r="Q352" s="28" t="str">
        <f t="shared" si="44"/>
        <v>93Imperatriz - MA</v>
      </c>
      <c r="R352" s="28" t="str">
        <f>VLOOKUP(A352,'JOGOS BASE'!A:H,8)</f>
        <v>25.01.2025 - IAPE - MA x Imperatriz - MA</v>
      </c>
    </row>
    <row r="353" spans="1:18" ht="20.399999999999999">
      <c r="A353" s="15">
        <v>9</v>
      </c>
      <c r="B353" s="46">
        <v>4</v>
      </c>
      <c r="C353" s="45" t="s">
        <v>28</v>
      </c>
      <c r="D353" s="45" t="s">
        <v>29</v>
      </c>
      <c r="E353" s="47" t="s">
        <v>26</v>
      </c>
      <c r="F353" s="47" t="s">
        <v>24</v>
      </c>
      <c r="G353" s="46">
        <v>373479</v>
      </c>
      <c r="H353" s="18" t="s">
        <v>107</v>
      </c>
      <c r="I353" s="26" t="str">
        <f t="shared" si="40"/>
        <v>FELIPE</v>
      </c>
      <c r="J353" s="26" t="str">
        <f t="shared" si="41"/>
        <v>9Imperatriz - MA4</v>
      </c>
      <c r="K353" s="27" t="str">
        <f>IFERROR(VLOOKUP(J353,Substituicoes!J:J,1,0),"SS")</f>
        <v>SS</v>
      </c>
      <c r="L353" s="27" t="str">
        <f>IFERROR(VLOOKUP(J353,Substituicoes!K:K,1,0),"SS")</f>
        <v>SS</v>
      </c>
      <c r="M353" s="28" t="b">
        <f t="shared" si="42"/>
        <v>1</v>
      </c>
      <c r="N353" s="29">
        <f>IF(AND(K353=L353,LEFT(E353,1)="T"),VLOOKUP(A353,'JOGOS BASE'!A:E,4,0),IF(K353=J353,VLOOKUP(J353,Substituicoes!J:R,6,0),IF(L353=J353,VLOOKUP(Escalacao!J353,Substituicoes!K:R,7,0),0)))</f>
        <v>48</v>
      </c>
      <c r="O353" s="28">
        <f>IF(AND(K353=L353,LEFT(E353,1)="T"),VLOOKUP(A353,'JOGOS BASE'!A:E,5,0),IF(K353=J353,VLOOKUP(J353,Substituicoes!J:R,7,0),IF(L353=J353,VLOOKUP(Escalacao!J353,Substituicoes!K:R,8,0),0)))</f>
        <v>49</v>
      </c>
      <c r="P353" s="28">
        <f t="shared" si="43"/>
        <v>97</v>
      </c>
      <c r="Q353" s="28" t="str">
        <f t="shared" si="44"/>
        <v>94Imperatriz - MA</v>
      </c>
      <c r="R353" s="28" t="str">
        <f>VLOOKUP(A353,'JOGOS BASE'!A:H,8)</f>
        <v>25.01.2025 - IAPE - MA x Imperatriz - MA</v>
      </c>
    </row>
    <row r="354" spans="1:18" ht="30.6">
      <c r="A354" s="15">
        <v>9</v>
      </c>
      <c r="B354" s="46">
        <v>5</v>
      </c>
      <c r="C354" s="45" t="s">
        <v>30</v>
      </c>
      <c r="D354" s="45" t="s">
        <v>31</v>
      </c>
      <c r="E354" s="47" t="s">
        <v>26</v>
      </c>
      <c r="F354" s="47" t="s">
        <v>24</v>
      </c>
      <c r="G354" s="46">
        <v>345029</v>
      </c>
      <c r="H354" s="18" t="s">
        <v>107</v>
      </c>
      <c r="I354" s="26" t="str">
        <f t="shared" si="40"/>
        <v>Jeferson P ...</v>
      </c>
      <c r="J354" s="26" t="str">
        <f t="shared" si="41"/>
        <v>9Imperatriz - MA5</v>
      </c>
      <c r="K354" s="27" t="str">
        <f>IFERROR(VLOOKUP(J354,Substituicoes!J:J,1,0),"SS")</f>
        <v>SS</v>
      </c>
      <c r="L354" s="27" t="str">
        <f>IFERROR(VLOOKUP(J354,Substituicoes!K:K,1,0),"SS")</f>
        <v>SS</v>
      </c>
      <c r="M354" s="28" t="b">
        <f t="shared" si="42"/>
        <v>1</v>
      </c>
      <c r="N354" s="29">
        <f>IF(AND(K354=L354,LEFT(E354,1)="T"),VLOOKUP(A354,'JOGOS BASE'!A:E,4,0),IF(K354=J354,VLOOKUP(J354,Substituicoes!J:R,6,0),IF(L354=J354,VLOOKUP(Escalacao!J354,Substituicoes!K:R,7,0),0)))</f>
        <v>48</v>
      </c>
      <c r="O354" s="28">
        <f>IF(AND(K354=L354,LEFT(E354,1)="T"),VLOOKUP(A354,'JOGOS BASE'!A:E,5,0),IF(K354=J354,VLOOKUP(J354,Substituicoes!J:R,7,0),IF(L354=J354,VLOOKUP(Escalacao!J354,Substituicoes!K:R,8,0),0)))</f>
        <v>49</v>
      </c>
      <c r="P354" s="28">
        <f t="shared" si="43"/>
        <v>97</v>
      </c>
      <c r="Q354" s="28" t="str">
        <f t="shared" si="44"/>
        <v>95Imperatriz - MA</v>
      </c>
      <c r="R354" s="28" t="str">
        <f>VLOOKUP(A354,'JOGOS BASE'!A:H,8)</f>
        <v>25.01.2025 - IAPE - MA x Imperatriz - MA</v>
      </c>
    </row>
    <row r="355" spans="1:18" ht="30.6">
      <c r="A355" s="15">
        <v>9</v>
      </c>
      <c r="B355" s="46">
        <v>6</v>
      </c>
      <c r="C355" s="45" t="s">
        <v>3</v>
      </c>
      <c r="D355" s="45" t="s">
        <v>32</v>
      </c>
      <c r="E355" s="47" t="s">
        <v>26</v>
      </c>
      <c r="F355" s="47" t="s">
        <v>24</v>
      </c>
      <c r="G355" s="46">
        <v>634279</v>
      </c>
      <c r="H355" s="18" t="s">
        <v>107</v>
      </c>
      <c r="I355" s="26" t="str">
        <f t="shared" si="40"/>
        <v>Negueba</v>
      </c>
      <c r="J355" s="26" t="str">
        <f t="shared" si="41"/>
        <v>9Imperatriz - MA6</v>
      </c>
      <c r="K355" s="27" t="str">
        <f>IFERROR(VLOOKUP(J355,Substituicoes!J:J,1,0),"SS")</f>
        <v>SS</v>
      </c>
      <c r="L355" s="27" t="str">
        <f>IFERROR(VLOOKUP(J355,Substituicoes!K:K,1,0),"SS")</f>
        <v>SS</v>
      </c>
      <c r="M355" s="28" t="b">
        <f t="shared" si="42"/>
        <v>1</v>
      </c>
      <c r="N355" s="29">
        <f>IF(AND(K355=L355,LEFT(E355,1)="T"),VLOOKUP(A355,'JOGOS BASE'!A:E,4,0),IF(K355=J355,VLOOKUP(J355,Substituicoes!J:R,6,0),IF(L355=J355,VLOOKUP(Escalacao!J355,Substituicoes!K:R,7,0),0)))</f>
        <v>48</v>
      </c>
      <c r="O355" s="28">
        <f>IF(AND(K355=L355,LEFT(E355,1)="T"),VLOOKUP(A355,'JOGOS BASE'!A:E,5,0),IF(K355=J355,VLOOKUP(J355,Substituicoes!J:R,7,0),IF(L355=J355,VLOOKUP(Escalacao!J355,Substituicoes!K:R,8,0),0)))</f>
        <v>49</v>
      </c>
      <c r="P355" s="28">
        <f t="shared" si="43"/>
        <v>97</v>
      </c>
      <c r="Q355" s="28" t="str">
        <f t="shared" si="44"/>
        <v>96Imperatriz - MA</v>
      </c>
      <c r="R355" s="28" t="str">
        <f>VLOOKUP(A355,'JOGOS BASE'!A:H,8)</f>
        <v>25.01.2025 - IAPE - MA x Imperatriz - MA</v>
      </c>
    </row>
    <row r="356" spans="1:18" ht="30.6">
      <c r="A356" s="15">
        <v>9</v>
      </c>
      <c r="B356" s="46">
        <v>7</v>
      </c>
      <c r="C356" s="45" t="s">
        <v>569</v>
      </c>
      <c r="D356" s="45" t="s">
        <v>570</v>
      </c>
      <c r="E356" s="47" t="s">
        <v>26</v>
      </c>
      <c r="F356" s="47" t="s">
        <v>24</v>
      </c>
      <c r="G356" s="46">
        <v>644343</v>
      </c>
      <c r="H356" s="18" t="s">
        <v>107</v>
      </c>
      <c r="I356" s="26" t="str">
        <f t="shared" si="40"/>
        <v>WESLLEY</v>
      </c>
      <c r="J356" s="26" t="str">
        <f t="shared" si="41"/>
        <v>9Imperatriz - MA7</v>
      </c>
      <c r="K356" s="27" t="str">
        <f>IFERROR(VLOOKUP(J356,Substituicoes!J:J,1,0),"SS")</f>
        <v>SS</v>
      </c>
      <c r="L356" s="27" t="str">
        <f>IFERROR(VLOOKUP(J356,Substituicoes!K:K,1,0),"SS")</f>
        <v>9Imperatriz - MA7</v>
      </c>
      <c r="M356" s="28" t="b">
        <f t="shared" si="42"/>
        <v>0</v>
      </c>
      <c r="N356" s="29">
        <f>IF(AND(K356=L356,LEFT(E356,1)="T"),VLOOKUP(A356,'JOGOS BASE'!A:E,4,0),IF(K356=J356,VLOOKUP(J356,Substituicoes!J:R,6,0),IF(L356=J356,VLOOKUP(Escalacao!J356,Substituicoes!K:R,7,0),0)))</f>
        <v>48</v>
      </c>
      <c r="O356" s="28">
        <f>IF(AND(K356=L356,LEFT(E356,1)="T"),VLOOKUP(A356,'JOGOS BASE'!A:E,5,0),IF(K356=J356,VLOOKUP(J356,Substituicoes!J:R,7,0),IF(L356=J356,VLOOKUP(Escalacao!J356,Substituicoes!K:R,8,0),0)))</f>
        <v>34</v>
      </c>
      <c r="P356" s="28">
        <f t="shared" si="43"/>
        <v>82</v>
      </c>
      <c r="Q356" s="28" t="str">
        <f t="shared" si="44"/>
        <v>97Imperatriz - MA</v>
      </c>
      <c r="R356" s="28" t="str">
        <f>VLOOKUP(A356,'JOGOS BASE'!A:H,8)</f>
        <v>25.01.2025 - IAPE - MA x Imperatriz - MA</v>
      </c>
    </row>
    <row r="357" spans="1:18" ht="30.6">
      <c r="A357" s="15">
        <v>9</v>
      </c>
      <c r="B357" s="46">
        <v>8</v>
      </c>
      <c r="C357" s="45" t="s">
        <v>5</v>
      </c>
      <c r="D357" s="45" t="s">
        <v>34</v>
      </c>
      <c r="E357" s="47" t="s">
        <v>26</v>
      </c>
      <c r="F357" s="47" t="s">
        <v>24</v>
      </c>
      <c r="G357" s="46">
        <v>348355</v>
      </c>
      <c r="H357" s="18" t="s">
        <v>107</v>
      </c>
      <c r="I357" s="26" t="str">
        <f t="shared" si="40"/>
        <v>Felipe Macena</v>
      </c>
      <c r="J357" s="26" t="str">
        <f t="shared" si="41"/>
        <v>9Imperatriz - MA8</v>
      </c>
      <c r="K357" s="27" t="str">
        <f>IFERROR(VLOOKUP(J357,Substituicoes!J:J,1,0),"SS")</f>
        <v>SS</v>
      </c>
      <c r="L357" s="27" t="str">
        <f>IFERROR(VLOOKUP(J357,Substituicoes!K:K,1,0),"SS")</f>
        <v>9Imperatriz - MA8</v>
      </c>
      <c r="M357" s="28" t="b">
        <f t="shared" si="42"/>
        <v>0</v>
      </c>
      <c r="N357" s="29">
        <f>IF(AND(K357=L357,LEFT(E357,1)="T"),VLOOKUP(A357,'JOGOS BASE'!A:E,4,0),IF(K357=J357,VLOOKUP(J357,Substituicoes!J:R,6,0),IF(L357=J357,VLOOKUP(Escalacao!J357,Substituicoes!K:R,7,0),0)))</f>
        <v>48</v>
      </c>
      <c r="O357" s="28">
        <f>IF(AND(K357=L357,LEFT(E357,1)="T"),VLOOKUP(A357,'JOGOS BASE'!A:E,5,0),IF(K357=J357,VLOOKUP(J357,Substituicoes!J:R,7,0),IF(L357=J357,VLOOKUP(Escalacao!J357,Substituicoes!K:R,8,0),0)))</f>
        <v>0</v>
      </c>
      <c r="P357" s="28">
        <f t="shared" si="43"/>
        <v>48</v>
      </c>
      <c r="Q357" s="28" t="str">
        <f t="shared" si="44"/>
        <v>98Imperatriz - MA</v>
      </c>
      <c r="R357" s="28" t="str">
        <f>VLOOKUP(A357,'JOGOS BASE'!A:H,8)</f>
        <v>25.01.2025 - IAPE - MA x Imperatriz - MA</v>
      </c>
    </row>
    <row r="358" spans="1:18" ht="30.6">
      <c r="A358" s="15">
        <v>9</v>
      </c>
      <c r="B358" s="46">
        <v>9</v>
      </c>
      <c r="C358" s="45" t="s">
        <v>6</v>
      </c>
      <c r="D358" s="45" t="s">
        <v>563</v>
      </c>
      <c r="E358" s="47" t="s">
        <v>26</v>
      </c>
      <c r="F358" s="47" t="s">
        <v>24</v>
      </c>
      <c r="G358" s="46">
        <v>637641</v>
      </c>
      <c r="H358" s="18" t="s">
        <v>107</v>
      </c>
      <c r="I358" s="26" t="str">
        <f t="shared" si="40"/>
        <v>Lussandro</v>
      </c>
      <c r="J358" s="26" t="str">
        <f t="shared" si="41"/>
        <v>9Imperatriz - MA9</v>
      </c>
      <c r="K358" s="27" t="str">
        <f>IFERROR(VLOOKUP(J358,Substituicoes!J:J,1,0),"SS")</f>
        <v>SS</v>
      </c>
      <c r="L358" s="27" t="str">
        <f>IFERROR(VLOOKUP(J358,Substituicoes!K:K,1,0),"SS")</f>
        <v>9Imperatriz - MA9</v>
      </c>
      <c r="M358" s="28" t="b">
        <f t="shared" si="42"/>
        <v>0</v>
      </c>
      <c r="N358" s="29">
        <f>IF(AND(K358=L358,LEFT(E358,1)="T"),VLOOKUP(A358,'JOGOS BASE'!A:E,4,0),IF(K358=J358,VLOOKUP(J358,Substituicoes!J:R,6,0),IF(L358=J358,VLOOKUP(Escalacao!J358,Substituicoes!K:R,7,0),0)))</f>
        <v>48</v>
      </c>
      <c r="O358" s="28">
        <f>IF(AND(K358=L358,LEFT(E358,1)="T"),VLOOKUP(A358,'JOGOS BASE'!A:E,5,0),IF(K358=J358,VLOOKUP(J358,Substituicoes!J:R,7,0),IF(L358=J358,VLOOKUP(Escalacao!J358,Substituicoes!K:R,8,0),0)))</f>
        <v>10</v>
      </c>
      <c r="P358" s="28">
        <f t="shared" si="43"/>
        <v>58</v>
      </c>
      <c r="Q358" s="28" t="str">
        <f t="shared" si="44"/>
        <v>99Imperatriz - MA</v>
      </c>
      <c r="R358" s="28" t="str">
        <f>VLOOKUP(A358,'JOGOS BASE'!A:H,8)</f>
        <v>25.01.2025 - IAPE - MA x Imperatriz - MA</v>
      </c>
    </row>
    <row r="359" spans="1:18" ht="30.6">
      <c r="A359" s="15">
        <v>9</v>
      </c>
      <c r="B359" s="46">
        <v>10</v>
      </c>
      <c r="C359" s="45" t="s">
        <v>36</v>
      </c>
      <c r="D359" s="45" t="s">
        <v>37</v>
      </c>
      <c r="E359" s="47" t="s">
        <v>26</v>
      </c>
      <c r="F359" s="47" t="s">
        <v>24</v>
      </c>
      <c r="G359" s="46">
        <v>293426</v>
      </c>
      <c r="H359" s="18" t="s">
        <v>107</v>
      </c>
      <c r="I359" s="26" t="str">
        <f t="shared" si="40"/>
        <v>Henrique S ...</v>
      </c>
      <c r="J359" s="26" t="str">
        <f t="shared" si="41"/>
        <v>9Imperatriz - MA10</v>
      </c>
      <c r="K359" s="27" t="str">
        <f>IFERROR(VLOOKUP(J359,Substituicoes!J:J,1,0),"SS")</f>
        <v>SS</v>
      </c>
      <c r="L359" s="27" t="str">
        <f>IFERROR(VLOOKUP(J359,Substituicoes!K:K,1,0),"SS")</f>
        <v>9Imperatriz - MA10</v>
      </c>
      <c r="M359" s="28" t="b">
        <f t="shared" si="42"/>
        <v>0</v>
      </c>
      <c r="N359" s="29">
        <f>IF(AND(K359=L359,LEFT(E359,1)="T"),VLOOKUP(A359,'JOGOS BASE'!A:E,4,0),IF(K359=J359,VLOOKUP(J359,Substituicoes!J:R,6,0),IF(L359=J359,VLOOKUP(Escalacao!J359,Substituicoes!K:R,7,0),0)))</f>
        <v>48</v>
      </c>
      <c r="O359" s="28">
        <f>IF(AND(K359=L359,LEFT(E359,1)="T"),VLOOKUP(A359,'JOGOS BASE'!A:E,5,0),IF(K359=J359,VLOOKUP(J359,Substituicoes!J:R,7,0),IF(L359=J359,VLOOKUP(Escalacao!J359,Substituicoes!K:R,8,0),0)))</f>
        <v>10</v>
      </c>
      <c r="P359" s="28">
        <f t="shared" si="43"/>
        <v>58</v>
      </c>
      <c r="Q359" s="28" t="str">
        <f t="shared" si="44"/>
        <v>910Imperatriz - MA</v>
      </c>
      <c r="R359" s="28" t="str">
        <f>VLOOKUP(A359,'JOGOS BASE'!A:H,8)</f>
        <v>25.01.2025 - IAPE - MA x Imperatriz - MA</v>
      </c>
    </row>
    <row r="360" spans="1:18" ht="20.399999999999999">
      <c r="A360" s="15">
        <v>9</v>
      </c>
      <c r="B360" s="46">
        <v>19</v>
      </c>
      <c r="C360" s="45" t="s">
        <v>7</v>
      </c>
      <c r="D360" s="45" t="s">
        <v>38</v>
      </c>
      <c r="E360" s="47" t="s">
        <v>26</v>
      </c>
      <c r="F360" s="47" t="s">
        <v>24</v>
      </c>
      <c r="G360" s="46">
        <v>386286</v>
      </c>
      <c r="H360" s="18" t="s">
        <v>107</v>
      </c>
      <c r="I360" s="26" t="str">
        <f t="shared" si="40"/>
        <v>Café</v>
      </c>
      <c r="J360" s="26" t="str">
        <f t="shared" si="41"/>
        <v>9Imperatriz - MA19</v>
      </c>
      <c r="K360" s="27" t="str">
        <f>IFERROR(VLOOKUP(J360,Substituicoes!J:J,1,0),"SS")</f>
        <v>SS</v>
      </c>
      <c r="L360" s="27" t="str">
        <f>IFERROR(VLOOKUP(J360,Substituicoes!K:K,1,0),"SS")</f>
        <v>9Imperatriz - MA19</v>
      </c>
      <c r="M360" s="28" t="b">
        <f t="shared" si="42"/>
        <v>0</v>
      </c>
      <c r="N360" s="29">
        <f>IF(AND(K360=L360,LEFT(E360,1)="T"),VLOOKUP(A360,'JOGOS BASE'!A:E,4,0),IF(K360=J360,VLOOKUP(J360,Substituicoes!J:R,6,0),IF(L360=J360,VLOOKUP(Escalacao!J360,Substituicoes!K:R,7,0),0)))</f>
        <v>48</v>
      </c>
      <c r="O360" s="28">
        <f>IF(AND(K360=L360,LEFT(E360,1)="T"),VLOOKUP(A360,'JOGOS BASE'!A:E,5,0),IF(K360=J360,VLOOKUP(J360,Substituicoes!J:R,7,0),IF(L360=J360,VLOOKUP(Escalacao!J360,Substituicoes!K:R,8,0),0)))</f>
        <v>19</v>
      </c>
      <c r="P360" s="28">
        <f t="shared" si="43"/>
        <v>67</v>
      </c>
      <c r="Q360" s="28" t="str">
        <f t="shared" si="44"/>
        <v>919Imperatriz - MA</v>
      </c>
      <c r="R360" s="28" t="str">
        <f>VLOOKUP(A360,'JOGOS BASE'!A:H,8)</f>
        <v>25.01.2025 - IAPE - MA x Imperatriz - MA</v>
      </c>
    </row>
    <row r="361" spans="1:18" ht="30.6">
      <c r="A361" s="15">
        <v>9</v>
      </c>
      <c r="B361" s="46">
        <v>12</v>
      </c>
      <c r="C361" s="45" t="s">
        <v>8</v>
      </c>
      <c r="D361" s="45" t="s">
        <v>39</v>
      </c>
      <c r="E361" s="47" t="s">
        <v>40</v>
      </c>
      <c r="F361" s="47" t="s">
        <v>24</v>
      </c>
      <c r="G361" s="46">
        <v>426518</v>
      </c>
      <c r="H361" s="18" t="s">
        <v>107</v>
      </c>
      <c r="I361" s="26" t="str">
        <f t="shared" si="40"/>
        <v>Redson</v>
      </c>
      <c r="J361" s="26" t="str">
        <f t="shared" si="41"/>
        <v>9Imperatriz - MA12</v>
      </c>
      <c r="K361" s="27" t="str">
        <f>IFERROR(VLOOKUP(J361,Substituicoes!J:J,1,0),"SS")</f>
        <v>SS</v>
      </c>
      <c r="L361" s="27" t="str">
        <f>IFERROR(VLOOKUP(J361,Substituicoes!K:K,1,0),"SS")</f>
        <v>SS</v>
      </c>
      <c r="M361" s="28" t="b">
        <f t="shared" si="42"/>
        <v>1</v>
      </c>
      <c r="N361" s="29">
        <f>IF(AND(K361=L361,LEFT(E361,1)="T"),VLOOKUP(A361,'JOGOS BASE'!A:E,4,0),IF(K361=J361,VLOOKUP(J361,Substituicoes!J:R,6,0),IF(L361=J361,VLOOKUP(Escalacao!J361,Substituicoes!K:R,7,0),0)))</f>
        <v>0</v>
      </c>
      <c r="O361" s="28">
        <f>IF(AND(K361=L361,LEFT(E361,1)="T"),VLOOKUP(A361,'JOGOS BASE'!A:E,5,0),IF(K361=J361,VLOOKUP(J361,Substituicoes!J:R,7,0),IF(L361=J361,VLOOKUP(Escalacao!J361,Substituicoes!K:R,8,0),0)))</f>
        <v>0</v>
      </c>
      <c r="P361" s="28">
        <f t="shared" si="43"/>
        <v>0</v>
      </c>
      <c r="Q361" s="28" t="str">
        <f t="shared" si="44"/>
        <v>912Imperatriz - MA</v>
      </c>
      <c r="R361" s="28" t="str">
        <f>VLOOKUP(A361,'JOGOS BASE'!A:H,8)</f>
        <v>25.01.2025 - IAPE - MA x Imperatriz - MA</v>
      </c>
    </row>
    <row r="362" spans="1:18" ht="30.6">
      <c r="A362" s="15">
        <v>9</v>
      </c>
      <c r="B362" s="46">
        <v>11</v>
      </c>
      <c r="C362" s="45" t="s">
        <v>51</v>
      </c>
      <c r="D362" s="45" t="s">
        <v>564</v>
      </c>
      <c r="E362" s="47" t="s">
        <v>42</v>
      </c>
      <c r="F362" s="47" t="s">
        <v>24</v>
      </c>
      <c r="G362" s="46">
        <v>611147</v>
      </c>
      <c r="H362" s="18" t="s">
        <v>107</v>
      </c>
      <c r="I362" s="26" t="str">
        <f t="shared" si="40"/>
        <v>WYLDSON</v>
      </c>
      <c r="J362" s="26" t="str">
        <f t="shared" si="41"/>
        <v>9Imperatriz - MA11</v>
      </c>
      <c r="K362" s="27" t="str">
        <f>IFERROR(VLOOKUP(J362,Substituicoes!J:J,1,0),"SS")</f>
        <v>9Imperatriz - MA11</v>
      </c>
      <c r="L362" s="27" t="str">
        <f>IFERROR(VLOOKUP(J362,Substituicoes!K:K,1,0),"SS")</f>
        <v>SS</v>
      </c>
      <c r="M362" s="28" t="b">
        <f t="shared" si="42"/>
        <v>0</v>
      </c>
      <c r="N362" s="29">
        <f>IF(AND(K362=L362,LEFT(E362,1)="T"),VLOOKUP(A362,'JOGOS BASE'!A:E,4,0),IF(K362=J362,VLOOKUP(J362,Substituicoes!J:R,6,0),IF(L362=J362,VLOOKUP(Escalacao!J362,Substituicoes!K:R,7,0),0)))</f>
        <v>0</v>
      </c>
      <c r="O362" s="28">
        <f>IF(AND(K362=L362,LEFT(E362,1)="T"),VLOOKUP(A362,'JOGOS BASE'!A:E,5,0),IF(K362=J362,VLOOKUP(J362,Substituicoes!J:R,7,0),IF(L362=J362,VLOOKUP(Escalacao!J362,Substituicoes!K:R,8,0),0)))</f>
        <v>49</v>
      </c>
      <c r="P362" s="28">
        <f t="shared" si="43"/>
        <v>49</v>
      </c>
      <c r="Q362" s="28" t="str">
        <f t="shared" si="44"/>
        <v>911Imperatriz - MA</v>
      </c>
      <c r="R362" s="28" t="str">
        <f>VLOOKUP(A362,'JOGOS BASE'!A:H,8)</f>
        <v>25.01.2025 - IAPE - MA x Imperatriz - MA</v>
      </c>
    </row>
    <row r="363" spans="1:18" ht="30.6">
      <c r="A363" s="15">
        <v>9</v>
      </c>
      <c r="B363" s="46">
        <v>13</v>
      </c>
      <c r="C363" s="45" t="s">
        <v>43</v>
      </c>
      <c r="D363" s="45" t="s">
        <v>44</v>
      </c>
      <c r="E363" s="47" t="s">
        <v>42</v>
      </c>
      <c r="F363" s="47" t="s">
        <v>24</v>
      </c>
      <c r="G363" s="46">
        <v>782606</v>
      </c>
      <c r="H363" s="18" t="s">
        <v>107</v>
      </c>
      <c r="I363" s="26" t="str">
        <f t="shared" si="40"/>
        <v>Raylson</v>
      </c>
      <c r="J363" s="26" t="str">
        <f t="shared" si="41"/>
        <v>9Imperatriz - MA13</v>
      </c>
      <c r="K363" s="27" t="str">
        <f>IFERROR(VLOOKUP(J363,Substituicoes!J:J,1,0),"SS")</f>
        <v>SS</v>
      </c>
      <c r="L363" s="27" t="str">
        <f>IFERROR(VLOOKUP(J363,Substituicoes!K:K,1,0),"SS")</f>
        <v>SS</v>
      </c>
      <c r="M363" s="28" t="b">
        <f t="shared" si="42"/>
        <v>1</v>
      </c>
      <c r="N363" s="29">
        <f>IF(AND(K363=L363,LEFT(E363,1)="T"),VLOOKUP(A363,'JOGOS BASE'!A:E,4,0),IF(K363=J363,VLOOKUP(J363,Substituicoes!J:R,6,0),IF(L363=J363,VLOOKUP(Escalacao!J363,Substituicoes!K:R,7,0),0)))</f>
        <v>0</v>
      </c>
      <c r="O363" s="28">
        <f>IF(AND(K363=L363,LEFT(E363,1)="T"),VLOOKUP(A363,'JOGOS BASE'!A:E,5,0),IF(K363=J363,VLOOKUP(J363,Substituicoes!J:R,7,0),IF(L363=J363,VLOOKUP(Escalacao!J363,Substituicoes!K:R,8,0),0)))</f>
        <v>0</v>
      </c>
      <c r="P363" s="28">
        <f t="shared" si="43"/>
        <v>0</v>
      </c>
      <c r="Q363" s="28" t="str">
        <f t="shared" si="44"/>
        <v>913Imperatriz - MA</v>
      </c>
      <c r="R363" s="28" t="str">
        <f>VLOOKUP(A363,'JOGOS BASE'!A:H,8)</f>
        <v>25.01.2025 - IAPE - MA x Imperatriz - MA</v>
      </c>
    </row>
    <row r="364" spans="1:18" ht="30.6">
      <c r="A364" s="15">
        <v>9</v>
      </c>
      <c r="B364" s="46">
        <v>14</v>
      </c>
      <c r="C364" s="45" t="s">
        <v>565</v>
      </c>
      <c r="D364" s="45" t="s">
        <v>566</v>
      </c>
      <c r="E364" s="47" t="s">
        <v>42</v>
      </c>
      <c r="F364" s="47" t="s">
        <v>24</v>
      </c>
      <c r="G364" s="46">
        <v>300045</v>
      </c>
      <c r="H364" s="18" t="s">
        <v>107</v>
      </c>
      <c r="I364" s="26" t="str">
        <f t="shared" si="40"/>
        <v>Gleidson</v>
      </c>
      <c r="J364" s="26" t="str">
        <f t="shared" si="41"/>
        <v>9Imperatriz - MA14</v>
      </c>
      <c r="K364" s="27" t="str">
        <f>IFERROR(VLOOKUP(J364,Substituicoes!J:J,1,0),"SS")</f>
        <v>SS</v>
      </c>
      <c r="L364" s="27" t="str">
        <f>IFERROR(VLOOKUP(J364,Substituicoes!K:K,1,0),"SS")</f>
        <v>SS</v>
      </c>
      <c r="M364" s="28" t="b">
        <f t="shared" si="42"/>
        <v>1</v>
      </c>
      <c r="N364" s="29">
        <f>IF(AND(K364=L364,LEFT(E364,1)="T"),VLOOKUP(A364,'JOGOS BASE'!A:E,4,0),IF(K364=J364,VLOOKUP(J364,Substituicoes!J:R,6,0),IF(L364=J364,VLOOKUP(Escalacao!J364,Substituicoes!K:R,7,0),0)))</f>
        <v>0</v>
      </c>
      <c r="O364" s="28">
        <f>IF(AND(K364=L364,LEFT(E364,1)="T"),VLOOKUP(A364,'JOGOS BASE'!A:E,5,0),IF(K364=J364,VLOOKUP(J364,Substituicoes!J:R,7,0),IF(L364=J364,VLOOKUP(Escalacao!J364,Substituicoes!K:R,8,0),0)))</f>
        <v>0</v>
      </c>
      <c r="P364" s="28">
        <f t="shared" si="43"/>
        <v>0</v>
      </c>
      <c r="Q364" s="28" t="str">
        <f t="shared" si="44"/>
        <v>914Imperatriz - MA</v>
      </c>
      <c r="R364" s="28" t="str">
        <f>VLOOKUP(A364,'JOGOS BASE'!A:H,8)</f>
        <v>25.01.2025 - IAPE - MA x Imperatriz - MA</v>
      </c>
    </row>
    <row r="365" spans="1:18" ht="30.6">
      <c r="A365" s="15">
        <v>9</v>
      </c>
      <c r="B365" s="46">
        <v>15</v>
      </c>
      <c r="C365" s="45" t="s">
        <v>45</v>
      </c>
      <c r="D365" s="45" t="s">
        <v>46</v>
      </c>
      <c r="E365" s="47" t="s">
        <v>42</v>
      </c>
      <c r="F365" s="47" t="s">
        <v>24</v>
      </c>
      <c r="G365" s="46">
        <v>500483</v>
      </c>
      <c r="H365" s="18" t="s">
        <v>107</v>
      </c>
      <c r="I365" s="26" t="str">
        <f t="shared" si="40"/>
        <v>CARLOS</v>
      </c>
      <c r="J365" s="26" t="str">
        <f t="shared" si="41"/>
        <v>9Imperatriz - MA15</v>
      </c>
      <c r="K365" s="27" t="str">
        <f>IFERROR(VLOOKUP(J365,Substituicoes!J:J,1,0),"SS")</f>
        <v>SS</v>
      </c>
      <c r="L365" s="27" t="str">
        <f>IFERROR(VLOOKUP(J365,Substituicoes!K:K,1,0),"SS")</f>
        <v>SS</v>
      </c>
      <c r="M365" s="28" t="b">
        <f t="shared" si="42"/>
        <v>1</v>
      </c>
      <c r="N365" s="29">
        <f>IF(AND(K365=L365,LEFT(E365,1)="T"),VLOOKUP(A365,'JOGOS BASE'!A:E,4,0),IF(K365=J365,VLOOKUP(J365,Substituicoes!J:R,6,0),IF(L365=J365,VLOOKUP(Escalacao!J365,Substituicoes!K:R,7,0),0)))</f>
        <v>0</v>
      </c>
      <c r="O365" s="28">
        <f>IF(AND(K365=L365,LEFT(E365,1)="T"),VLOOKUP(A365,'JOGOS BASE'!A:E,5,0),IF(K365=J365,VLOOKUP(J365,Substituicoes!J:R,7,0),IF(L365=J365,VLOOKUP(Escalacao!J365,Substituicoes!K:R,8,0),0)))</f>
        <v>0</v>
      </c>
      <c r="P365" s="28">
        <f t="shared" si="43"/>
        <v>0</v>
      </c>
      <c r="Q365" s="28" t="str">
        <f t="shared" si="44"/>
        <v>915Imperatriz - MA</v>
      </c>
      <c r="R365" s="28" t="str">
        <f>VLOOKUP(A365,'JOGOS BASE'!A:H,8)</f>
        <v>25.01.2025 - IAPE - MA x Imperatriz - MA</v>
      </c>
    </row>
    <row r="366" spans="1:18" ht="30.6">
      <c r="A366" s="15">
        <v>9</v>
      </c>
      <c r="B366" s="46">
        <v>16</v>
      </c>
      <c r="C366" s="45" t="s">
        <v>561</v>
      </c>
      <c r="D366" s="45" t="s">
        <v>562</v>
      </c>
      <c r="E366" s="47" t="s">
        <v>42</v>
      </c>
      <c r="F366" s="47" t="s">
        <v>24</v>
      </c>
      <c r="G366" s="46">
        <v>191387</v>
      </c>
      <c r="H366" s="18" t="s">
        <v>107</v>
      </c>
      <c r="I366" s="26" t="str">
        <f t="shared" si="40"/>
        <v>Ceara</v>
      </c>
      <c r="J366" s="26" t="str">
        <f t="shared" si="41"/>
        <v>9Imperatriz - MA16</v>
      </c>
      <c r="K366" s="27" t="str">
        <f>IFERROR(VLOOKUP(J366,Substituicoes!J:J,1,0),"SS")</f>
        <v>SS</v>
      </c>
      <c r="L366" s="27" t="str">
        <f>IFERROR(VLOOKUP(J366,Substituicoes!K:K,1,0),"SS")</f>
        <v>SS</v>
      </c>
      <c r="M366" s="28" t="b">
        <f t="shared" si="42"/>
        <v>1</v>
      </c>
      <c r="N366" s="29">
        <f>IF(AND(K366=L366,LEFT(E366,1)="T"),VLOOKUP(A366,'JOGOS BASE'!A:E,4,0),IF(K366=J366,VLOOKUP(J366,Substituicoes!J:R,6,0),IF(L366=J366,VLOOKUP(Escalacao!J366,Substituicoes!K:R,7,0),0)))</f>
        <v>0</v>
      </c>
      <c r="O366" s="28">
        <f>IF(AND(K366=L366,LEFT(E366,1)="T"),VLOOKUP(A366,'JOGOS BASE'!A:E,5,0),IF(K366=J366,VLOOKUP(J366,Substituicoes!J:R,7,0),IF(L366=J366,VLOOKUP(Escalacao!J366,Substituicoes!K:R,8,0),0)))</f>
        <v>0</v>
      </c>
      <c r="P366" s="28">
        <f t="shared" si="43"/>
        <v>0</v>
      </c>
      <c r="Q366" s="28" t="str">
        <f t="shared" si="44"/>
        <v>916Imperatriz - MA</v>
      </c>
      <c r="R366" s="28" t="str">
        <f>VLOOKUP(A366,'JOGOS BASE'!A:H,8)</f>
        <v>25.01.2025 - IAPE - MA x Imperatriz - MA</v>
      </c>
    </row>
    <row r="367" spans="1:18" ht="20.399999999999999">
      <c r="A367" s="15">
        <v>9</v>
      </c>
      <c r="B367" s="46">
        <v>17</v>
      </c>
      <c r="C367" s="45" t="s">
        <v>4</v>
      </c>
      <c r="D367" s="45" t="s">
        <v>639</v>
      </c>
      <c r="E367" s="47" t="s">
        <v>42</v>
      </c>
      <c r="F367" s="47" t="s">
        <v>24</v>
      </c>
      <c r="G367" s="46">
        <v>502967</v>
      </c>
      <c r="H367" s="18" t="s">
        <v>107</v>
      </c>
      <c r="I367" s="26" t="str">
        <f t="shared" si="40"/>
        <v>Felipinho</v>
      </c>
      <c r="J367" s="26" t="str">
        <f t="shared" si="41"/>
        <v>9Imperatriz - MA17</v>
      </c>
      <c r="K367" s="27" t="str">
        <f>IFERROR(VLOOKUP(J367,Substituicoes!J:J,1,0),"SS")</f>
        <v>9Imperatriz - MA17</v>
      </c>
      <c r="L367" s="27" t="str">
        <f>IFERROR(VLOOKUP(J367,Substituicoes!K:K,1,0),"SS")</f>
        <v>SS</v>
      </c>
      <c r="M367" s="28" t="b">
        <f t="shared" si="42"/>
        <v>0</v>
      </c>
      <c r="N367" s="29">
        <f>IF(AND(K367=L367,LEFT(E367,1)="T"),VLOOKUP(A367,'JOGOS BASE'!A:E,4,0),IF(K367=J367,VLOOKUP(J367,Substituicoes!J:R,6,0),IF(L367=J367,VLOOKUP(Escalacao!J367,Substituicoes!K:R,7,0),0)))</f>
        <v>0</v>
      </c>
      <c r="O367" s="28">
        <f>IF(AND(K367=L367,LEFT(E367,1)="T"),VLOOKUP(A367,'JOGOS BASE'!A:E,5,0),IF(K367=J367,VLOOKUP(J367,Substituicoes!J:R,7,0),IF(L367=J367,VLOOKUP(Escalacao!J367,Substituicoes!K:R,8,0),0)))</f>
        <v>39</v>
      </c>
      <c r="P367" s="28">
        <f t="shared" si="43"/>
        <v>39</v>
      </c>
      <c r="Q367" s="28" t="str">
        <f t="shared" si="44"/>
        <v>917Imperatriz - MA</v>
      </c>
      <c r="R367" s="28" t="str">
        <f>VLOOKUP(A367,'JOGOS BASE'!A:H,8)</f>
        <v>25.01.2025 - IAPE - MA x Imperatriz - MA</v>
      </c>
    </row>
    <row r="368" spans="1:18" ht="30.6">
      <c r="A368" s="15">
        <v>9</v>
      </c>
      <c r="B368" s="46">
        <v>18</v>
      </c>
      <c r="C368" s="45" t="s">
        <v>567</v>
      </c>
      <c r="D368" s="45" t="s">
        <v>568</v>
      </c>
      <c r="E368" s="47" t="s">
        <v>42</v>
      </c>
      <c r="F368" s="47" t="s">
        <v>24</v>
      </c>
      <c r="G368" s="46">
        <v>179773</v>
      </c>
      <c r="H368" s="18" t="s">
        <v>107</v>
      </c>
      <c r="I368" s="26" t="str">
        <f t="shared" si="40"/>
        <v>Rafael Gra ...</v>
      </c>
      <c r="J368" s="26" t="str">
        <f t="shared" si="41"/>
        <v>9Imperatriz - MA18</v>
      </c>
      <c r="K368" s="27" t="str">
        <f>IFERROR(VLOOKUP(J368,Substituicoes!J:J,1,0),"SS")</f>
        <v>9Imperatriz - MA18</v>
      </c>
      <c r="L368" s="27" t="str">
        <f>IFERROR(VLOOKUP(J368,Substituicoes!K:K,1,0),"SS")</f>
        <v>SS</v>
      </c>
      <c r="M368" s="28" t="b">
        <f t="shared" si="42"/>
        <v>0</v>
      </c>
      <c r="N368" s="29">
        <f>IF(AND(K368=L368,LEFT(E368,1)="T"),VLOOKUP(A368,'JOGOS BASE'!A:E,4,0),IF(K368=J368,VLOOKUP(J368,Substituicoes!J:R,6,0),IF(L368=J368,VLOOKUP(Escalacao!J368,Substituicoes!K:R,7,0),0)))</f>
        <v>0</v>
      </c>
      <c r="O368" s="28">
        <f>IF(AND(K368=L368,LEFT(E368,1)="T"),VLOOKUP(A368,'JOGOS BASE'!A:E,5,0),IF(K368=J368,VLOOKUP(J368,Substituicoes!J:R,7,0),IF(L368=J368,VLOOKUP(Escalacao!J368,Substituicoes!K:R,8,0),0)))</f>
        <v>15</v>
      </c>
      <c r="P368" s="28">
        <f t="shared" si="43"/>
        <v>15</v>
      </c>
      <c r="Q368" s="28" t="str">
        <f t="shared" si="44"/>
        <v>918Imperatriz - MA</v>
      </c>
      <c r="R368" s="28" t="str">
        <f>VLOOKUP(A368,'JOGOS BASE'!A:H,8)</f>
        <v>25.01.2025 - IAPE - MA x Imperatriz - MA</v>
      </c>
    </row>
    <row r="369" spans="1:18" ht="20.399999999999999">
      <c r="A369" s="15">
        <v>9</v>
      </c>
      <c r="B369" s="46">
        <v>20</v>
      </c>
      <c r="C369" s="45" t="s">
        <v>4</v>
      </c>
      <c r="D369" s="45" t="s">
        <v>33</v>
      </c>
      <c r="E369" s="47" t="s">
        <v>42</v>
      </c>
      <c r="F369" s="47" t="s">
        <v>24</v>
      </c>
      <c r="G369" s="46">
        <v>546130</v>
      </c>
      <c r="H369" s="18" t="s">
        <v>107</v>
      </c>
      <c r="I369" s="26" t="str">
        <f t="shared" si="40"/>
        <v>Felipinho</v>
      </c>
      <c r="J369" s="26" t="str">
        <f t="shared" si="41"/>
        <v>9Imperatriz - MA20</v>
      </c>
      <c r="K369" s="27" t="str">
        <f>IFERROR(VLOOKUP(J369,Substituicoes!J:J,1,0),"SS")</f>
        <v>9Imperatriz - MA20</v>
      </c>
      <c r="L369" s="27" t="str">
        <f>IFERROR(VLOOKUP(J369,Substituicoes!K:K,1,0),"SS")</f>
        <v>SS</v>
      </c>
      <c r="M369" s="28" t="b">
        <f t="shared" si="42"/>
        <v>0</v>
      </c>
      <c r="N369" s="29">
        <f>IF(AND(K369=L369,LEFT(E369,1)="T"),VLOOKUP(A369,'JOGOS BASE'!A:E,4,0),IF(K369=J369,VLOOKUP(J369,Substituicoes!J:R,6,0),IF(L369=J369,VLOOKUP(Escalacao!J369,Substituicoes!K:R,7,0),0)))</f>
        <v>0</v>
      </c>
      <c r="O369" s="28">
        <f>IF(AND(K369=L369,LEFT(E369,1)="T"),VLOOKUP(A369,'JOGOS BASE'!A:E,5,0),IF(K369=J369,VLOOKUP(J369,Substituicoes!J:R,7,0),IF(L369=J369,VLOOKUP(Escalacao!J369,Substituicoes!K:R,8,0),0)))</f>
        <v>30</v>
      </c>
      <c r="P369" s="28">
        <f t="shared" si="43"/>
        <v>30</v>
      </c>
      <c r="Q369" s="28" t="str">
        <f t="shared" si="44"/>
        <v>920Imperatriz - MA</v>
      </c>
      <c r="R369" s="28" t="str">
        <f>VLOOKUP(A369,'JOGOS BASE'!A:H,8)</f>
        <v>25.01.2025 - IAPE - MA x Imperatriz - MA</v>
      </c>
    </row>
    <row r="370" spans="1:18" ht="30.6">
      <c r="A370" s="15">
        <v>9</v>
      </c>
      <c r="B370" s="46">
        <v>21</v>
      </c>
      <c r="C370" s="45" t="s">
        <v>47</v>
      </c>
      <c r="D370" s="45" t="s">
        <v>48</v>
      </c>
      <c r="E370" s="47" t="s">
        <v>42</v>
      </c>
      <c r="F370" s="47" t="s">
        <v>24</v>
      </c>
      <c r="G370" s="46">
        <v>762553</v>
      </c>
      <c r="H370" s="18" t="s">
        <v>107</v>
      </c>
      <c r="I370" s="26" t="str">
        <f t="shared" si="40"/>
        <v>ADRIAN</v>
      </c>
      <c r="J370" s="26" t="str">
        <f t="shared" si="41"/>
        <v>9Imperatriz - MA21</v>
      </c>
      <c r="K370" s="27" t="str">
        <f>IFERROR(VLOOKUP(J370,Substituicoes!J:J,1,0),"SS")</f>
        <v>SS</v>
      </c>
      <c r="L370" s="27" t="str">
        <f>IFERROR(VLOOKUP(J370,Substituicoes!K:K,1,0),"SS")</f>
        <v>SS</v>
      </c>
      <c r="M370" s="28" t="b">
        <f t="shared" si="42"/>
        <v>1</v>
      </c>
      <c r="N370" s="29">
        <f>IF(AND(K370=L370,LEFT(E370,1)="T"),VLOOKUP(A370,'JOGOS BASE'!A:E,4,0),IF(K370=J370,VLOOKUP(J370,Substituicoes!J:R,6,0),IF(L370=J370,VLOOKUP(Escalacao!J370,Substituicoes!K:R,7,0),0)))</f>
        <v>0</v>
      </c>
      <c r="O370" s="28">
        <f>IF(AND(K370=L370,LEFT(E370,1)="T"),VLOOKUP(A370,'JOGOS BASE'!A:E,5,0),IF(K370=J370,VLOOKUP(J370,Substituicoes!J:R,7,0),IF(L370=J370,VLOOKUP(Escalacao!J370,Substituicoes!K:R,8,0),0)))</f>
        <v>0</v>
      </c>
      <c r="P370" s="28">
        <f t="shared" si="43"/>
        <v>0</v>
      </c>
      <c r="Q370" s="28" t="str">
        <f t="shared" si="44"/>
        <v>921Imperatriz - MA</v>
      </c>
      <c r="R370" s="28" t="str">
        <f>VLOOKUP(A370,'JOGOS BASE'!A:H,8)</f>
        <v>25.01.2025 - IAPE - MA x Imperatriz - MA</v>
      </c>
    </row>
    <row r="371" spans="1:18" ht="30.6">
      <c r="A371" s="15">
        <v>9</v>
      </c>
      <c r="B371" s="46">
        <v>22</v>
      </c>
      <c r="C371" s="45" t="s">
        <v>57</v>
      </c>
      <c r="D371" s="45" t="s">
        <v>58</v>
      </c>
      <c r="E371" s="47" t="s">
        <v>42</v>
      </c>
      <c r="F371" s="47" t="s">
        <v>24</v>
      </c>
      <c r="G371" s="46">
        <v>762150</v>
      </c>
      <c r="H371" s="18" t="s">
        <v>107</v>
      </c>
      <c r="I371" s="26" t="str">
        <f t="shared" si="40"/>
        <v>Junior</v>
      </c>
      <c r="J371" s="26" t="str">
        <f t="shared" si="41"/>
        <v>9Imperatriz - MA22</v>
      </c>
      <c r="K371" s="27" t="str">
        <f>IFERROR(VLOOKUP(J371,Substituicoes!J:J,1,0),"SS")</f>
        <v>9Imperatriz - MA22</v>
      </c>
      <c r="L371" s="27" t="str">
        <f>IFERROR(VLOOKUP(J371,Substituicoes!K:K,1,0),"SS")</f>
        <v>SS</v>
      </c>
      <c r="M371" s="28" t="b">
        <f t="shared" si="42"/>
        <v>0</v>
      </c>
      <c r="N371" s="29">
        <f>IF(AND(K371=L371,LEFT(E371,1)="T"),VLOOKUP(A371,'JOGOS BASE'!A:E,4,0),IF(K371=J371,VLOOKUP(J371,Substituicoes!J:R,6,0),IF(L371=J371,VLOOKUP(Escalacao!J371,Substituicoes!K:R,7,0),0)))</f>
        <v>0</v>
      </c>
      <c r="O371" s="28">
        <f>IF(AND(K371=L371,LEFT(E371,1)="T"),VLOOKUP(A371,'JOGOS BASE'!A:E,5,0),IF(K371=J371,VLOOKUP(J371,Substituicoes!J:R,7,0),IF(L371=J371,VLOOKUP(Escalacao!J371,Substituicoes!K:R,8,0),0)))</f>
        <v>39</v>
      </c>
      <c r="P371" s="28">
        <f t="shared" si="43"/>
        <v>39</v>
      </c>
      <c r="Q371" s="28" t="str">
        <f t="shared" si="44"/>
        <v>922Imperatriz - MA</v>
      </c>
      <c r="R371" s="28" t="str">
        <f>VLOOKUP(A371,'JOGOS BASE'!A:H,8)</f>
        <v>25.01.2025 - IAPE - MA x Imperatriz - MA</v>
      </c>
    </row>
    <row r="372" spans="1:18" ht="30.6">
      <c r="A372" s="15">
        <v>10</v>
      </c>
      <c r="B372" s="46">
        <v>1</v>
      </c>
      <c r="C372" s="45" t="s">
        <v>540</v>
      </c>
      <c r="D372" s="45" t="s">
        <v>541</v>
      </c>
      <c r="E372" s="47" t="s">
        <v>23</v>
      </c>
      <c r="F372" s="47" t="s">
        <v>24</v>
      </c>
      <c r="G372" s="46">
        <v>645699</v>
      </c>
      <c r="H372" s="18" t="s">
        <v>388</v>
      </c>
      <c r="I372" s="26" t="str">
        <f t="shared" ref="I372:I413" si="45">C372</f>
        <v>DANIEL MEN</v>
      </c>
      <c r="J372" s="26" t="str">
        <f t="shared" ref="J372:J413" si="46">A372&amp;H372&amp;B372</f>
        <v>10Tuntum - MA1</v>
      </c>
      <c r="K372" s="27" t="str">
        <f>IFERROR(VLOOKUP(J372,Substituicoes!J:J,1,0),"SS")</f>
        <v>SS</v>
      </c>
      <c r="L372" s="27" t="str">
        <f>IFERROR(VLOOKUP(J372,Substituicoes!K:K,1,0),"SS")</f>
        <v>SS</v>
      </c>
      <c r="M372" s="28" t="b">
        <f t="shared" ref="M372:M413" si="47">K372=L372</f>
        <v>1</v>
      </c>
      <c r="N372" s="29">
        <f>IF(AND(K372=L372,LEFT(E372,1)="T"),VLOOKUP(A372,'JOGOS BASE'!A:E,4,0),IF(K372=J372,VLOOKUP(J372,Substituicoes!J:R,6,0),IF(L372=J372,VLOOKUP(Escalacao!J372,Substituicoes!K:R,7,0),0)))</f>
        <v>48</v>
      </c>
      <c r="O372" s="28">
        <f>IF(AND(K372=L372,LEFT(E372,1)="T"),VLOOKUP(A372,'JOGOS BASE'!A:E,5,0),IF(K372=J372,VLOOKUP(J372,Substituicoes!J:R,7,0),IF(L372=J372,VLOOKUP(Escalacao!J372,Substituicoes!K:R,8,0),0)))</f>
        <v>50</v>
      </c>
      <c r="P372" s="28">
        <f t="shared" ref="P372:P413" si="48">N372+O372</f>
        <v>98</v>
      </c>
      <c r="Q372" s="28" t="str">
        <f t="shared" ref="Q372:Q413" si="49">A372&amp;B372&amp;H372</f>
        <v>101Tuntum - MA</v>
      </c>
      <c r="R372" s="28" t="str">
        <f>VLOOKUP(A372,'JOGOS BASE'!A:H,8)</f>
        <v>26.01.2025 - Tuntum - MA x Sampaio Corrêa - MA</v>
      </c>
    </row>
    <row r="373" spans="1:18" ht="20.399999999999999">
      <c r="A373" s="15">
        <v>10</v>
      </c>
      <c r="B373" s="46">
        <v>2</v>
      </c>
      <c r="C373" s="45" t="s">
        <v>542</v>
      </c>
      <c r="D373" s="45" t="s">
        <v>543</v>
      </c>
      <c r="E373" s="47" t="s">
        <v>26</v>
      </c>
      <c r="F373" s="47" t="s">
        <v>24</v>
      </c>
      <c r="G373" s="46">
        <v>673868</v>
      </c>
      <c r="H373" s="18" t="s">
        <v>388</v>
      </c>
      <c r="I373" s="26" t="str">
        <f t="shared" si="45"/>
        <v>PARÁ</v>
      </c>
      <c r="J373" s="26" t="str">
        <f t="shared" si="46"/>
        <v>10Tuntum - MA2</v>
      </c>
      <c r="K373" s="27" t="str">
        <f>IFERROR(VLOOKUP(J373,Substituicoes!J:J,1,0),"SS")</f>
        <v>SS</v>
      </c>
      <c r="L373" s="27" t="str">
        <f>IFERROR(VLOOKUP(J373,Substituicoes!K:K,1,0),"SS")</f>
        <v>10Tuntum - MA2</v>
      </c>
      <c r="M373" s="28" t="b">
        <f t="shared" si="47"/>
        <v>0</v>
      </c>
      <c r="N373" s="29">
        <f>IF(AND(K373=L373,LEFT(E373,1)="T"),VLOOKUP(A373,'JOGOS BASE'!A:E,4,0),IF(K373=J373,VLOOKUP(J373,Substituicoes!J:R,6,0),IF(L373=J373,VLOOKUP(Escalacao!J373,Substituicoes!K:R,7,0),0)))</f>
        <v>48</v>
      </c>
      <c r="O373" s="28">
        <f>IF(AND(K373=L373,LEFT(E373,1)="T"),VLOOKUP(A373,'JOGOS BASE'!A:E,5,0),IF(K373=J373,VLOOKUP(J373,Substituicoes!J:R,7,0),IF(L373=J373,VLOOKUP(Escalacao!J373,Substituicoes!K:R,8,0),0)))</f>
        <v>12</v>
      </c>
      <c r="P373" s="28">
        <f t="shared" si="48"/>
        <v>60</v>
      </c>
      <c r="Q373" s="28" t="str">
        <f t="shared" si="49"/>
        <v>102Tuntum - MA</v>
      </c>
      <c r="R373" s="28" t="str">
        <f>VLOOKUP(A373,'JOGOS BASE'!A:H,8)</f>
        <v>26.01.2025 - Tuntum - MA x Sampaio Corrêa - MA</v>
      </c>
    </row>
    <row r="374" spans="1:18" ht="30.6">
      <c r="A374" s="15">
        <v>10</v>
      </c>
      <c r="B374" s="46">
        <v>3</v>
      </c>
      <c r="C374" s="45" t="s">
        <v>301</v>
      </c>
      <c r="D374" s="45" t="s">
        <v>544</v>
      </c>
      <c r="E374" s="47" t="s">
        <v>26</v>
      </c>
      <c r="F374" s="47" t="s">
        <v>24</v>
      </c>
      <c r="G374" s="46">
        <v>607578</v>
      </c>
      <c r="H374" s="18" t="s">
        <v>388</v>
      </c>
      <c r="I374" s="26" t="str">
        <f t="shared" si="45"/>
        <v>Mateus</v>
      </c>
      <c r="J374" s="26" t="str">
        <f t="shared" si="46"/>
        <v>10Tuntum - MA3</v>
      </c>
      <c r="K374" s="27" t="str">
        <f>IFERROR(VLOOKUP(J374,Substituicoes!J:J,1,0),"SS")</f>
        <v>SS</v>
      </c>
      <c r="L374" s="27" t="str">
        <f>IFERROR(VLOOKUP(J374,Substituicoes!K:K,1,0),"SS")</f>
        <v>SS</v>
      </c>
      <c r="M374" s="28" t="b">
        <f t="shared" si="47"/>
        <v>1</v>
      </c>
      <c r="N374" s="29">
        <f>IF(AND(K374=L374,LEFT(E374,1)="T"),VLOOKUP(A374,'JOGOS BASE'!A:E,4,0),IF(K374=J374,VLOOKUP(J374,Substituicoes!J:R,6,0),IF(L374=J374,VLOOKUP(Escalacao!J374,Substituicoes!K:R,7,0),0)))</f>
        <v>48</v>
      </c>
      <c r="O374" s="28">
        <f>IF(AND(K374=L374,LEFT(E374,1)="T"),VLOOKUP(A374,'JOGOS BASE'!A:E,5,0),IF(K374=J374,VLOOKUP(J374,Substituicoes!J:R,7,0),IF(L374=J374,VLOOKUP(Escalacao!J374,Substituicoes!K:R,8,0),0)))</f>
        <v>50</v>
      </c>
      <c r="P374" s="28">
        <f t="shared" si="48"/>
        <v>98</v>
      </c>
      <c r="Q374" s="28" t="str">
        <f t="shared" si="49"/>
        <v>103Tuntum - MA</v>
      </c>
      <c r="R374" s="28" t="str">
        <f>VLOOKUP(A374,'JOGOS BASE'!A:H,8)</f>
        <v>26.01.2025 - Tuntum - MA x Sampaio Corrêa - MA</v>
      </c>
    </row>
    <row r="375" spans="1:18" ht="20.399999999999999">
      <c r="A375" s="15">
        <v>10</v>
      </c>
      <c r="B375" s="46">
        <v>4</v>
      </c>
      <c r="C375" s="45" t="s">
        <v>523</v>
      </c>
      <c r="D375" s="45" t="s">
        <v>524</v>
      </c>
      <c r="E375" s="47" t="s">
        <v>26</v>
      </c>
      <c r="F375" s="47" t="s">
        <v>24</v>
      </c>
      <c r="G375" s="46">
        <v>672694</v>
      </c>
      <c r="H375" s="18" t="s">
        <v>388</v>
      </c>
      <c r="I375" s="26" t="str">
        <f t="shared" si="45"/>
        <v>João Victor</v>
      </c>
      <c r="J375" s="26" t="str">
        <f t="shared" si="46"/>
        <v>10Tuntum - MA4</v>
      </c>
      <c r="K375" s="27" t="str">
        <f>IFERROR(VLOOKUP(J375,Substituicoes!J:J,1,0),"SS")</f>
        <v>SS</v>
      </c>
      <c r="L375" s="27" t="str">
        <f>IFERROR(VLOOKUP(J375,Substituicoes!K:K,1,0),"SS")</f>
        <v>SS</v>
      </c>
      <c r="M375" s="28" t="b">
        <f t="shared" si="47"/>
        <v>1</v>
      </c>
      <c r="N375" s="29">
        <f>IF(AND(K375=L375,LEFT(E375,1)="T"),VLOOKUP(A375,'JOGOS BASE'!A:E,4,0),IF(K375=J375,VLOOKUP(J375,Substituicoes!J:R,6,0),IF(L375=J375,VLOOKUP(Escalacao!J375,Substituicoes!K:R,7,0),0)))</f>
        <v>48</v>
      </c>
      <c r="O375" s="28">
        <f>IF(AND(K375=L375,LEFT(E375,1)="T"),VLOOKUP(A375,'JOGOS BASE'!A:E,5,0),IF(K375=J375,VLOOKUP(J375,Substituicoes!J:R,7,0),IF(L375=J375,VLOOKUP(Escalacao!J375,Substituicoes!K:R,8,0),0)))</f>
        <v>50</v>
      </c>
      <c r="P375" s="28">
        <f t="shared" si="48"/>
        <v>98</v>
      </c>
      <c r="Q375" s="28" t="str">
        <f t="shared" si="49"/>
        <v>104Tuntum - MA</v>
      </c>
      <c r="R375" s="28" t="str">
        <f>VLOOKUP(A375,'JOGOS BASE'!A:H,8)</f>
        <v>26.01.2025 - Tuntum - MA x Sampaio Corrêa - MA</v>
      </c>
    </row>
    <row r="376" spans="1:18" ht="30.6">
      <c r="A376" s="15">
        <v>10</v>
      </c>
      <c r="B376" s="46">
        <v>5</v>
      </c>
      <c r="C376" s="45" t="s">
        <v>647</v>
      </c>
      <c r="D376" s="45" t="s">
        <v>648</v>
      </c>
      <c r="E376" s="47" t="s">
        <v>26</v>
      </c>
      <c r="F376" s="47" t="s">
        <v>24</v>
      </c>
      <c r="G376" s="46">
        <v>588127</v>
      </c>
      <c r="H376" s="18" t="s">
        <v>388</v>
      </c>
      <c r="I376" s="26" t="str">
        <f t="shared" si="45"/>
        <v>Richard</v>
      </c>
      <c r="J376" s="26" t="str">
        <f t="shared" si="46"/>
        <v>10Tuntum - MA5</v>
      </c>
      <c r="K376" s="27" t="str">
        <f>IFERROR(VLOOKUP(J376,Substituicoes!J:J,1,0),"SS")</f>
        <v>SS</v>
      </c>
      <c r="L376" s="27" t="str">
        <f>IFERROR(VLOOKUP(J376,Substituicoes!K:K,1,0),"SS")</f>
        <v>10Tuntum - MA5</v>
      </c>
      <c r="M376" s="28" t="b">
        <f t="shared" si="47"/>
        <v>0</v>
      </c>
      <c r="N376" s="29">
        <f>IF(AND(K376=L376,LEFT(E376,1)="T"),VLOOKUP(A376,'JOGOS BASE'!A:E,4,0),IF(K376=J376,VLOOKUP(J376,Substituicoes!J:R,6,0),IF(L376=J376,VLOOKUP(Escalacao!J376,Substituicoes!K:R,7,0),0)))</f>
        <v>48</v>
      </c>
      <c r="O376" s="28">
        <f>IF(AND(K376=L376,LEFT(E376,1)="T"),VLOOKUP(A376,'JOGOS BASE'!A:E,5,0),IF(K376=J376,VLOOKUP(J376,Substituicoes!J:R,7,0),IF(L376=J376,VLOOKUP(Escalacao!J376,Substituicoes!K:R,8,0),0)))</f>
        <v>5</v>
      </c>
      <c r="P376" s="28">
        <f t="shared" si="48"/>
        <v>53</v>
      </c>
      <c r="Q376" s="28" t="str">
        <f t="shared" si="49"/>
        <v>105Tuntum - MA</v>
      </c>
      <c r="R376" s="28" t="str">
        <f>VLOOKUP(A376,'JOGOS BASE'!A:H,8)</f>
        <v>26.01.2025 - Tuntum - MA x Sampaio Corrêa - MA</v>
      </c>
    </row>
    <row r="377" spans="1:18" ht="30.6">
      <c r="A377" s="15">
        <v>10</v>
      </c>
      <c r="B377" s="46">
        <v>6</v>
      </c>
      <c r="C377" s="45" t="s">
        <v>529</v>
      </c>
      <c r="D377" s="45" t="s">
        <v>507</v>
      </c>
      <c r="E377" s="47" t="s">
        <v>26</v>
      </c>
      <c r="F377" s="47" t="s">
        <v>24</v>
      </c>
      <c r="G377" s="46">
        <v>671796</v>
      </c>
      <c r="H377" s="18" t="s">
        <v>388</v>
      </c>
      <c r="I377" s="26" t="str">
        <f t="shared" si="45"/>
        <v>Matheus Lima</v>
      </c>
      <c r="J377" s="26" t="str">
        <f t="shared" si="46"/>
        <v>10Tuntum - MA6</v>
      </c>
      <c r="K377" s="27" t="str">
        <f>IFERROR(VLOOKUP(J377,Substituicoes!J:J,1,0),"SS")</f>
        <v>SS</v>
      </c>
      <c r="L377" s="27" t="str">
        <f>IFERROR(VLOOKUP(J377,Substituicoes!K:K,1,0),"SS")</f>
        <v>SS</v>
      </c>
      <c r="M377" s="28" t="b">
        <f t="shared" si="47"/>
        <v>1</v>
      </c>
      <c r="N377" s="29">
        <f>IF(AND(K377=L377,LEFT(E377,1)="T"),VLOOKUP(A377,'JOGOS BASE'!A:E,4,0),IF(K377=J377,VLOOKUP(J377,Substituicoes!J:R,6,0),IF(L377=J377,VLOOKUP(Escalacao!J377,Substituicoes!K:R,7,0),0)))</f>
        <v>48</v>
      </c>
      <c r="O377" s="28">
        <f>IF(AND(K377=L377,LEFT(E377,1)="T"),VLOOKUP(A377,'JOGOS BASE'!A:E,5,0),IF(K377=J377,VLOOKUP(J377,Substituicoes!J:R,7,0),IF(L377=J377,VLOOKUP(Escalacao!J377,Substituicoes!K:R,8,0),0)))</f>
        <v>50</v>
      </c>
      <c r="P377" s="28">
        <f t="shared" si="48"/>
        <v>98</v>
      </c>
      <c r="Q377" s="28" t="str">
        <f t="shared" si="49"/>
        <v>106Tuntum - MA</v>
      </c>
      <c r="R377" s="28" t="str">
        <f>VLOOKUP(A377,'JOGOS BASE'!A:H,8)</f>
        <v>26.01.2025 - Tuntum - MA x Sampaio Corrêa - MA</v>
      </c>
    </row>
    <row r="378" spans="1:18" ht="30.6">
      <c r="A378" s="15">
        <v>10</v>
      </c>
      <c r="B378" s="46">
        <v>7</v>
      </c>
      <c r="C378" s="45" t="s">
        <v>527</v>
      </c>
      <c r="D378" s="45" t="s">
        <v>528</v>
      </c>
      <c r="E378" s="47" t="s">
        <v>26</v>
      </c>
      <c r="F378" s="47" t="s">
        <v>24</v>
      </c>
      <c r="G378" s="46">
        <v>692912</v>
      </c>
      <c r="H378" s="18" t="s">
        <v>388</v>
      </c>
      <c r="I378" s="26" t="str">
        <f t="shared" si="45"/>
        <v>LEANDRO</v>
      </c>
      <c r="J378" s="26" t="str">
        <f t="shared" si="46"/>
        <v>10Tuntum - MA7</v>
      </c>
      <c r="K378" s="27" t="str">
        <f>IFERROR(VLOOKUP(J378,Substituicoes!J:J,1,0),"SS")</f>
        <v>SS</v>
      </c>
      <c r="L378" s="27" t="str">
        <f>IFERROR(VLOOKUP(J378,Substituicoes!K:K,1,0),"SS")</f>
        <v>SS</v>
      </c>
      <c r="M378" s="28" t="b">
        <f t="shared" si="47"/>
        <v>1</v>
      </c>
      <c r="N378" s="29">
        <f>IF(AND(K378=L378,LEFT(E378,1)="T"),VLOOKUP(A378,'JOGOS BASE'!A:E,4,0),IF(K378=J378,VLOOKUP(J378,Substituicoes!J:R,6,0),IF(L378=J378,VLOOKUP(Escalacao!J378,Substituicoes!K:R,7,0),0)))</f>
        <v>48</v>
      </c>
      <c r="O378" s="28">
        <f>IF(AND(K378=L378,LEFT(E378,1)="T"),VLOOKUP(A378,'JOGOS BASE'!A:E,5,0),IF(K378=J378,VLOOKUP(J378,Substituicoes!J:R,7,0),IF(L378=J378,VLOOKUP(Escalacao!J378,Substituicoes!K:R,8,0),0)))</f>
        <v>50</v>
      </c>
      <c r="P378" s="28">
        <f t="shared" si="48"/>
        <v>98</v>
      </c>
      <c r="Q378" s="28" t="str">
        <f t="shared" si="49"/>
        <v>107Tuntum - MA</v>
      </c>
      <c r="R378" s="28" t="str">
        <f>VLOOKUP(A378,'JOGOS BASE'!A:H,8)</f>
        <v>26.01.2025 - Tuntum - MA x Sampaio Corrêa - MA</v>
      </c>
    </row>
    <row r="379" spans="1:18" ht="20.399999999999999">
      <c r="A379" s="15">
        <v>10</v>
      </c>
      <c r="B379" s="46">
        <v>8</v>
      </c>
      <c r="C379" s="45" t="s">
        <v>530</v>
      </c>
      <c r="D379" s="45" t="s">
        <v>531</v>
      </c>
      <c r="E379" s="47" t="s">
        <v>26</v>
      </c>
      <c r="F379" s="47" t="s">
        <v>24</v>
      </c>
      <c r="G379" s="46">
        <v>738478</v>
      </c>
      <c r="H379" s="18" t="s">
        <v>388</v>
      </c>
      <c r="I379" s="26" t="str">
        <f t="shared" si="45"/>
        <v>Neto Maran ...</v>
      </c>
      <c r="J379" s="26" t="str">
        <f t="shared" si="46"/>
        <v>10Tuntum - MA8</v>
      </c>
      <c r="K379" s="27" t="str">
        <f>IFERROR(VLOOKUP(J379,Substituicoes!J:J,1,0),"SS")</f>
        <v>SS</v>
      </c>
      <c r="L379" s="27" t="str">
        <f>IFERROR(VLOOKUP(J379,Substituicoes!K:K,1,0),"SS")</f>
        <v>10Tuntum - MA8</v>
      </c>
      <c r="M379" s="28" t="b">
        <f t="shared" si="47"/>
        <v>0</v>
      </c>
      <c r="N379" s="29">
        <f>IF(AND(K379=L379,LEFT(E379,1)="T"),VLOOKUP(A379,'JOGOS BASE'!A:E,4,0),IF(K379=J379,VLOOKUP(J379,Substituicoes!J:R,6,0),IF(L379=J379,VLOOKUP(Escalacao!J379,Substituicoes!K:R,7,0),0)))</f>
        <v>48</v>
      </c>
      <c r="O379" s="28">
        <f>IF(AND(K379=L379,LEFT(E379,1)="T"),VLOOKUP(A379,'JOGOS BASE'!A:E,5,0),IF(K379=J379,VLOOKUP(J379,Substituicoes!J:R,7,0),IF(L379=J379,VLOOKUP(Escalacao!J379,Substituicoes!K:R,8,0),0)))</f>
        <v>19</v>
      </c>
      <c r="P379" s="28">
        <f t="shared" si="48"/>
        <v>67</v>
      </c>
      <c r="Q379" s="28" t="str">
        <f t="shared" si="49"/>
        <v>108Tuntum - MA</v>
      </c>
      <c r="R379" s="28" t="str">
        <f>VLOOKUP(A379,'JOGOS BASE'!A:H,8)</f>
        <v>26.01.2025 - Tuntum - MA x Sampaio Corrêa - MA</v>
      </c>
    </row>
    <row r="380" spans="1:18" ht="30.6">
      <c r="A380" s="15">
        <v>10</v>
      </c>
      <c r="B380" s="46">
        <v>9</v>
      </c>
      <c r="C380" s="45" t="s">
        <v>534</v>
      </c>
      <c r="D380" s="45" t="s">
        <v>535</v>
      </c>
      <c r="E380" s="47" t="s">
        <v>26</v>
      </c>
      <c r="F380" s="47" t="s">
        <v>24</v>
      </c>
      <c r="G380" s="46">
        <v>546835</v>
      </c>
      <c r="H380" s="18" t="s">
        <v>388</v>
      </c>
      <c r="I380" s="26" t="str">
        <f t="shared" si="45"/>
        <v>Nycollas</v>
      </c>
      <c r="J380" s="26" t="str">
        <f t="shared" si="46"/>
        <v>10Tuntum - MA9</v>
      </c>
      <c r="K380" s="27" t="str">
        <f>IFERROR(VLOOKUP(J380,Substituicoes!J:J,1,0),"SS")</f>
        <v>SS</v>
      </c>
      <c r="L380" s="27" t="str">
        <f>IFERROR(VLOOKUP(J380,Substituicoes!K:K,1,0),"SS")</f>
        <v>10Tuntum - MA9</v>
      </c>
      <c r="M380" s="28" t="b">
        <f t="shared" si="47"/>
        <v>0</v>
      </c>
      <c r="N380" s="29">
        <f>IF(AND(K380=L380,LEFT(E380,1)="T"),VLOOKUP(A380,'JOGOS BASE'!A:E,4,0),IF(K380=J380,VLOOKUP(J380,Substituicoes!J:R,6,0),IF(L380=J380,VLOOKUP(Escalacao!J380,Substituicoes!K:R,7,0),0)))</f>
        <v>48</v>
      </c>
      <c r="O380" s="28">
        <f>IF(AND(K380=L380,LEFT(E380,1)="T"),VLOOKUP(A380,'JOGOS BASE'!A:E,5,0),IF(K380=J380,VLOOKUP(J380,Substituicoes!J:R,7,0),IF(L380=J380,VLOOKUP(Escalacao!J380,Substituicoes!K:R,8,0),0)))</f>
        <v>12</v>
      </c>
      <c r="P380" s="28">
        <f t="shared" si="48"/>
        <v>60</v>
      </c>
      <c r="Q380" s="28" t="str">
        <f t="shared" si="49"/>
        <v>109Tuntum - MA</v>
      </c>
      <c r="R380" s="28" t="str">
        <f>VLOOKUP(A380,'JOGOS BASE'!A:H,8)</f>
        <v>26.01.2025 - Tuntum - MA x Sampaio Corrêa - MA</v>
      </c>
    </row>
    <row r="381" spans="1:18" ht="30.6">
      <c r="A381" s="15">
        <v>10</v>
      </c>
      <c r="B381" s="46">
        <v>10</v>
      </c>
      <c r="C381" s="45" t="s">
        <v>536</v>
      </c>
      <c r="D381" s="45" t="s">
        <v>537</v>
      </c>
      <c r="E381" s="47" t="s">
        <v>26</v>
      </c>
      <c r="F381" s="47" t="s">
        <v>24</v>
      </c>
      <c r="G381" s="46">
        <v>591346</v>
      </c>
      <c r="H381" s="18" t="s">
        <v>388</v>
      </c>
      <c r="I381" s="26" t="str">
        <f t="shared" si="45"/>
        <v>Cassio</v>
      </c>
      <c r="J381" s="26" t="str">
        <f t="shared" si="46"/>
        <v>10Tuntum - MA10</v>
      </c>
      <c r="K381" s="27" t="str">
        <f>IFERROR(VLOOKUP(J381,Substituicoes!J:J,1,0),"SS")</f>
        <v>SS</v>
      </c>
      <c r="L381" s="27" t="str">
        <f>IFERROR(VLOOKUP(J381,Substituicoes!K:K,1,0),"SS")</f>
        <v>SS</v>
      </c>
      <c r="M381" s="28" t="b">
        <f t="shared" si="47"/>
        <v>1</v>
      </c>
      <c r="N381" s="29">
        <f>IF(AND(K381=L381,LEFT(E381,1)="T"),VLOOKUP(A381,'JOGOS BASE'!A:E,4,0),IF(K381=J381,VLOOKUP(J381,Substituicoes!J:R,6,0),IF(L381=J381,VLOOKUP(Escalacao!J381,Substituicoes!K:R,7,0),0)))</f>
        <v>48</v>
      </c>
      <c r="O381" s="28">
        <f>IF(AND(K381=L381,LEFT(E381,1)="T"),VLOOKUP(A381,'JOGOS BASE'!A:E,5,0),IF(K381=J381,VLOOKUP(J381,Substituicoes!J:R,7,0),IF(L381=J381,VLOOKUP(Escalacao!J381,Substituicoes!K:R,8,0),0)))</f>
        <v>50</v>
      </c>
      <c r="P381" s="28">
        <f t="shared" si="48"/>
        <v>98</v>
      </c>
      <c r="Q381" s="28" t="str">
        <f t="shared" si="49"/>
        <v>1010Tuntum - MA</v>
      </c>
      <c r="R381" s="28" t="str">
        <f>VLOOKUP(A381,'JOGOS BASE'!A:H,8)</f>
        <v>26.01.2025 - Tuntum - MA x Sampaio Corrêa - MA</v>
      </c>
    </row>
    <row r="382" spans="1:18" ht="20.399999999999999">
      <c r="A382" s="15">
        <v>10</v>
      </c>
      <c r="B382" s="46">
        <v>11</v>
      </c>
      <c r="C382" s="45" t="s">
        <v>538</v>
      </c>
      <c r="D382" s="45" t="s">
        <v>539</v>
      </c>
      <c r="E382" s="47" t="s">
        <v>26</v>
      </c>
      <c r="F382" s="47" t="s">
        <v>24</v>
      </c>
      <c r="G382" s="46">
        <v>513206</v>
      </c>
      <c r="H382" s="18" t="s">
        <v>388</v>
      </c>
      <c r="I382" s="26" t="str">
        <f t="shared" si="45"/>
        <v>Adrian</v>
      </c>
      <c r="J382" s="26" t="str">
        <f t="shared" si="46"/>
        <v>10Tuntum - MA11</v>
      </c>
      <c r="K382" s="27" t="str">
        <f>IFERROR(VLOOKUP(J382,Substituicoes!J:J,1,0),"SS")</f>
        <v>SS</v>
      </c>
      <c r="L382" s="27" t="str">
        <f>IFERROR(VLOOKUP(J382,Substituicoes!K:K,1,0),"SS")</f>
        <v>10Tuntum - MA11</v>
      </c>
      <c r="M382" s="28" t="b">
        <f t="shared" si="47"/>
        <v>0</v>
      </c>
      <c r="N382" s="29">
        <f>IF(AND(K382=L382,LEFT(E382,1)="T"),VLOOKUP(A382,'JOGOS BASE'!A:E,4,0),IF(K382=J382,VLOOKUP(J382,Substituicoes!J:R,6,0),IF(L382=J382,VLOOKUP(Escalacao!J382,Substituicoes!K:R,7,0),0)))</f>
        <v>48</v>
      </c>
      <c r="O382" s="28">
        <f>IF(AND(K382=L382,LEFT(E382,1)="T"),VLOOKUP(A382,'JOGOS BASE'!A:E,5,0),IF(K382=J382,VLOOKUP(J382,Substituicoes!J:R,7,0),IF(L382=J382,VLOOKUP(Escalacao!J382,Substituicoes!K:R,8,0),0)))</f>
        <v>19</v>
      </c>
      <c r="P382" s="28">
        <f t="shared" si="48"/>
        <v>67</v>
      </c>
      <c r="Q382" s="28" t="str">
        <f t="shared" si="49"/>
        <v>1011Tuntum - MA</v>
      </c>
      <c r="R382" s="28" t="str">
        <f>VLOOKUP(A382,'JOGOS BASE'!A:H,8)</f>
        <v>26.01.2025 - Tuntum - MA x Sampaio Corrêa - MA</v>
      </c>
    </row>
    <row r="383" spans="1:18" ht="30.6">
      <c r="A383" s="15">
        <v>10</v>
      </c>
      <c r="B383" s="46">
        <v>12</v>
      </c>
      <c r="C383" s="45" t="s">
        <v>649</v>
      </c>
      <c r="D383" s="45" t="s">
        <v>650</v>
      </c>
      <c r="E383" s="47" t="s">
        <v>40</v>
      </c>
      <c r="F383" s="47" t="s">
        <v>24</v>
      </c>
      <c r="G383" s="46">
        <v>732605</v>
      </c>
      <c r="H383" s="18" t="s">
        <v>388</v>
      </c>
      <c r="I383" s="26" t="str">
        <f t="shared" si="45"/>
        <v>JOAO</v>
      </c>
      <c r="J383" s="26" t="str">
        <f t="shared" si="46"/>
        <v>10Tuntum - MA12</v>
      </c>
      <c r="K383" s="27" t="str">
        <f>IFERROR(VLOOKUP(J383,Substituicoes!J:J,1,0),"SS")</f>
        <v>SS</v>
      </c>
      <c r="L383" s="27" t="str">
        <f>IFERROR(VLOOKUP(J383,Substituicoes!K:K,1,0),"SS")</f>
        <v>SS</v>
      </c>
      <c r="M383" s="28" t="b">
        <f t="shared" si="47"/>
        <v>1</v>
      </c>
      <c r="N383" s="29">
        <f>IF(AND(K383=L383,LEFT(E383,1)="T"),VLOOKUP(A383,'JOGOS BASE'!A:E,4,0),IF(K383=J383,VLOOKUP(J383,Substituicoes!J:R,6,0),IF(L383=J383,VLOOKUP(Escalacao!J383,Substituicoes!K:R,7,0),0)))</f>
        <v>0</v>
      </c>
      <c r="O383" s="28">
        <f>IF(AND(K383=L383,LEFT(E383,1)="T"),VLOOKUP(A383,'JOGOS BASE'!A:E,5,0),IF(K383=J383,VLOOKUP(J383,Substituicoes!J:R,7,0),IF(L383=J383,VLOOKUP(Escalacao!J383,Substituicoes!K:R,8,0),0)))</f>
        <v>0</v>
      </c>
      <c r="P383" s="28">
        <f t="shared" si="48"/>
        <v>0</v>
      </c>
      <c r="Q383" s="28" t="str">
        <f t="shared" si="49"/>
        <v>1012Tuntum - MA</v>
      </c>
      <c r="R383" s="28" t="str">
        <f>VLOOKUP(A383,'JOGOS BASE'!A:H,8)</f>
        <v>26.01.2025 - Tuntum - MA x Sampaio Corrêa - MA</v>
      </c>
    </row>
    <row r="384" spans="1:18" ht="20.399999999999999">
      <c r="A384" s="15">
        <v>10</v>
      </c>
      <c r="B384" s="46">
        <v>13</v>
      </c>
      <c r="C384" s="45" t="s">
        <v>521</v>
      </c>
      <c r="D384" s="45" t="s">
        <v>522</v>
      </c>
      <c r="E384" s="47" t="s">
        <v>42</v>
      </c>
      <c r="F384" s="47" t="s">
        <v>24</v>
      </c>
      <c r="G384" s="46">
        <v>391356</v>
      </c>
      <c r="H384" s="18" t="s">
        <v>388</v>
      </c>
      <c r="I384" s="26" t="str">
        <f t="shared" si="45"/>
        <v>Francisco</v>
      </c>
      <c r="J384" s="26" t="str">
        <f t="shared" si="46"/>
        <v>10Tuntum - MA13</v>
      </c>
      <c r="K384" s="27" t="str">
        <f>IFERROR(VLOOKUP(J384,Substituicoes!J:J,1,0),"SS")</f>
        <v>10Tuntum - MA13</v>
      </c>
      <c r="L384" s="27" t="str">
        <f>IFERROR(VLOOKUP(J384,Substituicoes!K:K,1,0),"SS")</f>
        <v>SS</v>
      </c>
      <c r="M384" s="28" t="b">
        <f t="shared" si="47"/>
        <v>0</v>
      </c>
      <c r="N384" s="29">
        <f>IF(AND(K384=L384,LEFT(E384,1)="T"),VLOOKUP(A384,'JOGOS BASE'!A:E,4,0),IF(K384=J384,VLOOKUP(J384,Substituicoes!J:R,6,0),IF(L384=J384,VLOOKUP(Escalacao!J384,Substituicoes!K:R,7,0),0)))</f>
        <v>0</v>
      </c>
      <c r="O384" s="28">
        <f>IF(AND(K384=L384,LEFT(E384,1)="T"),VLOOKUP(A384,'JOGOS BASE'!A:E,5,0),IF(K384=J384,VLOOKUP(J384,Substituicoes!J:R,7,0),IF(L384=J384,VLOOKUP(Escalacao!J384,Substituicoes!K:R,8,0),0)))</f>
        <v>38</v>
      </c>
      <c r="P384" s="28">
        <f t="shared" si="48"/>
        <v>38</v>
      </c>
      <c r="Q384" s="28" t="str">
        <f t="shared" si="49"/>
        <v>1013Tuntum - MA</v>
      </c>
      <c r="R384" s="28" t="str">
        <f>VLOOKUP(A384,'JOGOS BASE'!A:H,8)</f>
        <v>26.01.2025 - Tuntum - MA x Sampaio Corrêa - MA</v>
      </c>
    </row>
    <row r="385" spans="1:18" ht="30.6">
      <c r="A385" s="15">
        <v>10</v>
      </c>
      <c r="B385" s="46">
        <v>14</v>
      </c>
      <c r="C385" s="45" t="s">
        <v>525</v>
      </c>
      <c r="D385" s="45" t="s">
        <v>526</v>
      </c>
      <c r="E385" s="47" t="s">
        <v>42</v>
      </c>
      <c r="F385" s="47" t="s">
        <v>24</v>
      </c>
      <c r="G385" s="46">
        <v>175123</v>
      </c>
      <c r="H385" s="18" t="s">
        <v>388</v>
      </c>
      <c r="I385" s="26" t="str">
        <f t="shared" si="45"/>
        <v>Robinho</v>
      </c>
      <c r="J385" s="26" t="str">
        <f t="shared" si="46"/>
        <v>10Tuntum - MA14</v>
      </c>
      <c r="K385" s="27" t="str">
        <f>IFERROR(VLOOKUP(J385,Substituicoes!J:J,1,0),"SS")</f>
        <v>SS</v>
      </c>
      <c r="L385" s="27" t="str">
        <f>IFERROR(VLOOKUP(J385,Substituicoes!K:K,1,0),"SS")</f>
        <v>SS</v>
      </c>
      <c r="M385" s="28" t="b">
        <f t="shared" si="47"/>
        <v>1</v>
      </c>
      <c r="N385" s="29">
        <f>IF(AND(K385=L385,LEFT(E385,1)="T"),VLOOKUP(A385,'JOGOS BASE'!A:E,4,0),IF(K385=J385,VLOOKUP(J385,Substituicoes!J:R,6,0),IF(L385=J385,VLOOKUP(Escalacao!J385,Substituicoes!K:R,7,0),0)))</f>
        <v>0</v>
      </c>
      <c r="O385" s="28">
        <f>IF(AND(K385=L385,LEFT(E385,1)="T"),VLOOKUP(A385,'JOGOS BASE'!A:E,5,0),IF(K385=J385,VLOOKUP(J385,Substituicoes!J:R,7,0),IF(L385=J385,VLOOKUP(Escalacao!J385,Substituicoes!K:R,8,0),0)))</f>
        <v>0</v>
      </c>
      <c r="P385" s="28">
        <f t="shared" si="48"/>
        <v>0</v>
      </c>
      <c r="Q385" s="28" t="str">
        <f t="shared" si="49"/>
        <v>1014Tuntum - MA</v>
      </c>
      <c r="R385" s="28" t="str">
        <f>VLOOKUP(A385,'JOGOS BASE'!A:H,8)</f>
        <v>26.01.2025 - Tuntum - MA x Sampaio Corrêa - MA</v>
      </c>
    </row>
    <row r="386" spans="1:18" ht="20.399999999999999">
      <c r="A386" s="15">
        <v>10</v>
      </c>
      <c r="B386" s="46">
        <v>15</v>
      </c>
      <c r="C386" s="45" t="s">
        <v>547</v>
      </c>
      <c r="D386" s="45" t="s">
        <v>548</v>
      </c>
      <c r="E386" s="47" t="s">
        <v>42</v>
      </c>
      <c r="F386" s="47" t="s">
        <v>24</v>
      </c>
      <c r="G386" s="46">
        <v>699359</v>
      </c>
      <c r="H386" s="18" t="s">
        <v>388</v>
      </c>
      <c r="I386" s="26" t="str">
        <f t="shared" si="45"/>
        <v>GIULIEDSON</v>
      </c>
      <c r="J386" s="26" t="str">
        <f t="shared" si="46"/>
        <v>10Tuntum - MA15</v>
      </c>
      <c r="K386" s="27" t="str">
        <f>IFERROR(VLOOKUP(J386,Substituicoes!J:J,1,0),"SS")</f>
        <v>SS</v>
      </c>
      <c r="L386" s="27" t="str">
        <f>IFERROR(VLOOKUP(J386,Substituicoes!K:K,1,0),"SS")</f>
        <v>SS</v>
      </c>
      <c r="M386" s="28" t="b">
        <f t="shared" si="47"/>
        <v>1</v>
      </c>
      <c r="N386" s="29">
        <f>IF(AND(K386=L386,LEFT(E386,1)="T"),VLOOKUP(A386,'JOGOS BASE'!A:E,4,0),IF(K386=J386,VLOOKUP(J386,Substituicoes!J:R,6,0),IF(L386=J386,VLOOKUP(Escalacao!J386,Substituicoes!K:R,7,0),0)))</f>
        <v>0</v>
      </c>
      <c r="O386" s="28">
        <f>IF(AND(K386=L386,LEFT(E386,1)="T"),VLOOKUP(A386,'JOGOS BASE'!A:E,5,0),IF(K386=J386,VLOOKUP(J386,Substituicoes!J:R,7,0),IF(L386=J386,VLOOKUP(Escalacao!J386,Substituicoes!K:R,8,0),0)))</f>
        <v>0</v>
      </c>
      <c r="P386" s="28">
        <f t="shared" si="48"/>
        <v>0</v>
      </c>
      <c r="Q386" s="28" t="str">
        <f t="shared" si="49"/>
        <v>1015Tuntum - MA</v>
      </c>
      <c r="R386" s="28" t="str">
        <f>VLOOKUP(A386,'JOGOS BASE'!A:H,8)</f>
        <v>26.01.2025 - Tuntum - MA x Sampaio Corrêa - MA</v>
      </c>
    </row>
    <row r="387" spans="1:18" ht="30.6">
      <c r="A387" s="15">
        <v>10</v>
      </c>
      <c r="B387" s="46">
        <v>16</v>
      </c>
      <c r="C387" s="45" t="s">
        <v>559</v>
      </c>
      <c r="D387" s="45" t="s">
        <v>560</v>
      </c>
      <c r="E387" s="47" t="s">
        <v>42</v>
      </c>
      <c r="F387" s="47" t="s">
        <v>24</v>
      </c>
      <c r="G387" s="46">
        <v>647116</v>
      </c>
      <c r="H387" s="18" t="s">
        <v>388</v>
      </c>
      <c r="I387" s="26" t="str">
        <f t="shared" si="45"/>
        <v>ANTONIO</v>
      </c>
      <c r="J387" s="26" t="str">
        <f t="shared" si="46"/>
        <v>10Tuntum - MA16</v>
      </c>
      <c r="K387" s="27" t="str">
        <f>IFERROR(VLOOKUP(J387,Substituicoes!J:J,1,0),"SS")</f>
        <v>SS</v>
      </c>
      <c r="L387" s="27" t="str">
        <f>IFERROR(VLOOKUP(J387,Substituicoes!K:K,1,0),"SS")</f>
        <v>SS</v>
      </c>
      <c r="M387" s="28" t="b">
        <f t="shared" si="47"/>
        <v>1</v>
      </c>
      <c r="N387" s="29">
        <f>IF(AND(K387=L387,LEFT(E387,1)="T"),VLOOKUP(A387,'JOGOS BASE'!A:E,4,0),IF(K387=J387,VLOOKUP(J387,Substituicoes!J:R,6,0),IF(L387=J387,VLOOKUP(Escalacao!J387,Substituicoes!K:R,7,0),0)))</f>
        <v>0</v>
      </c>
      <c r="O387" s="28">
        <f>IF(AND(K387=L387,LEFT(E387,1)="T"),VLOOKUP(A387,'JOGOS BASE'!A:E,5,0),IF(K387=J387,VLOOKUP(J387,Substituicoes!J:R,7,0),IF(L387=J387,VLOOKUP(Escalacao!J387,Substituicoes!K:R,8,0),0)))</f>
        <v>0</v>
      </c>
      <c r="P387" s="28">
        <f t="shared" si="48"/>
        <v>0</v>
      </c>
      <c r="Q387" s="28" t="str">
        <f t="shared" si="49"/>
        <v>1016Tuntum - MA</v>
      </c>
      <c r="R387" s="28" t="str">
        <f>VLOOKUP(A387,'JOGOS BASE'!A:H,8)</f>
        <v>26.01.2025 - Tuntum - MA x Sampaio Corrêa - MA</v>
      </c>
    </row>
    <row r="388" spans="1:18" ht="30.6">
      <c r="A388" s="15">
        <v>10</v>
      </c>
      <c r="B388" s="46">
        <v>17</v>
      </c>
      <c r="C388" s="45" t="s">
        <v>555</v>
      </c>
      <c r="D388" s="45" t="s">
        <v>556</v>
      </c>
      <c r="E388" s="47" t="s">
        <v>42</v>
      </c>
      <c r="F388" s="47" t="s">
        <v>24</v>
      </c>
      <c r="G388" s="46">
        <v>739945</v>
      </c>
      <c r="H388" s="18" t="s">
        <v>388</v>
      </c>
      <c r="I388" s="26" t="str">
        <f t="shared" si="45"/>
        <v>RENAN</v>
      </c>
      <c r="J388" s="26" t="str">
        <f t="shared" si="46"/>
        <v>10Tuntum - MA17</v>
      </c>
      <c r="K388" s="27" t="str">
        <f>IFERROR(VLOOKUP(J388,Substituicoes!J:J,1,0),"SS")</f>
        <v>SS</v>
      </c>
      <c r="L388" s="27" t="str">
        <f>IFERROR(VLOOKUP(J388,Substituicoes!K:K,1,0),"SS")</f>
        <v>SS</v>
      </c>
      <c r="M388" s="28" t="b">
        <f t="shared" si="47"/>
        <v>1</v>
      </c>
      <c r="N388" s="29">
        <f>IF(AND(K388=L388,LEFT(E388,1)="T"),VLOOKUP(A388,'JOGOS BASE'!A:E,4,0),IF(K388=J388,VLOOKUP(J388,Substituicoes!J:R,6,0),IF(L388=J388,VLOOKUP(Escalacao!J388,Substituicoes!K:R,7,0),0)))</f>
        <v>0</v>
      </c>
      <c r="O388" s="28">
        <f>IF(AND(K388=L388,LEFT(E388,1)="T"),VLOOKUP(A388,'JOGOS BASE'!A:E,5,0),IF(K388=J388,VLOOKUP(J388,Substituicoes!J:R,7,0),IF(L388=J388,VLOOKUP(Escalacao!J388,Substituicoes!K:R,8,0),0)))</f>
        <v>0</v>
      </c>
      <c r="P388" s="28">
        <f t="shared" si="48"/>
        <v>0</v>
      </c>
      <c r="Q388" s="28" t="str">
        <f t="shared" si="49"/>
        <v>1017Tuntum - MA</v>
      </c>
      <c r="R388" s="28" t="str">
        <f>VLOOKUP(A388,'JOGOS BASE'!A:H,8)</f>
        <v>26.01.2025 - Tuntum - MA x Sampaio Corrêa - MA</v>
      </c>
    </row>
    <row r="389" spans="1:18" ht="20.399999999999999">
      <c r="A389" s="15">
        <v>10</v>
      </c>
      <c r="B389" s="46">
        <v>18</v>
      </c>
      <c r="C389" s="45" t="s">
        <v>545</v>
      </c>
      <c r="D389" s="45" t="s">
        <v>546</v>
      </c>
      <c r="E389" s="47" t="s">
        <v>42</v>
      </c>
      <c r="F389" s="47" t="s">
        <v>24</v>
      </c>
      <c r="G389" s="46">
        <v>507730</v>
      </c>
      <c r="H389" s="18" t="s">
        <v>388</v>
      </c>
      <c r="I389" s="26" t="str">
        <f t="shared" si="45"/>
        <v>Leal</v>
      </c>
      <c r="J389" s="26" t="str">
        <f t="shared" si="46"/>
        <v>10Tuntum - MA18</v>
      </c>
      <c r="K389" s="27" t="str">
        <f>IFERROR(VLOOKUP(J389,Substituicoes!J:J,1,0),"SS")</f>
        <v>SS</v>
      </c>
      <c r="L389" s="27" t="str">
        <f>IFERROR(VLOOKUP(J389,Substituicoes!K:K,1,0),"SS")</f>
        <v>SS</v>
      </c>
      <c r="M389" s="28" t="b">
        <f t="shared" si="47"/>
        <v>1</v>
      </c>
      <c r="N389" s="29">
        <f>IF(AND(K389=L389,LEFT(E389,1)="T"),VLOOKUP(A389,'JOGOS BASE'!A:E,4,0),IF(K389=J389,VLOOKUP(J389,Substituicoes!J:R,6,0),IF(L389=J389,VLOOKUP(Escalacao!J389,Substituicoes!K:R,7,0),0)))</f>
        <v>0</v>
      </c>
      <c r="O389" s="28">
        <f>IF(AND(K389=L389,LEFT(E389,1)="T"),VLOOKUP(A389,'JOGOS BASE'!A:E,5,0),IF(K389=J389,VLOOKUP(J389,Substituicoes!J:R,7,0),IF(L389=J389,VLOOKUP(Escalacao!J389,Substituicoes!K:R,8,0),0)))</f>
        <v>0</v>
      </c>
      <c r="P389" s="28">
        <f t="shared" si="48"/>
        <v>0</v>
      </c>
      <c r="Q389" s="28" t="str">
        <f t="shared" si="49"/>
        <v>1018Tuntum - MA</v>
      </c>
      <c r="R389" s="28" t="str">
        <f>VLOOKUP(A389,'JOGOS BASE'!A:H,8)</f>
        <v>26.01.2025 - Tuntum - MA x Sampaio Corrêa - MA</v>
      </c>
    </row>
    <row r="390" spans="1:18" ht="20.399999999999999">
      <c r="A390" s="15">
        <v>10</v>
      </c>
      <c r="B390" s="46">
        <v>19</v>
      </c>
      <c r="C390" s="45" t="s">
        <v>651</v>
      </c>
      <c r="D390" s="45" t="s">
        <v>652</v>
      </c>
      <c r="E390" s="47" t="s">
        <v>42</v>
      </c>
      <c r="F390" s="47" t="s">
        <v>24</v>
      </c>
      <c r="G390" s="46">
        <v>649106</v>
      </c>
      <c r="H390" s="18" t="s">
        <v>388</v>
      </c>
      <c r="I390" s="26" t="str">
        <f t="shared" si="45"/>
        <v>Igor</v>
      </c>
      <c r="J390" s="26" t="str">
        <f t="shared" si="46"/>
        <v>10Tuntum - MA19</v>
      </c>
      <c r="K390" s="27" t="str">
        <f>IFERROR(VLOOKUP(J390,Substituicoes!J:J,1,0),"SS")</f>
        <v>10Tuntum - MA19</v>
      </c>
      <c r="L390" s="27" t="str">
        <f>IFERROR(VLOOKUP(J390,Substituicoes!K:K,1,0),"SS")</f>
        <v>SS</v>
      </c>
      <c r="M390" s="28" t="b">
        <f t="shared" si="47"/>
        <v>0</v>
      </c>
      <c r="N390" s="29">
        <f>IF(AND(K390=L390,LEFT(E390,1)="T"),VLOOKUP(A390,'JOGOS BASE'!A:E,4,0),IF(K390=J390,VLOOKUP(J390,Substituicoes!J:R,6,0),IF(L390=J390,VLOOKUP(Escalacao!J390,Substituicoes!K:R,7,0),0)))</f>
        <v>0</v>
      </c>
      <c r="O390" s="28">
        <f>IF(AND(K390=L390,LEFT(E390,1)="T"),VLOOKUP(A390,'JOGOS BASE'!A:E,5,0),IF(K390=J390,VLOOKUP(J390,Substituicoes!J:R,7,0),IF(L390=J390,VLOOKUP(Escalacao!J390,Substituicoes!K:R,8,0),0)))</f>
        <v>31</v>
      </c>
      <c r="P390" s="28">
        <f t="shared" si="48"/>
        <v>31</v>
      </c>
      <c r="Q390" s="28" t="str">
        <f t="shared" si="49"/>
        <v>1019Tuntum - MA</v>
      </c>
      <c r="R390" s="28" t="str">
        <f>VLOOKUP(A390,'JOGOS BASE'!A:H,8)</f>
        <v>26.01.2025 - Tuntum - MA x Sampaio Corrêa - MA</v>
      </c>
    </row>
    <row r="391" spans="1:18" ht="20.399999999999999">
      <c r="A391" s="15">
        <v>10</v>
      </c>
      <c r="B391" s="46">
        <v>20</v>
      </c>
      <c r="C391" s="45" t="s">
        <v>532</v>
      </c>
      <c r="D391" s="45" t="s">
        <v>533</v>
      </c>
      <c r="E391" s="47" t="s">
        <v>42</v>
      </c>
      <c r="F391" s="47" t="s">
        <v>24</v>
      </c>
      <c r="G391" s="46">
        <v>645521</v>
      </c>
      <c r="H391" s="18" t="s">
        <v>388</v>
      </c>
      <c r="I391" s="26" t="str">
        <f t="shared" si="45"/>
        <v>VICTOR</v>
      </c>
      <c r="J391" s="26" t="str">
        <f t="shared" si="46"/>
        <v>10Tuntum - MA20</v>
      </c>
      <c r="K391" s="27" t="str">
        <f>IFERROR(VLOOKUP(J391,Substituicoes!J:J,1,0),"SS")</f>
        <v>10Tuntum - MA20</v>
      </c>
      <c r="L391" s="27" t="str">
        <f>IFERROR(VLOOKUP(J391,Substituicoes!K:K,1,0),"SS")</f>
        <v>SS</v>
      </c>
      <c r="M391" s="28" t="b">
        <f t="shared" si="47"/>
        <v>0</v>
      </c>
      <c r="N391" s="29">
        <f>IF(AND(K391=L391,LEFT(E391,1)="T"),VLOOKUP(A391,'JOGOS BASE'!A:E,4,0),IF(K391=J391,VLOOKUP(J391,Substituicoes!J:R,6,0),IF(L391=J391,VLOOKUP(Escalacao!J391,Substituicoes!K:R,7,0),0)))</f>
        <v>0</v>
      </c>
      <c r="O391" s="28">
        <f>IF(AND(K391=L391,LEFT(E391,1)="T"),VLOOKUP(A391,'JOGOS BASE'!A:E,5,0),IF(K391=J391,VLOOKUP(J391,Substituicoes!J:R,7,0),IF(L391=J391,VLOOKUP(Escalacao!J391,Substituicoes!K:R,8,0),0)))</f>
        <v>31</v>
      </c>
      <c r="P391" s="28">
        <f t="shared" si="48"/>
        <v>31</v>
      </c>
      <c r="Q391" s="28" t="str">
        <f t="shared" si="49"/>
        <v>1020Tuntum - MA</v>
      </c>
      <c r="R391" s="28" t="str">
        <f>VLOOKUP(A391,'JOGOS BASE'!A:H,8)</f>
        <v>26.01.2025 - Tuntum - MA x Sampaio Corrêa - MA</v>
      </c>
    </row>
    <row r="392" spans="1:18" ht="30.6">
      <c r="A392" s="15">
        <v>10</v>
      </c>
      <c r="B392" s="46">
        <v>21</v>
      </c>
      <c r="C392" s="45" t="s">
        <v>653</v>
      </c>
      <c r="D392" s="45" t="s">
        <v>654</v>
      </c>
      <c r="E392" s="47" t="s">
        <v>42</v>
      </c>
      <c r="F392" s="47" t="s">
        <v>24</v>
      </c>
      <c r="G392" s="46">
        <v>632127</v>
      </c>
      <c r="H392" s="18" t="s">
        <v>388</v>
      </c>
      <c r="I392" s="26" t="str">
        <f t="shared" si="45"/>
        <v>Felipe Bahia</v>
      </c>
      <c r="J392" s="26" t="str">
        <f t="shared" si="46"/>
        <v>10Tuntum - MA21</v>
      </c>
      <c r="K392" s="27" t="str">
        <f>IFERROR(VLOOKUP(J392,Substituicoes!J:J,1,0),"SS")</f>
        <v>10Tuntum - MA21</v>
      </c>
      <c r="L392" s="27" t="str">
        <f>IFERROR(VLOOKUP(J392,Substituicoes!K:K,1,0),"SS")</f>
        <v>SS</v>
      </c>
      <c r="M392" s="28" t="b">
        <f t="shared" si="47"/>
        <v>0</v>
      </c>
      <c r="N392" s="29">
        <f>IF(AND(K392=L392,LEFT(E392,1)="T"),VLOOKUP(A392,'JOGOS BASE'!A:E,4,0),IF(K392=J392,VLOOKUP(J392,Substituicoes!J:R,6,0),IF(L392=J392,VLOOKUP(Escalacao!J392,Substituicoes!K:R,7,0),0)))</f>
        <v>0</v>
      </c>
      <c r="O392" s="28">
        <f>IF(AND(K392=L392,LEFT(E392,1)="T"),VLOOKUP(A392,'JOGOS BASE'!A:E,5,0),IF(K392=J392,VLOOKUP(J392,Substituicoes!J:R,7,0),IF(L392=J392,VLOOKUP(Escalacao!J392,Substituicoes!K:R,8,0),0)))</f>
        <v>38</v>
      </c>
      <c r="P392" s="28">
        <f t="shared" si="48"/>
        <v>38</v>
      </c>
      <c r="Q392" s="28" t="str">
        <f t="shared" si="49"/>
        <v>1021Tuntum - MA</v>
      </c>
      <c r="R392" s="28" t="str">
        <f>VLOOKUP(A392,'JOGOS BASE'!A:H,8)</f>
        <v>26.01.2025 - Tuntum - MA x Sampaio Corrêa - MA</v>
      </c>
    </row>
    <row r="393" spans="1:18" ht="30.6">
      <c r="A393" s="15">
        <v>10</v>
      </c>
      <c r="B393" s="46">
        <v>22</v>
      </c>
      <c r="C393" s="45" t="s">
        <v>655</v>
      </c>
      <c r="D393" s="45" t="s">
        <v>656</v>
      </c>
      <c r="E393" s="47" t="s">
        <v>42</v>
      </c>
      <c r="F393" s="47" t="s">
        <v>24</v>
      </c>
      <c r="G393" s="46">
        <v>648479</v>
      </c>
      <c r="H393" s="18" t="s">
        <v>388</v>
      </c>
      <c r="I393" s="26" t="str">
        <f t="shared" si="45"/>
        <v>MIKINHA</v>
      </c>
      <c r="J393" s="26" t="str">
        <f t="shared" si="46"/>
        <v>10Tuntum - MA22</v>
      </c>
      <c r="K393" s="27" t="str">
        <f>IFERROR(VLOOKUP(J393,Substituicoes!J:J,1,0),"SS")</f>
        <v>10Tuntum - MA22</v>
      </c>
      <c r="L393" s="27" t="str">
        <f>IFERROR(VLOOKUP(J393,Substituicoes!K:K,1,0),"SS")</f>
        <v>SS</v>
      </c>
      <c r="M393" s="28" t="b">
        <f t="shared" si="47"/>
        <v>0</v>
      </c>
      <c r="N393" s="29">
        <f>IF(AND(K393=L393,LEFT(E393,1)="T"),VLOOKUP(A393,'JOGOS BASE'!A:E,4,0),IF(K393=J393,VLOOKUP(J393,Substituicoes!J:R,6,0),IF(L393=J393,VLOOKUP(Escalacao!J393,Substituicoes!K:R,7,0),0)))</f>
        <v>0</v>
      </c>
      <c r="O393" s="28">
        <f>IF(AND(K393=L393,LEFT(E393,1)="T"),VLOOKUP(A393,'JOGOS BASE'!A:E,5,0),IF(K393=J393,VLOOKUP(J393,Substituicoes!J:R,7,0),IF(L393=J393,VLOOKUP(Escalacao!J393,Substituicoes!K:R,8,0),0)))</f>
        <v>45</v>
      </c>
      <c r="P393" s="28">
        <f t="shared" si="48"/>
        <v>45</v>
      </c>
      <c r="Q393" s="28" t="str">
        <f t="shared" si="49"/>
        <v>1022Tuntum - MA</v>
      </c>
      <c r="R393" s="28" t="str">
        <f>VLOOKUP(A393,'JOGOS BASE'!A:H,8)</f>
        <v>26.01.2025 - Tuntum - MA x Sampaio Corrêa - MA</v>
      </c>
    </row>
    <row r="394" spans="1:18" ht="30.6">
      <c r="A394" s="15">
        <v>10</v>
      </c>
      <c r="B394" s="46">
        <v>32</v>
      </c>
      <c r="C394" s="45" t="s">
        <v>78</v>
      </c>
      <c r="D394" s="45" t="s">
        <v>79</v>
      </c>
      <c r="E394" s="47" t="s">
        <v>23</v>
      </c>
      <c r="F394" s="47" t="s">
        <v>24</v>
      </c>
      <c r="G394" s="46">
        <v>387319</v>
      </c>
      <c r="H394" s="18" t="s">
        <v>122</v>
      </c>
      <c r="I394" s="26" t="str">
        <f t="shared" si="45"/>
        <v>Rhuan</v>
      </c>
      <c r="J394" s="26" t="str">
        <f t="shared" si="46"/>
        <v>10Sampaio Corrêa - MA32</v>
      </c>
      <c r="K394" s="27" t="str">
        <f>IFERROR(VLOOKUP(J394,Substituicoes!J:J,1,0),"SS")</f>
        <v>SS</v>
      </c>
      <c r="L394" s="27" t="str">
        <f>IFERROR(VLOOKUP(J394,Substituicoes!K:K,1,0),"SS")</f>
        <v>SS</v>
      </c>
      <c r="M394" s="28" t="b">
        <f t="shared" si="47"/>
        <v>1</v>
      </c>
      <c r="N394" s="29">
        <f>IF(AND(K394=L394,LEFT(E394,1)="T"),VLOOKUP(A394,'JOGOS BASE'!A:E,4,0),IF(K394=J394,VLOOKUP(J394,Substituicoes!J:R,6,0),IF(L394=J394,VLOOKUP(Escalacao!J394,Substituicoes!K:R,7,0),0)))</f>
        <v>48</v>
      </c>
      <c r="O394" s="28">
        <f>IF(AND(K394=L394,LEFT(E394,1)="T"),VLOOKUP(A394,'JOGOS BASE'!A:E,5,0),IF(K394=J394,VLOOKUP(J394,Substituicoes!J:R,7,0),IF(L394=J394,VLOOKUP(Escalacao!J394,Substituicoes!K:R,8,0),0)))</f>
        <v>50</v>
      </c>
      <c r="P394" s="28">
        <f t="shared" si="48"/>
        <v>98</v>
      </c>
      <c r="Q394" s="28" t="str">
        <f t="shared" si="49"/>
        <v>1032Sampaio Corrêa - MA</v>
      </c>
      <c r="R394" s="28" t="str">
        <f>VLOOKUP(A394,'JOGOS BASE'!A:H,8)</f>
        <v>26.01.2025 - Tuntum - MA x Sampaio Corrêa - MA</v>
      </c>
    </row>
    <row r="395" spans="1:18" ht="30.6">
      <c r="A395" s="15">
        <v>10</v>
      </c>
      <c r="B395" s="46">
        <v>2</v>
      </c>
      <c r="C395" s="45" t="s">
        <v>82</v>
      </c>
      <c r="D395" s="45" t="s">
        <v>83</v>
      </c>
      <c r="E395" s="47" t="s">
        <v>26</v>
      </c>
      <c r="F395" s="47" t="s">
        <v>24</v>
      </c>
      <c r="G395" s="46">
        <v>552526</v>
      </c>
      <c r="H395" s="18" t="s">
        <v>122</v>
      </c>
      <c r="I395" s="26" t="str">
        <f t="shared" si="45"/>
        <v>Ray</v>
      </c>
      <c r="J395" s="26" t="str">
        <f t="shared" si="46"/>
        <v>10Sampaio Corrêa - MA2</v>
      </c>
      <c r="K395" s="27" t="str">
        <f>IFERROR(VLOOKUP(J395,Substituicoes!J:J,1,0),"SS")</f>
        <v>SS</v>
      </c>
      <c r="L395" s="27" t="str">
        <f>IFERROR(VLOOKUP(J395,Substituicoes!K:K,1,0),"SS")</f>
        <v>SS</v>
      </c>
      <c r="M395" s="28" t="b">
        <f t="shared" si="47"/>
        <v>1</v>
      </c>
      <c r="N395" s="29">
        <f>IF(AND(K395=L395,LEFT(E395,1)="T"),VLOOKUP(A395,'JOGOS BASE'!A:E,4,0),IF(K395=J395,VLOOKUP(J395,Substituicoes!J:R,6,0),IF(L395=J395,VLOOKUP(Escalacao!J395,Substituicoes!K:R,7,0),0)))</f>
        <v>48</v>
      </c>
      <c r="O395" s="28">
        <f>IF(AND(K395=L395,LEFT(E395,1)="T"),VLOOKUP(A395,'JOGOS BASE'!A:E,5,0),IF(K395=J395,VLOOKUP(J395,Substituicoes!J:R,7,0),IF(L395=J395,VLOOKUP(Escalacao!J395,Substituicoes!K:R,8,0),0)))</f>
        <v>50</v>
      </c>
      <c r="P395" s="28">
        <f t="shared" si="48"/>
        <v>98</v>
      </c>
      <c r="Q395" s="28" t="str">
        <f t="shared" si="49"/>
        <v>102Sampaio Corrêa - MA</v>
      </c>
      <c r="R395" s="28" t="str">
        <f>VLOOKUP(A395,'JOGOS BASE'!A:H,8)</f>
        <v>26.01.2025 - Tuntum - MA x Sampaio Corrêa - MA</v>
      </c>
    </row>
    <row r="396" spans="1:18" ht="30.6">
      <c r="A396" s="15">
        <v>10</v>
      </c>
      <c r="B396" s="46">
        <v>3</v>
      </c>
      <c r="C396" s="45" t="s">
        <v>13</v>
      </c>
      <c r="D396" s="45" t="s">
        <v>63</v>
      </c>
      <c r="E396" s="47" t="s">
        <v>26</v>
      </c>
      <c r="F396" s="47" t="s">
        <v>24</v>
      </c>
      <c r="G396" s="46">
        <v>657429</v>
      </c>
      <c r="H396" s="18" t="s">
        <v>122</v>
      </c>
      <c r="I396" s="26" t="str">
        <f t="shared" si="45"/>
        <v>Eduardo</v>
      </c>
      <c r="J396" s="26" t="str">
        <f t="shared" si="46"/>
        <v>10Sampaio Corrêa - MA3</v>
      </c>
      <c r="K396" s="27" t="str">
        <f>IFERROR(VLOOKUP(J396,Substituicoes!J:J,1,0),"SS")</f>
        <v>SS</v>
      </c>
      <c r="L396" s="27" t="str">
        <f>IFERROR(VLOOKUP(J396,Substituicoes!K:K,1,0),"SS")</f>
        <v>SS</v>
      </c>
      <c r="M396" s="28" t="b">
        <f t="shared" si="47"/>
        <v>1</v>
      </c>
      <c r="N396" s="29">
        <f>IF(AND(K396=L396,LEFT(E396,1)="T"),VLOOKUP(A396,'JOGOS BASE'!A:E,4,0),IF(K396=J396,VLOOKUP(J396,Substituicoes!J:R,6,0),IF(L396=J396,VLOOKUP(Escalacao!J396,Substituicoes!K:R,7,0),0)))</f>
        <v>48</v>
      </c>
      <c r="O396" s="28">
        <f>IF(AND(K396=L396,LEFT(E396,1)="T"),VLOOKUP(A396,'JOGOS BASE'!A:E,5,0),IF(K396=J396,VLOOKUP(J396,Substituicoes!J:R,7,0),IF(L396=J396,VLOOKUP(Escalacao!J396,Substituicoes!K:R,8,0),0)))</f>
        <v>50</v>
      </c>
      <c r="P396" s="28">
        <f t="shared" si="48"/>
        <v>98</v>
      </c>
      <c r="Q396" s="28" t="str">
        <f t="shared" si="49"/>
        <v>103Sampaio Corrêa - MA</v>
      </c>
      <c r="R396" s="28" t="str">
        <f>VLOOKUP(A396,'JOGOS BASE'!A:H,8)</f>
        <v>26.01.2025 - Tuntum - MA x Sampaio Corrêa - MA</v>
      </c>
    </row>
    <row r="397" spans="1:18" ht="30.6">
      <c r="A397" s="15">
        <v>10</v>
      </c>
      <c r="B397" s="46">
        <v>4</v>
      </c>
      <c r="C397" s="45" t="s">
        <v>80</v>
      </c>
      <c r="D397" s="45" t="s">
        <v>81</v>
      </c>
      <c r="E397" s="47" t="s">
        <v>26</v>
      </c>
      <c r="F397" s="47" t="s">
        <v>24</v>
      </c>
      <c r="G397" s="46">
        <v>590518</v>
      </c>
      <c r="H397" s="18" t="s">
        <v>122</v>
      </c>
      <c r="I397" s="26" t="str">
        <f t="shared" si="45"/>
        <v>GALVÃO</v>
      </c>
      <c r="J397" s="26" t="str">
        <f t="shared" si="46"/>
        <v>10Sampaio Corrêa - MA4</v>
      </c>
      <c r="K397" s="27" t="str">
        <f>IFERROR(VLOOKUP(J397,Substituicoes!J:J,1,0),"SS")</f>
        <v>SS</v>
      </c>
      <c r="L397" s="27" t="str">
        <f>IFERROR(VLOOKUP(J397,Substituicoes!K:K,1,0),"SS")</f>
        <v>SS</v>
      </c>
      <c r="M397" s="28" t="b">
        <f t="shared" si="47"/>
        <v>1</v>
      </c>
      <c r="N397" s="29">
        <f>IF(AND(K397=L397,LEFT(E397,1)="T"),VLOOKUP(A397,'JOGOS BASE'!A:E,4,0),IF(K397=J397,VLOOKUP(J397,Substituicoes!J:R,6,0),IF(L397=J397,VLOOKUP(Escalacao!J397,Substituicoes!K:R,7,0),0)))</f>
        <v>48</v>
      </c>
      <c r="O397" s="28">
        <f>IF(AND(K397=L397,LEFT(E397,1)="T"),VLOOKUP(A397,'JOGOS BASE'!A:E,5,0),IF(K397=J397,VLOOKUP(J397,Substituicoes!J:R,7,0),IF(L397=J397,VLOOKUP(Escalacao!J397,Substituicoes!K:R,8,0),0)))</f>
        <v>50</v>
      </c>
      <c r="P397" s="28">
        <f t="shared" si="48"/>
        <v>98</v>
      </c>
      <c r="Q397" s="28" t="str">
        <f t="shared" si="49"/>
        <v>104Sampaio Corrêa - MA</v>
      </c>
      <c r="R397" s="28" t="str">
        <f>VLOOKUP(A397,'JOGOS BASE'!A:H,8)</f>
        <v>26.01.2025 - Tuntum - MA x Sampaio Corrêa - MA</v>
      </c>
    </row>
    <row r="398" spans="1:18" ht="30.6">
      <c r="A398" s="15">
        <v>10</v>
      </c>
      <c r="B398" s="46">
        <v>5</v>
      </c>
      <c r="C398" s="45" t="s">
        <v>84</v>
      </c>
      <c r="D398" s="45" t="s">
        <v>85</v>
      </c>
      <c r="E398" s="47" t="s">
        <v>26</v>
      </c>
      <c r="F398" s="47" t="s">
        <v>24</v>
      </c>
      <c r="G398" s="46">
        <v>523681</v>
      </c>
      <c r="H398" s="18" t="s">
        <v>122</v>
      </c>
      <c r="I398" s="26" t="str">
        <f t="shared" si="45"/>
        <v>Jairzinho</v>
      </c>
      <c r="J398" s="26" t="str">
        <f t="shared" si="46"/>
        <v>10Sampaio Corrêa - MA5</v>
      </c>
      <c r="K398" s="27" t="str">
        <f>IFERROR(VLOOKUP(J398,Substituicoes!J:J,1,0),"SS")</f>
        <v>SS</v>
      </c>
      <c r="L398" s="27" t="str">
        <f>IFERROR(VLOOKUP(J398,Substituicoes!K:K,1,0),"SS")</f>
        <v>SS</v>
      </c>
      <c r="M398" s="28" t="b">
        <f t="shared" si="47"/>
        <v>1</v>
      </c>
      <c r="N398" s="29">
        <f>IF(AND(K398=L398,LEFT(E398,1)="T"),VLOOKUP(A398,'JOGOS BASE'!A:E,4,0),IF(K398=J398,VLOOKUP(J398,Substituicoes!J:R,6,0),IF(L398=J398,VLOOKUP(Escalacao!J398,Substituicoes!K:R,7,0),0)))</f>
        <v>48</v>
      </c>
      <c r="O398" s="28">
        <f>IF(AND(K398=L398,LEFT(E398,1)="T"),VLOOKUP(A398,'JOGOS BASE'!A:E,5,0),IF(K398=J398,VLOOKUP(J398,Substituicoes!J:R,7,0),IF(L398=J398,VLOOKUP(Escalacao!J398,Substituicoes!K:R,8,0),0)))</f>
        <v>50</v>
      </c>
      <c r="P398" s="28">
        <f t="shared" si="48"/>
        <v>98</v>
      </c>
      <c r="Q398" s="28" t="str">
        <f t="shared" si="49"/>
        <v>105Sampaio Corrêa - MA</v>
      </c>
      <c r="R398" s="28" t="str">
        <f>VLOOKUP(A398,'JOGOS BASE'!A:H,8)</f>
        <v>26.01.2025 - Tuntum - MA x Sampaio Corrêa - MA</v>
      </c>
    </row>
    <row r="399" spans="1:18" ht="30.6">
      <c r="A399" s="15">
        <v>10</v>
      </c>
      <c r="B399" s="46">
        <v>6</v>
      </c>
      <c r="C399" s="45" t="s">
        <v>478</v>
      </c>
      <c r="D399" s="45" t="s">
        <v>479</v>
      </c>
      <c r="E399" s="47" t="s">
        <v>26</v>
      </c>
      <c r="F399" s="47" t="s">
        <v>24</v>
      </c>
      <c r="G399" s="46">
        <v>636795</v>
      </c>
      <c r="H399" s="18" t="s">
        <v>122</v>
      </c>
      <c r="I399" s="26" t="str">
        <f t="shared" si="45"/>
        <v>Elivelton</v>
      </c>
      <c r="J399" s="26" t="str">
        <f t="shared" si="46"/>
        <v>10Sampaio Corrêa - MA6</v>
      </c>
      <c r="K399" s="27" t="str">
        <f>IFERROR(VLOOKUP(J399,Substituicoes!J:J,1,0),"SS")</f>
        <v>SS</v>
      </c>
      <c r="L399" s="27" t="str">
        <f>IFERROR(VLOOKUP(J399,Substituicoes!K:K,1,0),"SS")</f>
        <v>SS</v>
      </c>
      <c r="M399" s="28" t="b">
        <f t="shared" si="47"/>
        <v>1</v>
      </c>
      <c r="N399" s="29">
        <f>IF(AND(K399=L399,LEFT(E399,1)="T"),VLOOKUP(A399,'JOGOS BASE'!A:E,4,0),IF(K399=J399,VLOOKUP(J399,Substituicoes!J:R,6,0),IF(L399=J399,VLOOKUP(Escalacao!J399,Substituicoes!K:R,7,0),0)))</f>
        <v>48</v>
      </c>
      <c r="O399" s="28">
        <f>IF(AND(K399=L399,LEFT(E399,1)="T"),VLOOKUP(A399,'JOGOS BASE'!A:E,5,0),IF(K399=J399,VLOOKUP(J399,Substituicoes!J:R,7,0),IF(L399=J399,VLOOKUP(Escalacao!J399,Substituicoes!K:R,8,0),0)))</f>
        <v>50</v>
      </c>
      <c r="P399" s="28">
        <f t="shared" si="48"/>
        <v>98</v>
      </c>
      <c r="Q399" s="28" t="str">
        <f t="shared" si="49"/>
        <v>106Sampaio Corrêa - MA</v>
      </c>
      <c r="R399" s="28" t="str">
        <f>VLOOKUP(A399,'JOGOS BASE'!A:H,8)</f>
        <v>26.01.2025 - Tuntum - MA x Sampaio Corrêa - MA</v>
      </c>
    </row>
    <row r="400" spans="1:18" ht="30.6">
      <c r="A400" s="15">
        <v>10</v>
      </c>
      <c r="B400" s="46">
        <v>7</v>
      </c>
      <c r="C400" s="45" t="s">
        <v>482</v>
      </c>
      <c r="D400" s="45" t="s">
        <v>483</v>
      </c>
      <c r="E400" s="47" t="s">
        <v>26</v>
      </c>
      <c r="F400" s="47" t="s">
        <v>24</v>
      </c>
      <c r="G400" s="46">
        <v>614561</v>
      </c>
      <c r="H400" s="18" t="s">
        <v>122</v>
      </c>
      <c r="I400" s="26" t="str">
        <f t="shared" si="45"/>
        <v>Dodô</v>
      </c>
      <c r="J400" s="26" t="str">
        <f t="shared" si="46"/>
        <v>10Sampaio Corrêa - MA7</v>
      </c>
      <c r="K400" s="27" t="str">
        <f>IFERROR(VLOOKUP(J400,Substituicoes!J:J,1,0),"SS")</f>
        <v>SS</v>
      </c>
      <c r="L400" s="27" t="str">
        <f>IFERROR(VLOOKUP(J400,Substituicoes!K:K,1,0),"SS")</f>
        <v>10Sampaio Corrêa - MA7</v>
      </c>
      <c r="M400" s="28" t="b">
        <f t="shared" si="47"/>
        <v>0</v>
      </c>
      <c r="N400" s="29">
        <f>IF(AND(K400=L400,LEFT(E400,1)="T"),VLOOKUP(A400,'JOGOS BASE'!A:E,4,0),IF(K400=J400,VLOOKUP(J400,Substituicoes!J:R,6,0),IF(L400=J400,VLOOKUP(Escalacao!J400,Substituicoes!K:R,7,0),0)))</f>
        <v>48</v>
      </c>
      <c r="O400" s="28">
        <f>IF(AND(K400=L400,LEFT(E400,1)="T"),VLOOKUP(A400,'JOGOS BASE'!A:E,5,0),IF(K400=J400,VLOOKUP(J400,Substituicoes!J:R,7,0),IF(L400=J400,VLOOKUP(Escalacao!J400,Substituicoes!K:R,8,0),0)))</f>
        <v>0</v>
      </c>
      <c r="P400" s="28">
        <f t="shared" si="48"/>
        <v>48</v>
      </c>
      <c r="Q400" s="28" t="str">
        <f t="shared" si="49"/>
        <v>107Sampaio Corrêa - MA</v>
      </c>
      <c r="R400" s="28" t="str">
        <f>VLOOKUP(A400,'JOGOS BASE'!A:H,8)</f>
        <v>26.01.2025 - Tuntum - MA x Sampaio Corrêa - MA</v>
      </c>
    </row>
    <row r="401" spans="1:18" ht="30.6">
      <c r="A401" s="15">
        <v>10</v>
      </c>
      <c r="B401" s="46">
        <v>8</v>
      </c>
      <c r="C401" s="45" t="s">
        <v>70</v>
      </c>
      <c r="D401" s="45" t="s">
        <v>71</v>
      </c>
      <c r="E401" s="47" t="s">
        <v>26</v>
      </c>
      <c r="F401" s="47" t="s">
        <v>24</v>
      </c>
      <c r="G401" s="46">
        <v>525569</v>
      </c>
      <c r="H401" s="18" t="s">
        <v>122</v>
      </c>
      <c r="I401" s="26" t="str">
        <f t="shared" si="45"/>
        <v>Isaias</v>
      </c>
      <c r="J401" s="26" t="str">
        <f t="shared" si="46"/>
        <v>10Sampaio Corrêa - MA8</v>
      </c>
      <c r="K401" s="27" t="str">
        <f>IFERROR(VLOOKUP(J401,Substituicoes!J:J,1,0),"SS")</f>
        <v>SS</v>
      </c>
      <c r="L401" s="27" t="str">
        <f>IFERROR(VLOOKUP(J401,Substituicoes!K:K,1,0),"SS")</f>
        <v>SS</v>
      </c>
      <c r="M401" s="28" t="b">
        <f t="shared" si="47"/>
        <v>1</v>
      </c>
      <c r="N401" s="29">
        <f>IF(AND(K401=L401,LEFT(E401,1)="T"),VLOOKUP(A401,'JOGOS BASE'!A:E,4,0),IF(K401=J401,VLOOKUP(J401,Substituicoes!J:R,6,0),IF(L401=J401,VLOOKUP(Escalacao!J401,Substituicoes!K:R,7,0),0)))</f>
        <v>48</v>
      </c>
      <c r="O401" s="28">
        <f>IF(AND(K401=L401,LEFT(E401,1)="T"),VLOOKUP(A401,'JOGOS BASE'!A:E,5,0),IF(K401=J401,VLOOKUP(J401,Substituicoes!J:R,7,0),IF(L401=J401,VLOOKUP(Escalacao!J401,Substituicoes!K:R,8,0),0)))</f>
        <v>50</v>
      </c>
      <c r="P401" s="28">
        <f t="shared" si="48"/>
        <v>98</v>
      </c>
      <c r="Q401" s="28" t="str">
        <f t="shared" si="49"/>
        <v>108Sampaio Corrêa - MA</v>
      </c>
      <c r="R401" s="28" t="str">
        <f>VLOOKUP(A401,'JOGOS BASE'!A:H,8)</f>
        <v>26.01.2025 - Tuntum - MA x Sampaio Corrêa - MA</v>
      </c>
    </row>
    <row r="402" spans="1:18" ht="30.6">
      <c r="A402" s="15">
        <v>10</v>
      </c>
      <c r="B402" s="46">
        <v>9</v>
      </c>
      <c r="C402" s="45" t="s">
        <v>617</v>
      </c>
      <c r="D402" s="45" t="s">
        <v>618</v>
      </c>
      <c r="E402" s="47" t="s">
        <v>26</v>
      </c>
      <c r="F402" s="47" t="s">
        <v>24</v>
      </c>
      <c r="G402" s="46">
        <v>451946</v>
      </c>
      <c r="H402" s="18" t="s">
        <v>122</v>
      </c>
      <c r="I402" s="26" t="str">
        <f t="shared" si="45"/>
        <v>Rodolfo</v>
      </c>
      <c r="J402" s="26" t="str">
        <f t="shared" si="46"/>
        <v>10Sampaio Corrêa - MA9</v>
      </c>
      <c r="K402" s="27" t="str">
        <f>IFERROR(VLOOKUP(J402,Substituicoes!J:J,1,0),"SS")</f>
        <v>SS</v>
      </c>
      <c r="L402" s="27" t="str">
        <f>IFERROR(VLOOKUP(J402,Substituicoes!K:K,1,0),"SS")</f>
        <v>10Sampaio Corrêa - MA9</v>
      </c>
      <c r="M402" s="28" t="b">
        <f t="shared" si="47"/>
        <v>0</v>
      </c>
      <c r="N402" s="29">
        <f>IF(AND(K402=L402,LEFT(E402,1)="T"),VLOOKUP(A402,'JOGOS BASE'!A:E,4,0),IF(K402=J402,VLOOKUP(J402,Substituicoes!J:R,6,0),IF(L402=J402,VLOOKUP(Escalacao!J402,Substituicoes!K:R,7,0),0)))</f>
        <v>48</v>
      </c>
      <c r="O402" s="28">
        <f>IF(AND(K402=L402,LEFT(E402,1)="T"),VLOOKUP(A402,'JOGOS BASE'!A:E,5,0),IF(K402=J402,VLOOKUP(J402,Substituicoes!J:R,7,0),IF(L402=J402,VLOOKUP(Escalacao!J402,Substituicoes!K:R,8,0),0)))</f>
        <v>34</v>
      </c>
      <c r="P402" s="28">
        <f t="shared" si="48"/>
        <v>82</v>
      </c>
      <c r="Q402" s="28" t="str">
        <f t="shared" si="49"/>
        <v>109Sampaio Corrêa - MA</v>
      </c>
      <c r="R402" s="28" t="str">
        <f>VLOOKUP(A402,'JOGOS BASE'!A:H,8)</f>
        <v>26.01.2025 - Tuntum - MA x Sampaio Corrêa - MA</v>
      </c>
    </row>
    <row r="403" spans="1:18" ht="30.6">
      <c r="A403" s="15">
        <v>10</v>
      </c>
      <c r="B403" s="46">
        <v>10</v>
      </c>
      <c r="C403" s="45" t="s">
        <v>74</v>
      </c>
      <c r="D403" s="45" t="s">
        <v>75</v>
      </c>
      <c r="E403" s="47" t="s">
        <v>26</v>
      </c>
      <c r="F403" s="47" t="s">
        <v>24</v>
      </c>
      <c r="G403" s="46">
        <v>668800</v>
      </c>
      <c r="H403" s="18" t="s">
        <v>122</v>
      </c>
      <c r="I403" s="26" t="str">
        <f t="shared" si="45"/>
        <v>STENCE</v>
      </c>
      <c r="J403" s="26" t="str">
        <f t="shared" si="46"/>
        <v>10Sampaio Corrêa - MA10</v>
      </c>
      <c r="K403" s="27" t="str">
        <f>IFERROR(VLOOKUP(J403,Substituicoes!J:J,1,0),"SS")</f>
        <v>SS</v>
      </c>
      <c r="L403" s="27" t="str">
        <f>IFERROR(VLOOKUP(J403,Substituicoes!K:K,1,0),"SS")</f>
        <v>10Sampaio Corrêa - MA10</v>
      </c>
      <c r="M403" s="28" t="b">
        <f t="shared" si="47"/>
        <v>0</v>
      </c>
      <c r="N403" s="29">
        <f>IF(AND(K403=L403,LEFT(E403,1)="T"),VLOOKUP(A403,'JOGOS BASE'!A:E,4,0),IF(K403=J403,VLOOKUP(J403,Substituicoes!J:R,6,0),IF(L403=J403,VLOOKUP(Escalacao!J403,Substituicoes!K:R,7,0),0)))</f>
        <v>48</v>
      </c>
      <c r="O403" s="28">
        <f>IF(AND(K403=L403,LEFT(E403,1)="T"),VLOOKUP(A403,'JOGOS BASE'!A:E,5,0),IF(K403=J403,VLOOKUP(J403,Substituicoes!J:R,7,0),IF(L403=J403,VLOOKUP(Escalacao!J403,Substituicoes!K:R,8,0),0)))</f>
        <v>29</v>
      </c>
      <c r="P403" s="28">
        <f t="shared" si="48"/>
        <v>77</v>
      </c>
      <c r="Q403" s="28" t="str">
        <f t="shared" si="49"/>
        <v>1010Sampaio Corrêa - MA</v>
      </c>
      <c r="R403" s="28" t="str">
        <f>VLOOKUP(A403,'JOGOS BASE'!A:H,8)</f>
        <v>26.01.2025 - Tuntum - MA x Sampaio Corrêa - MA</v>
      </c>
    </row>
    <row r="404" spans="1:18" ht="30.6">
      <c r="A404" s="15">
        <v>10</v>
      </c>
      <c r="B404" s="46">
        <v>11</v>
      </c>
      <c r="C404" s="45" t="s">
        <v>96</v>
      </c>
      <c r="D404" s="45" t="s">
        <v>97</v>
      </c>
      <c r="E404" s="47" t="s">
        <v>26</v>
      </c>
      <c r="F404" s="47" t="s">
        <v>24</v>
      </c>
      <c r="G404" s="46">
        <v>748572</v>
      </c>
      <c r="H404" s="18" t="s">
        <v>122</v>
      </c>
      <c r="I404" s="26" t="str">
        <f t="shared" si="45"/>
        <v>ADRIANO</v>
      </c>
      <c r="J404" s="26" t="str">
        <f t="shared" si="46"/>
        <v>10Sampaio Corrêa - MA11</v>
      </c>
      <c r="K404" s="27" t="str">
        <f>IFERROR(VLOOKUP(J404,Substituicoes!J:J,1,0),"SS")</f>
        <v>SS</v>
      </c>
      <c r="L404" s="27" t="str">
        <f>IFERROR(VLOOKUP(J404,Substituicoes!K:K,1,0),"SS")</f>
        <v>SS</v>
      </c>
      <c r="M404" s="28" t="b">
        <f t="shared" si="47"/>
        <v>1</v>
      </c>
      <c r="N404" s="29">
        <f>IF(AND(K404=L404,LEFT(E404,1)="T"),VLOOKUP(A404,'JOGOS BASE'!A:E,4,0),IF(K404=J404,VLOOKUP(J404,Substituicoes!J:R,6,0),IF(L404=J404,VLOOKUP(Escalacao!J404,Substituicoes!K:R,7,0),0)))</f>
        <v>48</v>
      </c>
      <c r="O404" s="28">
        <f>IF(AND(K404=L404,LEFT(E404,1)="T"),VLOOKUP(A404,'JOGOS BASE'!A:E,5,0),IF(K404=J404,VLOOKUP(J404,Substituicoes!J:R,7,0),IF(L404=J404,VLOOKUP(Escalacao!J404,Substituicoes!K:R,8,0),0)))</f>
        <v>50</v>
      </c>
      <c r="P404" s="28">
        <f t="shared" si="48"/>
        <v>98</v>
      </c>
      <c r="Q404" s="28" t="str">
        <f t="shared" si="49"/>
        <v>1011Sampaio Corrêa - MA</v>
      </c>
      <c r="R404" s="28" t="str">
        <f>VLOOKUP(A404,'JOGOS BASE'!A:H,8)</f>
        <v>26.01.2025 - Tuntum - MA x Sampaio Corrêa - MA</v>
      </c>
    </row>
    <row r="405" spans="1:18" ht="30.6">
      <c r="A405" s="15">
        <v>10</v>
      </c>
      <c r="B405" s="46">
        <v>1</v>
      </c>
      <c r="C405" s="45" t="s">
        <v>59</v>
      </c>
      <c r="D405" s="45" t="s">
        <v>60</v>
      </c>
      <c r="E405" s="47" t="s">
        <v>40</v>
      </c>
      <c r="F405" s="47" t="s">
        <v>24</v>
      </c>
      <c r="G405" s="46">
        <v>639922</v>
      </c>
      <c r="H405" s="18" t="s">
        <v>122</v>
      </c>
      <c r="I405" s="26" t="str">
        <f t="shared" si="45"/>
        <v>ALAN</v>
      </c>
      <c r="J405" s="26" t="str">
        <f t="shared" si="46"/>
        <v>10Sampaio Corrêa - MA1</v>
      </c>
      <c r="K405" s="27" t="str">
        <f>IFERROR(VLOOKUP(J405,Substituicoes!J:J,1,0),"SS")</f>
        <v>SS</v>
      </c>
      <c r="L405" s="27" t="str">
        <f>IFERROR(VLOOKUP(J405,Substituicoes!K:K,1,0),"SS")</f>
        <v>SS</v>
      </c>
      <c r="M405" s="28" t="b">
        <f t="shared" si="47"/>
        <v>1</v>
      </c>
      <c r="N405" s="29">
        <f>IF(AND(K405=L405,LEFT(E405,1)="T"),VLOOKUP(A405,'JOGOS BASE'!A:E,4,0),IF(K405=J405,VLOOKUP(J405,Substituicoes!J:R,6,0),IF(L405=J405,VLOOKUP(Escalacao!J405,Substituicoes!K:R,7,0),0)))</f>
        <v>0</v>
      </c>
      <c r="O405" s="28">
        <f>IF(AND(K405=L405,LEFT(E405,1)="T"),VLOOKUP(A405,'JOGOS BASE'!A:E,5,0),IF(K405=J405,VLOOKUP(J405,Substituicoes!J:R,7,0),IF(L405=J405,VLOOKUP(Escalacao!J405,Substituicoes!K:R,8,0),0)))</f>
        <v>0</v>
      </c>
      <c r="P405" s="28">
        <f t="shared" si="48"/>
        <v>0</v>
      </c>
      <c r="Q405" s="28" t="str">
        <f t="shared" si="49"/>
        <v>101Sampaio Corrêa - MA</v>
      </c>
      <c r="R405" s="28" t="str">
        <f>VLOOKUP(A405,'JOGOS BASE'!A:H,8)</f>
        <v>26.01.2025 - Tuntum - MA x Sampaio Corrêa - MA</v>
      </c>
    </row>
    <row r="406" spans="1:18" ht="30.6">
      <c r="A406" s="15">
        <v>10</v>
      </c>
      <c r="B406" s="46">
        <v>13</v>
      </c>
      <c r="C406" s="45" t="s">
        <v>657</v>
      </c>
      <c r="D406" s="45" t="s">
        <v>658</v>
      </c>
      <c r="E406" s="47" t="s">
        <v>42</v>
      </c>
      <c r="F406" s="47" t="s">
        <v>24</v>
      </c>
      <c r="G406" s="46">
        <v>747292</v>
      </c>
      <c r="H406" s="18" t="s">
        <v>122</v>
      </c>
      <c r="I406" s="26" t="str">
        <f t="shared" si="45"/>
        <v>Felipe Caua</v>
      </c>
      <c r="J406" s="26" t="str">
        <f t="shared" si="46"/>
        <v>10Sampaio Corrêa - MA13</v>
      </c>
      <c r="K406" s="27" t="str">
        <f>IFERROR(VLOOKUP(J406,Substituicoes!J:J,1,0),"SS")</f>
        <v>SS</v>
      </c>
      <c r="L406" s="27" t="str">
        <f>IFERROR(VLOOKUP(J406,Substituicoes!K:K,1,0),"SS")</f>
        <v>SS</v>
      </c>
      <c r="M406" s="28" t="b">
        <f t="shared" si="47"/>
        <v>1</v>
      </c>
      <c r="N406" s="29">
        <f>IF(AND(K406=L406,LEFT(E406,1)="T"),VLOOKUP(A406,'JOGOS BASE'!A:E,4,0),IF(K406=J406,VLOOKUP(J406,Substituicoes!J:R,6,0),IF(L406=J406,VLOOKUP(Escalacao!J406,Substituicoes!K:R,7,0),0)))</f>
        <v>0</v>
      </c>
      <c r="O406" s="28">
        <f>IF(AND(K406=L406,LEFT(E406,1)="T"),VLOOKUP(A406,'JOGOS BASE'!A:E,5,0),IF(K406=J406,VLOOKUP(J406,Substituicoes!J:R,7,0),IF(L406=J406,VLOOKUP(Escalacao!J406,Substituicoes!K:R,8,0),0)))</f>
        <v>0</v>
      </c>
      <c r="P406" s="28">
        <f t="shared" si="48"/>
        <v>0</v>
      </c>
      <c r="Q406" s="28" t="str">
        <f t="shared" si="49"/>
        <v>1013Sampaio Corrêa - MA</v>
      </c>
      <c r="R406" s="28" t="str">
        <f>VLOOKUP(A406,'JOGOS BASE'!A:H,8)</f>
        <v>26.01.2025 - Tuntum - MA x Sampaio Corrêa - MA</v>
      </c>
    </row>
    <row r="407" spans="1:18" ht="30.6">
      <c r="A407" s="15">
        <v>10</v>
      </c>
      <c r="B407" s="46">
        <v>14</v>
      </c>
      <c r="C407" s="45" t="s">
        <v>86</v>
      </c>
      <c r="D407" s="45" t="s">
        <v>87</v>
      </c>
      <c r="E407" s="47" t="s">
        <v>42</v>
      </c>
      <c r="F407" s="47" t="s">
        <v>24</v>
      </c>
      <c r="G407" s="46">
        <v>709331</v>
      </c>
      <c r="H407" s="18" t="s">
        <v>122</v>
      </c>
      <c r="I407" s="26" t="str">
        <f t="shared" si="45"/>
        <v>Dimas</v>
      </c>
      <c r="J407" s="26" t="str">
        <f t="shared" si="46"/>
        <v>10Sampaio Corrêa - MA14</v>
      </c>
      <c r="K407" s="27" t="str">
        <f>IFERROR(VLOOKUP(J407,Substituicoes!J:J,1,0),"SS")</f>
        <v>SS</v>
      </c>
      <c r="L407" s="27" t="str">
        <f>IFERROR(VLOOKUP(J407,Substituicoes!K:K,1,0),"SS")</f>
        <v>SS</v>
      </c>
      <c r="M407" s="28" t="b">
        <f t="shared" si="47"/>
        <v>1</v>
      </c>
      <c r="N407" s="29">
        <f>IF(AND(K407=L407,LEFT(E407,1)="T"),VLOOKUP(A407,'JOGOS BASE'!A:E,4,0),IF(K407=J407,VLOOKUP(J407,Substituicoes!J:R,6,0),IF(L407=J407,VLOOKUP(Escalacao!J407,Substituicoes!K:R,7,0),0)))</f>
        <v>0</v>
      </c>
      <c r="O407" s="28">
        <f>IF(AND(K407=L407,LEFT(E407,1)="T"),VLOOKUP(A407,'JOGOS BASE'!A:E,5,0),IF(K407=J407,VLOOKUP(J407,Substituicoes!J:R,7,0),IF(L407=J407,VLOOKUP(Escalacao!J407,Substituicoes!K:R,8,0),0)))</f>
        <v>0</v>
      </c>
      <c r="P407" s="28">
        <f t="shared" si="48"/>
        <v>0</v>
      </c>
      <c r="Q407" s="28" t="str">
        <f t="shared" si="49"/>
        <v>1014Sampaio Corrêa - MA</v>
      </c>
      <c r="R407" s="28" t="str">
        <f>VLOOKUP(A407,'JOGOS BASE'!A:H,8)</f>
        <v>26.01.2025 - Tuntum - MA x Sampaio Corrêa - MA</v>
      </c>
    </row>
    <row r="408" spans="1:18" ht="30.6">
      <c r="A408" s="15">
        <v>10</v>
      </c>
      <c r="B408" s="46">
        <v>15</v>
      </c>
      <c r="C408" s="45" t="s">
        <v>480</v>
      </c>
      <c r="D408" s="45" t="s">
        <v>481</v>
      </c>
      <c r="E408" s="47" t="s">
        <v>42</v>
      </c>
      <c r="F408" s="47" t="s">
        <v>24</v>
      </c>
      <c r="G408" s="46">
        <v>724360</v>
      </c>
      <c r="H408" s="18" t="s">
        <v>122</v>
      </c>
      <c r="I408" s="26" t="str">
        <f t="shared" si="45"/>
        <v>BACURAU</v>
      </c>
      <c r="J408" s="26" t="str">
        <f t="shared" si="46"/>
        <v>10Sampaio Corrêa - MA15</v>
      </c>
      <c r="K408" s="27" t="str">
        <f>IFERROR(VLOOKUP(J408,Substituicoes!J:J,1,0),"SS")</f>
        <v>10Sampaio Corrêa - MA15</v>
      </c>
      <c r="L408" s="27" t="str">
        <f>IFERROR(VLOOKUP(J408,Substituicoes!K:K,1,0),"SS")</f>
        <v>SS</v>
      </c>
      <c r="M408" s="28" t="b">
        <f t="shared" si="47"/>
        <v>0</v>
      </c>
      <c r="N408" s="29">
        <f>IF(AND(K408=L408,LEFT(E408,1)="T"),VLOOKUP(A408,'JOGOS BASE'!A:E,4,0),IF(K408=J408,VLOOKUP(J408,Substituicoes!J:R,6,0),IF(L408=J408,VLOOKUP(Escalacao!J408,Substituicoes!K:R,7,0),0)))</f>
        <v>0</v>
      </c>
      <c r="O408" s="28">
        <f>IF(AND(K408=L408,LEFT(E408,1)="T"),VLOOKUP(A408,'JOGOS BASE'!A:E,5,0),IF(K408=J408,VLOOKUP(J408,Substituicoes!J:R,7,0),IF(L408=J408,VLOOKUP(Escalacao!J408,Substituicoes!K:R,8,0),0)))</f>
        <v>21</v>
      </c>
      <c r="P408" s="28">
        <f t="shared" si="48"/>
        <v>21</v>
      </c>
      <c r="Q408" s="28" t="str">
        <f t="shared" si="49"/>
        <v>1015Sampaio Corrêa - MA</v>
      </c>
      <c r="R408" s="28" t="str">
        <f>VLOOKUP(A408,'JOGOS BASE'!A:H,8)</f>
        <v>26.01.2025 - Tuntum - MA x Sampaio Corrêa - MA</v>
      </c>
    </row>
    <row r="409" spans="1:18" ht="30.6">
      <c r="A409" s="15">
        <v>10</v>
      </c>
      <c r="B409" s="46">
        <v>16</v>
      </c>
      <c r="C409" s="45" t="s">
        <v>659</v>
      </c>
      <c r="D409" s="45" t="s">
        <v>660</v>
      </c>
      <c r="E409" s="47" t="s">
        <v>42</v>
      </c>
      <c r="F409" s="47" t="s">
        <v>24</v>
      </c>
      <c r="G409" s="46">
        <v>568451</v>
      </c>
      <c r="H409" s="18" t="s">
        <v>122</v>
      </c>
      <c r="I409" s="26" t="str">
        <f t="shared" si="45"/>
        <v>Lucas Kawan</v>
      </c>
      <c r="J409" s="26" t="str">
        <f t="shared" si="46"/>
        <v>10Sampaio Corrêa - MA16</v>
      </c>
      <c r="K409" s="27" t="str">
        <f>IFERROR(VLOOKUP(J409,Substituicoes!J:J,1,0),"SS")</f>
        <v>10Sampaio Corrêa - MA16</v>
      </c>
      <c r="L409" s="27" t="str">
        <f>IFERROR(VLOOKUP(J409,Substituicoes!K:K,1,0),"SS")</f>
        <v>SS</v>
      </c>
      <c r="M409" s="28" t="b">
        <f t="shared" si="47"/>
        <v>0</v>
      </c>
      <c r="N409" s="29">
        <f>IF(AND(K409=L409,LEFT(E409,1)="T"),VLOOKUP(A409,'JOGOS BASE'!A:E,4,0),IF(K409=J409,VLOOKUP(J409,Substituicoes!J:R,6,0),IF(L409=J409,VLOOKUP(Escalacao!J409,Substituicoes!K:R,7,0),0)))</f>
        <v>0</v>
      </c>
      <c r="O409" s="28">
        <f>IF(AND(K409=L409,LEFT(E409,1)="T"),VLOOKUP(A409,'JOGOS BASE'!A:E,5,0),IF(K409=J409,VLOOKUP(J409,Substituicoes!J:R,7,0),IF(L409=J409,VLOOKUP(Escalacao!J409,Substituicoes!K:R,8,0),0)))</f>
        <v>27</v>
      </c>
      <c r="P409" s="28">
        <f t="shared" si="48"/>
        <v>27</v>
      </c>
      <c r="Q409" s="28" t="str">
        <f t="shared" si="49"/>
        <v>1016Sampaio Corrêa - MA</v>
      </c>
      <c r="R409" s="28" t="str">
        <f>VLOOKUP(A409,'JOGOS BASE'!A:H,8)</f>
        <v>26.01.2025 - Tuntum - MA x Sampaio Corrêa - MA</v>
      </c>
    </row>
    <row r="410" spans="1:18" ht="30.6">
      <c r="A410" s="15">
        <v>10</v>
      </c>
      <c r="B410" s="46">
        <v>17</v>
      </c>
      <c r="C410" s="45" t="s">
        <v>76</v>
      </c>
      <c r="D410" s="45" t="s">
        <v>77</v>
      </c>
      <c r="E410" s="47" t="s">
        <v>42</v>
      </c>
      <c r="F410" s="47" t="s">
        <v>24</v>
      </c>
      <c r="G410" s="46">
        <v>612220</v>
      </c>
      <c r="H410" s="18" t="s">
        <v>122</v>
      </c>
      <c r="I410" s="26" t="str">
        <f t="shared" si="45"/>
        <v>Wendell</v>
      </c>
      <c r="J410" s="26" t="str">
        <f t="shared" si="46"/>
        <v>10Sampaio Corrêa - MA17</v>
      </c>
      <c r="K410" s="27" t="str">
        <f>IFERROR(VLOOKUP(J410,Substituicoes!J:J,1,0),"SS")</f>
        <v>10Sampaio Corrêa - MA17</v>
      </c>
      <c r="L410" s="27" t="str">
        <f>IFERROR(VLOOKUP(J410,Substituicoes!K:K,1,0),"SS")</f>
        <v>SS</v>
      </c>
      <c r="M410" s="28" t="b">
        <f t="shared" si="47"/>
        <v>0</v>
      </c>
      <c r="N410" s="29">
        <f>IF(AND(K410=L410,LEFT(E410,1)="T"),VLOOKUP(A410,'JOGOS BASE'!A:E,4,0),IF(K410=J410,VLOOKUP(J410,Substituicoes!J:R,6,0),IF(L410=J410,VLOOKUP(Escalacao!J410,Substituicoes!K:R,7,0),0)))</f>
        <v>0</v>
      </c>
      <c r="O410" s="28">
        <f>IF(AND(K410=L410,LEFT(E410,1)="T"),VLOOKUP(A410,'JOGOS BASE'!A:E,5,0),IF(K410=J410,VLOOKUP(J410,Substituicoes!J:R,7,0),IF(L410=J410,VLOOKUP(Escalacao!J410,Substituicoes!K:R,8,0),0)))</f>
        <v>50</v>
      </c>
      <c r="P410" s="28">
        <f t="shared" si="48"/>
        <v>50</v>
      </c>
      <c r="Q410" s="28" t="str">
        <f t="shared" si="49"/>
        <v>1017Sampaio Corrêa - MA</v>
      </c>
      <c r="R410" s="28" t="str">
        <f>VLOOKUP(A410,'JOGOS BASE'!A:H,8)</f>
        <v>26.01.2025 - Tuntum - MA x Sampaio Corrêa - MA</v>
      </c>
    </row>
    <row r="411" spans="1:18" ht="30.6">
      <c r="A411" s="15">
        <v>10</v>
      </c>
      <c r="B411" s="46">
        <v>18</v>
      </c>
      <c r="C411" s="45" t="s">
        <v>88</v>
      </c>
      <c r="D411" s="45" t="s">
        <v>89</v>
      </c>
      <c r="E411" s="47" t="s">
        <v>42</v>
      </c>
      <c r="F411" s="47" t="s">
        <v>24</v>
      </c>
      <c r="G411" s="46">
        <v>673834</v>
      </c>
      <c r="H411" s="18" t="s">
        <v>122</v>
      </c>
      <c r="I411" s="26" t="str">
        <f t="shared" si="45"/>
        <v>L7</v>
      </c>
      <c r="J411" s="26" t="str">
        <f t="shared" si="46"/>
        <v>10Sampaio Corrêa - MA18</v>
      </c>
      <c r="K411" s="27" t="str">
        <f>IFERROR(VLOOKUP(J411,Substituicoes!J:J,1,0),"SS")</f>
        <v>10Sampaio Corrêa - MA18</v>
      </c>
      <c r="L411" s="27" t="str">
        <f>IFERROR(VLOOKUP(J411,Substituicoes!K:K,1,0),"SS")</f>
        <v>SS</v>
      </c>
      <c r="M411" s="28" t="b">
        <f t="shared" si="47"/>
        <v>0</v>
      </c>
      <c r="N411" s="29">
        <f>IF(AND(K411=L411,LEFT(E411,1)="T"),VLOOKUP(A411,'JOGOS BASE'!A:E,4,0),IF(K411=J411,VLOOKUP(J411,Substituicoes!J:R,6,0),IF(L411=J411,VLOOKUP(Escalacao!J411,Substituicoes!K:R,7,0),0)))</f>
        <v>0</v>
      </c>
      <c r="O411" s="28">
        <f>IF(AND(K411=L411,LEFT(E411,1)="T"),VLOOKUP(A411,'JOGOS BASE'!A:E,5,0),IF(K411=J411,VLOOKUP(J411,Substituicoes!J:R,7,0),IF(L411=J411,VLOOKUP(Escalacao!J411,Substituicoes!K:R,8,0),0)))</f>
        <v>16</v>
      </c>
      <c r="P411" s="28">
        <f t="shared" si="48"/>
        <v>16</v>
      </c>
      <c r="Q411" s="28" t="str">
        <f t="shared" si="49"/>
        <v>1018Sampaio Corrêa - MA</v>
      </c>
      <c r="R411" s="28" t="str">
        <f>VLOOKUP(A411,'JOGOS BASE'!A:H,8)</f>
        <v>26.01.2025 - Tuntum - MA x Sampaio Corrêa - MA</v>
      </c>
    </row>
    <row r="412" spans="1:18" ht="30.6">
      <c r="A412" s="15">
        <v>10</v>
      </c>
      <c r="B412" s="46">
        <v>19</v>
      </c>
      <c r="C412" s="45" t="s">
        <v>68</v>
      </c>
      <c r="D412" s="45" t="s">
        <v>69</v>
      </c>
      <c r="E412" s="47" t="s">
        <v>42</v>
      </c>
      <c r="F412" s="47" t="s">
        <v>24</v>
      </c>
      <c r="G412" s="46">
        <v>725771</v>
      </c>
      <c r="H412" s="18" t="s">
        <v>122</v>
      </c>
      <c r="I412" s="26" t="str">
        <f t="shared" si="45"/>
        <v>JOÃO LENGE</v>
      </c>
      <c r="J412" s="26" t="str">
        <f t="shared" si="46"/>
        <v>10Sampaio Corrêa - MA19</v>
      </c>
      <c r="K412" s="27" t="str">
        <f>IFERROR(VLOOKUP(J412,Substituicoes!J:J,1,0),"SS")</f>
        <v>10Sampaio Corrêa - MA19</v>
      </c>
      <c r="L412" s="27" t="str">
        <f>IFERROR(VLOOKUP(J412,Substituicoes!K:K,1,0),"SS")</f>
        <v>10Sampaio Corrêa - MA19</v>
      </c>
      <c r="M412" s="28" t="b">
        <f t="shared" si="47"/>
        <v>1</v>
      </c>
      <c r="N412" s="29">
        <f>IF(AND(K412=L412,LEFT(E412,1)="T"),VLOOKUP(A412,'JOGOS BASE'!A:E,4,0),IF(K412=J412,VLOOKUP(J412,Substituicoes!J:R,6,0),IF(L412=J412,VLOOKUP(Escalacao!J412,Substituicoes!K:R,7,0),0)))</f>
        <v>0</v>
      </c>
      <c r="O412" s="28">
        <f>IF(AND(K412=L412,LEFT(E412,1)="T"),VLOOKUP(A412,'JOGOS BASE'!A:E,5,0),IF(K412=J412,VLOOKUP(J412,Substituicoes!J:R,7,0),IF(L412=J412,VLOOKUP(Escalacao!J412,Substituicoes!K:R,8,0),0)))</f>
        <v>50</v>
      </c>
      <c r="P412" s="28">
        <f t="shared" si="48"/>
        <v>50</v>
      </c>
      <c r="Q412" s="28" t="str">
        <f t="shared" si="49"/>
        <v>1019Sampaio Corrêa - MA</v>
      </c>
      <c r="R412" s="28" t="str">
        <f>VLOOKUP(A412,'JOGOS BASE'!A:H,8)</f>
        <v>26.01.2025 - Tuntum - MA x Sampaio Corrêa - MA</v>
      </c>
    </row>
    <row r="413" spans="1:18" ht="30.6">
      <c r="A413" s="15">
        <v>10</v>
      </c>
      <c r="B413" s="46">
        <v>20</v>
      </c>
      <c r="C413" s="45" t="s">
        <v>94</v>
      </c>
      <c r="D413" s="45" t="s">
        <v>95</v>
      </c>
      <c r="E413" s="47" t="s">
        <v>42</v>
      </c>
      <c r="F413" s="47" t="s">
        <v>24</v>
      </c>
      <c r="G413" s="46">
        <v>757475</v>
      </c>
      <c r="H413" s="18" t="s">
        <v>122</v>
      </c>
      <c r="I413" s="26" t="str">
        <f t="shared" si="45"/>
        <v>JARDSON</v>
      </c>
      <c r="J413" s="26" t="str">
        <f t="shared" si="46"/>
        <v>10Sampaio Corrêa - MA20</v>
      </c>
      <c r="K413" s="27" t="str">
        <f>IFERROR(VLOOKUP(J413,Substituicoes!J:J,1,0),"SS")</f>
        <v>SS</v>
      </c>
      <c r="L413" s="27" t="str">
        <f>IFERROR(VLOOKUP(J413,Substituicoes!K:K,1,0),"SS")</f>
        <v>10Sampaio Corrêa - MA20</v>
      </c>
      <c r="M413" s="28" t="b">
        <f t="shared" si="47"/>
        <v>0</v>
      </c>
      <c r="N413" s="29">
        <f>IF(AND(K413=L413,LEFT(E413,1)="T"),VLOOKUP(A413,'JOGOS BASE'!A:E,4,0),IF(K413=J413,VLOOKUP(J413,Substituicoes!J:R,6,0),IF(L413=J413,VLOOKUP(Escalacao!J413,Substituicoes!K:R,7,0),0)))</f>
        <v>48</v>
      </c>
      <c r="O413" s="28">
        <f>IF(AND(K413=L413,LEFT(E413,1)="T"),VLOOKUP(A413,'JOGOS BASE'!A:E,5,0),IF(K413=J413,VLOOKUP(J413,Substituicoes!J:R,7,0),IF(L413=J413,VLOOKUP(Escalacao!J413,Substituicoes!K:R,8,0),0)))</f>
        <v>23</v>
      </c>
      <c r="P413" s="28">
        <f t="shared" si="48"/>
        <v>71</v>
      </c>
      <c r="Q413" s="28" t="str">
        <f t="shared" si="49"/>
        <v>1020Sampaio Corrêa - MA</v>
      </c>
      <c r="R413" s="28" t="str">
        <f>VLOOKUP(A413,'JOGOS BASE'!A:H,8)</f>
        <v>26.01.2025 - Tuntum - MA x Sampaio Corrêa - MA</v>
      </c>
    </row>
    <row r="414" spans="1:18" ht="30.6">
      <c r="A414" s="15">
        <v>11</v>
      </c>
      <c r="B414" s="46">
        <v>1</v>
      </c>
      <c r="C414" s="45" t="s">
        <v>301</v>
      </c>
      <c r="D414" s="45" t="s">
        <v>302</v>
      </c>
      <c r="E414" s="47" t="s">
        <v>23</v>
      </c>
      <c r="F414" s="47" t="s">
        <v>24</v>
      </c>
      <c r="G414" s="46">
        <v>530809</v>
      </c>
      <c r="H414" s="18" t="s">
        <v>368</v>
      </c>
      <c r="I414" s="26" t="str">
        <f t="shared" ref="I414:I453" si="50">C414</f>
        <v>Mateus</v>
      </c>
      <c r="J414" s="26" t="str">
        <f t="shared" ref="J414:J453" si="51">A414&amp;H414&amp;B414</f>
        <v>11Pinheiro - MA1</v>
      </c>
      <c r="K414" s="27" t="str">
        <f>IFERROR(VLOOKUP(J414,Substituicoes!J:J,1,0),"SS")</f>
        <v>SS</v>
      </c>
      <c r="L414" s="27" t="str">
        <f>IFERROR(VLOOKUP(J414,Substituicoes!K:K,1,0),"SS")</f>
        <v>SS</v>
      </c>
      <c r="M414" s="28" t="b">
        <f t="shared" ref="M414:M453" si="52">K414=L414</f>
        <v>1</v>
      </c>
      <c r="N414" s="29">
        <f>IF(AND(K414=L414,LEFT(E414,1)="T"),VLOOKUP(A414,'JOGOS BASE'!A:E,4,0),IF(K414=J414,VLOOKUP(J414,Substituicoes!J:R,6,0),IF(L414=J414,VLOOKUP(Escalacao!J414,Substituicoes!K:R,7,0),0)))</f>
        <v>48</v>
      </c>
      <c r="O414" s="28">
        <f>IF(AND(K414=L414,LEFT(E414,1)="T"),VLOOKUP(A414,'JOGOS BASE'!A:E,5,0),IF(K414=J414,VLOOKUP(J414,Substituicoes!J:R,7,0),IF(L414=J414,VLOOKUP(Escalacao!J414,Substituicoes!K:R,8,0),0)))</f>
        <v>51</v>
      </c>
      <c r="P414" s="28">
        <f t="shared" ref="P414:P453" si="53">N414+O414</f>
        <v>99</v>
      </c>
      <c r="Q414" s="28" t="str">
        <f t="shared" ref="Q414:Q453" si="54">A414&amp;B414&amp;H414</f>
        <v>111Pinheiro - MA</v>
      </c>
      <c r="R414" s="28" t="str">
        <f>VLOOKUP(A414,'JOGOS BASE'!A:H,8)</f>
        <v>26.01.2025 - Pinheiro - MA x Moto Club - MA</v>
      </c>
    </row>
    <row r="415" spans="1:18" ht="20.399999999999999">
      <c r="A415" s="15">
        <v>11</v>
      </c>
      <c r="B415" s="46">
        <v>2</v>
      </c>
      <c r="C415" s="45" t="s">
        <v>303</v>
      </c>
      <c r="D415" s="45" t="s">
        <v>304</v>
      </c>
      <c r="E415" s="47" t="s">
        <v>26</v>
      </c>
      <c r="F415" s="47" t="s">
        <v>56</v>
      </c>
      <c r="G415" s="46">
        <v>748495</v>
      </c>
      <c r="H415" s="18" t="s">
        <v>368</v>
      </c>
      <c r="I415" s="26" t="str">
        <f t="shared" si="50"/>
        <v>Italo</v>
      </c>
      <c r="J415" s="26" t="str">
        <f t="shared" si="51"/>
        <v>11Pinheiro - MA2</v>
      </c>
      <c r="K415" s="27" t="str">
        <f>IFERROR(VLOOKUP(J415,Substituicoes!J:J,1,0),"SS")</f>
        <v>SS</v>
      </c>
      <c r="L415" s="27" t="str">
        <f>IFERROR(VLOOKUP(J415,Substituicoes!K:K,1,0),"SS")</f>
        <v>SS</v>
      </c>
      <c r="M415" s="28" t="b">
        <f t="shared" si="52"/>
        <v>1</v>
      </c>
      <c r="N415" s="29">
        <f>IF(AND(K415=L415,LEFT(E415,1)="T"),VLOOKUP(A415,'JOGOS BASE'!A:E,4,0),IF(K415=J415,VLOOKUP(J415,Substituicoes!J:R,6,0),IF(L415=J415,VLOOKUP(Escalacao!J415,Substituicoes!K:R,7,0),0)))</f>
        <v>48</v>
      </c>
      <c r="O415" s="28">
        <f>IF(AND(K415=L415,LEFT(E415,1)="T"),VLOOKUP(A415,'JOGOS BASE'!A:E,5,0),IF(K415=J415,VLOOKUP(J415,Substituicoes!J:R,7,0),IF(L415=J415,VLOOKUP(Escalacao!J415,Substituicoes!K:R,8,0),0)))</f>
        <v>51</v>
      </c>
      <c r="P415" s="28">
        <f t="shared" si="53"/>
        <v>99</v>
      </c>
      <c r="Q415" s="28" t="str">
        <f t="shared" si="54"/>
        <v>112Pinheiro - MA</v>
      </c>
      <c r="R415" s="28" t="str">
        <f>VLOOKUP(A415,'JOGOS BASE'!A:H,8)</f>
        <v>26.01.2025 - Pinheiro - MA x Moto Club - MA</v>
      </c>
    </row>
    <row r="416" spans="1:18" ht="30.6">
      <c r="A416" s="15">
        <v>11</v>
      </c>
      <c r="B416" s="46">
        <v>3</v>
      </c>
      <c r="C416" s="45" t="s">
        <v>305</v>
      </c>
      <c r="D416" s="45" t="s">
        <v>306</v>
      </c>
      <c r="E416" s="47" t="s">
        <v>26</v>
      </c>
      <c r="F416" s="47" t="s">
        <v>24</v>
      </c>
      <c r="G416" s="46">
        <v>619339</v>
      </c>
      <c r="H416" s="18" t="s">
        <v>368</v>
      </c>
      <c r="I416" s="26" t="str">
        <f t="shared" si="50"/>
        <v>Henrique</v>
      </c>
      <c r="J416" s="26" t="str">
        <f t="shared" si="51"/>
        <v>11Pinheiro - MA3</v>
      </c>
      <c r="K416" s="27" t="str">
        <f>IFERROR(VLOOKUP(J416,Substituicoes!J:J,1,0),"SS")</f>
        <v>SS</v>
      </c>
      <c r="L416" s="27" t="str">
        <f>IFERROR(VLOOKUP(J416,Substituicoes!K:K,1,0),"SS")</f>
        <v>SS</v>
      </c>
      <c r="M416" s="28" t="b">
        <f t="shared" si="52"/>
        <v>1</v>
      </c>
      <c r="N416" s="29">
        <f>IF(AND(K416=L416,LEFT(E416,1)="T"),VLOOKUP(A416,'JOGOS BASE'!A:E,4,0),IF(K416=J416,VLOOKUP(J416,Substituicoes!J:R,6,0),IF(L416=J416,VLOOKUP(Escalacao!J416,Substituicoes!K:R,7,0),0)))</f>
        <v>48</v>
      </c>
      <c r="O416" s="28">
        <f>IF(AND(K416=L416,LEFT(E416,1)="T"),VLOOKUP(A416,'JOGOS BASE'!A:E,5,0),IF(K416=J416,VLOOKUP(J416,Substituicoes!J:R,7,0),IF(L416=J416,VLOOKUP(Escalacao!J416,Substituicoes!K:R,8,0),0)))</f>
        <v>51</v>
      </c>
      <c r="P416" s="28">
        <f t="shared" si="53"/>
        <v>99</v>
      </c>
      <c r="Q416" s="28" t="str">
        <f t="shared" si="54"/>
        <v>113Pinheiro - MA</v>
      </c>
      <c r="R416" s="28" t="str">
        <f>VLOOKUP(A416,'JOGOS BASE'!A:H,8)</f>
        <v>26.01.2025 - Pinheiro - MA x Moto Club - MA</v>
      </c>
    </row>
    <row r="417" spans="1:18" ht="30.6">
      <c r="A417" s="15">
        <v>11</v>
      </c>
      <c r="B417" s="46">
        <v>4</v>
      </c>
      <c r="C417" s="45" t="s">
        <v>307</v>
      </c>
      <c r="D417" s="45" t="s">
        <v>308</v>
      </c>
      <c r="E417" s="47" t="s">
        <v>26</v>
      </c>
      <c r="F417" s="47" t="s">
        <v>24</v>
      </c>
      <c r="G417" s="46">
        <v>710616</v>
      </c>
      <c r="H417" s="18" t="s">
        <v>368</v>
      </c>
      <c r="I417" s="26" t="str">
        <f t="shared" si="50"/>
        <v>Rikelmmer</v>
      </c>
      <c r="J417" s="26" t="str">
        <f t="shared" si="51"/>
        <v>11Pinheiro - MA4</v>
      </c>
      <c r="K417" s="27" t="str">
        <f>IFERROR(VLOOKUP(J417,Substituicoes!J:J,1,0),"SS")</f>
        <v>SS</v>
      </c>
      <c r="L417" s="27" t="str">
        <f>IFERROR(VLOOKUP(J417,Substituicoes!K:K,1,0),"SS")</f>
        <v>SS</v>
      </c>
      <c r="M417" s="28" t="b">
        <f t="shared" si="52"/>
        <v>1</v>
      </c>
      <c r="N417" s="29">
        <f>IF(AND(K417=L417,LEFT(E417,1)="T"),VLOOKUP(A417,'JOGOS BASE'!A:E,4,0),IF(K417=J417,VLOOKUP(J417,Substituicoes!J:R,6,0),IF(L417=J417,VLOOKUP(Escalacao!J417,Substituicoes!K:R,7,0),0)))</f>
        <v>48</v>
      </c>
      <c r="O417" s="28">
        <f>IF(AND(K417=L417,LEFT(E417,1)="T"),VLOOKUP(A417,'JOGOS BASE'!A:E,5,0),IF(K417=J417,VLOOKUP(J417,Substituicoes!J:R,7,0),IF(L417=J417,VLOOKUP(Escalacao!J417,Substituicoes!K:R,8,0),0)))</f>
        <v>51</v>
      </c>
      <c r="P417" s="28">
        <f t="shared" si="53"/>
        <v>99</v>
      </c>
      <c r="Q417" s="28" t="str">
        <f t="shared" si="54"/>
        <v>114Pinheiro - MA</v>
      </c>
      <c r="R417" s="28" t="str">
        <f>VLOOKUP(A417,'JOGOS BASE'!A:H,8)</f>
        <v>26.01.2025 - Pinheiro - MA x Moto Club - MA</v>
      </c>
    </row>
    <row r="418" spans="1:18" ht="20.399999999999999">
      <c r="A418" s="15">
        <v>11</v>
      </c>
      <c r="B418" s="46">
        <v>5</v>
      </c>
      <c r="C418" s="45" t="s">
        <v>309</v>
      </c>
      <c r="D418" s="45" t="s">
        <v>310</v>
      </c>
      <c r="E418" s="47" t="s">
        <v>26</v>
      </c>
      <c r="F418" s="47" t="s">
        <v>24</v>
      </c>
      <c r="G418" s="46">
        <v>537343</v>
      </c>
      <c r="H418" s="18" t="s">
        <v>368</v>
      </c>
      <c r="I418" s="26" t="str">
        <f t="shared" si="50"/>
        <v>Rayandeson</v>
      </c>
      <c r="J418" s="26" t="str">
        <f t="shared" si="51"/>
        <v>11Pinheiro - MA5</v>
      </c>
      <c r="K418" s="27" t="str">
        <f>IFERROR(VLOOKUP(J418,Substituicoes!J:J,1,0),"SS")</f>
        <v>SS</v>
      </c>
      <c r="L418" s="27" t="str">
        <f>IFERROR(VLOOKUP(J418,Substituicoes!K:K,1,0),"SS")</f>
        <v>SS</v>
      </c>
      <c r="M418" s="28" t="b">
        <f t="shared" si="52"/>
        <v>1</v>
      </c>
      <c r="N418" s="29">
        <f>IF(AND(K418=L418,LEFT(E418,1)="T"),VLOOKUP(A418,'JOGOS BASE'!A:E,4,0),IF(K418=J418,VLOOKUP(J418,Substituicoes!J:R,6,0),IF(L418=J418,VLOOKUP(Escalacao!J418,Substituicoes!K:R,7,0),0)))</f>
        <v>48</v>
      </c>
      <c r="O418" s="28">
        <f>IF(AND(K418=L418,LEFT(E418,1)="T"),VLOOKUP(A418,'JOGOS BASE'!A:E,5,0),IF(K418=J418,VLOOKUP(J418,Substituicoes!J:R,7,0),IF(L418=J418,VLOOKUP(Escalacao!J418,Substituicoes!K:R,8,0),0)))</f>
        <v>51</v>
      </c>
      <c r="P418" s="28">
        <f t="shared" si="53"/>
        <v>99</v>
      </c>
      <c r="Q418" s="28" t="str">
        <f t="shared" si="54"/>
        <v>115Pinheiro - MA</v>
      </c>
      <c r="R418" s="28" t="str">
        <f>VLOOKUP(A418,'JOGOS BASE'!A:H,8)</f>
        <v>26.01.2025 - Pinheiro - MA x Moto Club - MA</v>
      </c>
    </row>
    <row r="419" spans="1:18" ht="30.6">
      <c r="A419" s="15">
        <v>11</v>
      </c>
      <c r="B419" s="46">
        <v>6</v>
      </c>
      <c r="C419" s="45" t="s">
        <v>328</v>
      </c>
      <c r="D419" s="45" t="s">
        <v>329</v>
      </c>
      <c r="E419" s="47" t="s">
        <v>26</v>
      </c>
      <c r="F419" s="47" t="s">
        <v>56</v>
      </c>
      <c r="G419" s="46">
        <v>779893</v>
      </c>
      <c r="H419" s="18" t="s">
        <v>368</v>
      </c>
      <c r="I419" s="26" t="str">
        <f t="shared" si="50"/>
        <v>George</v>
      </c>
      <c r="J419" s="26" t="str">
        <f t="shared" si="51"/>
        <v>11Pinheiro - MA6</v>
      </c>
      <c r="K419" s="27" t="str">
        <f>IFERROR(VLOOKUP(J419,Substituicoes!J:J,1,0),"SS")</f>
        <v>SS</v>
      </c>
      <c r="L419" s="27" t="str">
        <f>IFERROR(VLOOKUP(J419,Substituicoes!K:K,1,0),"SS")</f>
        <v>11Pinheiro - MA6</v>
      </c>
      <c r="M419" s="28" t="b">
        <f t="shared" si="52"/>
        <v>0</v>
      </c>
      <c r="N419" s="29">
        <f>IF(AND(K419=L419,LEFT(E419,1)="T"),VLOOKUP(A419,'JOGOS BASE'!A:E,4,0),IF(K419=J419,VLOOKUP(J419,Substituicoes!J:R,6,0),IF(L419=J419,VLOOKUP(Escalacao!J419,Substituicoes!K:R,7,0),0)))</f>
        <v>48</v>
      </c>
      <c r="O419" s="28">
        <f>IF(AND(K419=L419,LEFT(E419,1)="T"),VLOOKUP(A419,'JOGOS BASE'!A:E,5,0),IF(K419=J419,VLOOKUP(J419,Substituicoes!J:R,7,0),IF(L419=J419,VLOOKUP(Escalacao!J419,Substituicoes!K:R,8,0),0)))</f>
        <v>20</v>
      </c>
      <c r="P419" s="28">
        <f t="shared" si="53"/>
        <v>68</v>
      </c>
      <c r="Q419" s="28" t="str">
        <f t="shared" si="54"/>
        <v>116Pinheiro - MA</v>
      </c>
      <c r="R419" s="28" t="str">
        <f>VLOOKUP(A419,'JOGOS BASE'!A:H,8)</f>
        <v>26.01.2025 - Pinheiro - MA x Moto Club - MA</v>
      </c>
    </row>
    <row r="420" spans="1:18" ht="20.399999999999999">
      <c r="A420" s="15">
        <v>11</v>
      </c>
      <c r="B420" s="46">
        <v>7</v>
      </c>
      <c r="C420" s="45" t="s">
        <v>312</v>
      </c>
      <c r="D420" s="45" t="s">
        <v>313</v>
      </c>
      <c r="E420" s="47" t="s">
        <v>26</v>
      </c>
      <c r="F420" s="47" t="s">
        <v>24</v>
      </c>
      <c r="G420" s="46">
        <v>738325</v>
      </c>
      <c r="H420" s="18" t="s">
        <v>368</v>
      </c>
      <c r="I420" s="26" t="str">
        <f t="shared" si="50"/>
        <v>FRANCISCO</v>
      </c>
      <c r="J420" s="26" t="str">
        <f t="shared" si="51"/>
        <v>11Pinheiro - MA7</v>
      </c>
      <c r="K420" s="27" t="str">
        <f>IFERROR(VLOOKUP(J420,Substituicoes!J:J,1,0),"SS")</f>
        <v>SS</v>
      </c>
      <c r="L420" s="27" t="str">
        <f>IFERROR(VLOOKUP(J420,Substituicoes!K:K,1,0),"SS")</f>
        <v>SS</v>
      </c>
      <c r="M420" s="28" t="b">
        <f t="shared" si="52"/>
        <v>1</v>
      </c>
      <c r="N420" s="29">
        <f>IF(AND(K420=L420,LEFT(E420,1)="T"),VLOOKUP(A420,'JOGOS BASE'!A:E,4,0),IF(K420=J420,VLOOKUP(J420,Substituicoes!J:R,6,0),IF(L420=J420,VLOOKUP(Escalacao!J420,Substituicoes!K:R,7,0),0)))</f>
        <v>48</v>
      </c>
      <c r="O420" s="28">
        <f>IF(AND(K420=L420,LEFT(E420,1)="T"),VLOOKUP(A420,'JOGOS BASE'!A:E,5,0),IF(K420=J420,VLOOKUP(J420,Substituicoes!J:R,7,0),IF(L420=J420,VLOOKUP(Escalacao!J420,Substituicoes!K:R,8,0),0)))</f>
        <v>51</v>
      </c>
      <c r="P420" s="28">
        <f t="shared" si="53"/>
        <v>99</v>
      </c>
      <c r="Q420" s="28" t="str">
        <f t="shared" si="54"/>
        <v>117Pinheiro - MA</v>
      </c>
      <c r="R420" s="28" t="str">
        <f>VLOOKUP(A420,'JOGOS BASE'!A:H,8)</f>
        <v>26.01.2025 - Pinheiro - MA x Moto Club - MA</v>
      </c>
    </row>
    <row r="421" spans="1:18" ht="20.399999999999999">
      <c r="A421" s="15">
        <v>11</v>
      </c>
      <c r="B421" s="46">
        <v>8</v>
      </c>
      <c r="C421" s="45" t="s">
        <v>314</v>
      </c>
      <c r="D421" s="45" t="s">
        <v>315</v>
      </c>
      <c r="E421" s="47" t="s">
        <v>26</v>
      </c>
      <c r="F421" s="47" t="s">
        <v>24</v>
      </c>
      <c r="G421" s="46">
        <v>552300</v>
      </c>
      <c r="H421" s="18" t="s">
        <v>368</v>
      </c>
      <c r="I421" s="26" t="str">
        <f t="shared" si="50"/>
        <v>Tulio</v>
      </c>
      <c r="J421" s="26" t="str">
        <f t="shared" si="51"/>
        <v>11Pinheiro - MA8</v>
      </c>
      <c r="K421" s="27" t="str">
        <f>IFERROR(VLOOKUP(J421,Substituicoes!J:J,1,0),"SS")</f>
        <v>SS</v>
      </c>
      <c r="L421" s="27" t="str">
        <f>IFERROR(VLOOKUP(J421,Substituicoes!K:K,1,0),"SS")</f>
        <v>SS</v>
      </c>
      <c r="M421" s="28" t="b">
        <f t="shared" si="52"/>
        <v>1</v>
      </c>
      <c r="N421" s="29">
        <f>IF(AND(K421=L421,LEFT(E421,1)="T"),VLOOKUP(A421,'JOGOS BASE'!A:E,4,0),IF(K421=J421,VLOOKUP(J421,Substituicoes!J:R,6,0),IF(L421=J421,VLOOKUP(Escalacao!J421,Substituicoes!K:R,7,0),0)))</f>
        <v>48</v>
      </c>
      <c r="O421" s="28">
        <f>IF(AND(K421=L421,LEFT(E421,1)="T"),VLOOKUP(A421,'JOGOS BASE'!A:E,5,0),IF(K421=J421,VLOOKUP(J421,Substituicoes!J:R,7,0),IF(L421=J421,VLOOKUP(Escalacao!J421,Substituicoes!K:R,8,0),0)))</f>
        <v>51</v>
      </c>
      <c r="P421" s="28">
        <f t="shared" si="53"/>
        <v>99</v>
      </c>
      <c r="Q421" s="28" t="str">
        <f t="shared" si="54"/>
        <v>118Pinheiro - MA</v>
      </c>
      <c r="R421" s="28" t="str">
        <f>VLOOKUP(A421,'JOGOS BASE'!A:H,8)</f>
        <v>26.01.2025 - Pinheiro - MA x Moto Club - MA</v>
      </c>
    </row>
    <row r="422" spans="1:18" ht="30.6">
      <c r="A422" s="15">
        <v>11</v>
      </c>
      <c r="B422" s="46">
        <v>9</v>
      </c>
      <c r="C422" s="45" t="s">
        <v>316</v>
      </c>
      <c r="D422" s="45" t="s">
        <v>317</v>
      </c>
      <c r="E422" s="47" t="s">
        <v>26</v>
      </c>
      <c r="F422" s="47" t="s">
        <v>24</v>
      </c>
      <c r="G422" s="46">
        <v>464141</v>
      </c>
      <c r="H422" s="18" t="s">
        <v>368</v>
      </c>
      <c r="I422" s="26" t="str">
        <f t="shared" si="50"/>
        <v>Cleber</v>
      </c>
      <c r="J422" s="26" t="str">
        <f t="shared" si="51"/>
        <v>11Pinheiro - MA9</v>
      </c>
      <c r="K422" s="27" t="str">
        <f>IFERROR(VLOOKUP(J422,Substituicoes!J:J,1,0),"SS")</f>
        <v>SS</v>
      </c>
      <c r="L422" s="27" t="str">
        <f>IFERROR(VLOOKUP(J422,Substituicoes!K:K,1,0),"SS")</f>
        <v>11Pinheiro - MA9</v>
      </c>
      <c r="M422" s="28" t="b">
        <f t="shared" si="52"/>
        <v>0</v>
      </c>
      <c r="N422" s="29">
        <f>IF(AND(K422=L422,LEFT(E422,1)="T"),VLOOKUP(A422,'JOGOS BASE'!A:E,4,0),IF(K422=J422,VLOOKUP(J422,Substituicoes!J:R,6,0),IF(L422=J422,VLOOKUP(Escalacao!J422,Substituicoes!K:R,7,0),0)))</f>
        <v>48</v>
      </c>
      <c r="O422" s="28">
        <f>IF(AND(K422=L422,LEFT(E422,1)="T"),VLOOKUP(A422,'JOGOS BASE'!A:E,5,0),IF(K422=J422,VLOOKUP(J422,Substituicoes!J:R,7,0),IF(L422=J422,VLOOKUP(Escalacao!J422,Substituicoes!K:R,8,0),0)))</f>
        <v>34</v>
      </c>
      <c r="P422" s="28">
        <f t="shared" si="53"/>
        <v>82</v>
      </c>
      <c r="Q422" s="28" t="str">
        <f t="shared" si="54"/>
        <v>119Pinheiro - MA</v>
      </c>
      <c r="R422" s="28" t="str">
        <f>VLOOKUP(A422,'JOGOS BASE'!A:H,8)</f>
        <v>26.01.2025 - Pinheiro - MA x Moto Club - MA</v>
      </c>
    </row>
    <row r="423" spans="1:18" ht="20.399999999999999">
      <c r="A423" s="15">
        <v>11</v>
      </c>
      <c r="B423" s="46">
        <v>10</v>
      </c>
      <c r="C423" s="45" t="s">
        <v>318</v>
      </c>
      <c r="D423" s="45" t="s">
        <v>319</v>
      </c>
      <c r="E423" s="47" t="s">
        <v>26</v>
      </c>
      <c r="F423" s="47" t="s">
        <v>24</v>
      </c>
      <c r="G423" s="46">
        <v>554277</v>
      </c>
      <c r="H423" s="18" t="s">
        <v>368</v>
      </c>
      <c r="I423" s="26" t="str">
        <f t="shared" si="50"/>
        <v>Neto</v>
      </c>
      <c r="J423" s="26" t="str">
        <f t="shared" si="51"/>
        <v>11Pinheiro - MA10</v>
      </c>
      <c r="K423" s="27" t="str">
        <f>IFERROR(VLOOKUP(J423,Substituicoes!J:J,1,0),"SS")</f>
        <v>SS</v>
      </c>
      <c r="L423" s="27" t="str">
        <f>IFERROR(VLOOKUP(J423,Substituicoes!K:K,1,0),"SS")</f>
        <v>SS</v>
      </c>
      <c r="M423" s="28" t="b">
        <f t="shared" si="52"/>
        <v>1</v>
      </c>
      <c r="N423" s="29">
        <f>IF(AND(K423=L423,LEFT(E423,1)="T"),VLOOKUP(A423,'JOGOS BASE'!A:E,4,0),IF(K423=J423,VLOOKUP(J423,Substituicoes!J:R,6,0),IF(L423=J423,VLOOKUP(Escalacao!J423,Substituicoes!K:R,7,0),0)))</f>
        <v>48</v>
      </c>
      <c r="O423" s="28">
        <f>IF(AND(K423=L423,LEFT(E423,1)="T"),VLOOKUP(A423,'JOGOS BASE'!A:E,5,0),IF(K423=J423,VLOOKUP(J423,Substituicoes!J:R,7,0),IF(L423=J423,VLOOKUP(Escalacao!J423,Substituicoes!K:R,8,0),0)))</f>
        <v>51</v>
      </c>
      <c r="P423" s="28">
        <f t="shared" si="53"/>
        <v>99</v>
      </c>
      <c r="Q423" s="28" t="str">
        <f t="shared" si="54"/>
        <v>1110Pinheiro - MA</v>
      </c>
      <c r="R423" s="28" t="str">
        <f>VLOOKUP(A423,'JOGOS BASE'!A:H,8)</f>
        <v>26.01.2025 - Pinheiro - MA x Moto Club - MA</v>
      </c>
    </row>
    <row r="424" spans="1:18" ht="20.399999999999999">
      <c r="A424" s="15">
        <v>11</v>
      </c>
      <c r="B424" s="46">
        <v>11</v>
      </c>
      <c r="C424" s="45" t="s">
        <v>320</v>
      </c>
      <c r="D424" s="45" t="s">
        <v>321</v>
      </c>
      <c r="E424" s="47" t="s">
        <v>26</v>
      </c>
      <c r="F424" s="47" t="s">
        <v>24</v>
      </c>
      <c r="G424" s="46">
        <v>612866</v>
      </c>
      <c r="H424" s="18" t="s">
        <v>368</v>
      </c>
      <c r="I424" s="26" t="str">
        <f t="shared" si="50"/>
        <v>Joao Pedro</v>
      </c>
      <c r="J424" s="26" t="str">
        <f t="shared" si="51"/>
        <v>11Pinheiro - MA11</v>
      </c>
      <c r="K424" s="27" t="str">
        <f>IFERROR(VLOOKUP(J424,Substituicoes!J:J,1,0),"SS")</f>
        <v>SS</v>
      </c>
      <c r="L424" s="27" t="str">
        <f>IFERROR(VLOOKUP(J424,Substituicoes!K:K,1,0),"SS")</f>
        <v>11Pinheiro - MA11</v>
      </c>
      <c r="M424" s="28" t="b">
        <f t="shared" si="52"/>
        <v>0</v>
      </c>
      <c r="N424" s="29">
        <f>IF(AND(K424=L424,LEFT(E424,1)="T"),VLOOKUP(A424,'JOGOS BASE'!A:E,4,0),IF(K424=J424,VLOOKUP(J424,Substituicoes!J:R,6,0),IF(L424=J424,VLOOKUP(Escalacao!J424,Substituicoes!K:R,7,0),0)))</f>
        <v>48</v>
      </c>
      <c r="O424" s="28">
        <f>IF(AND(K424=L424,LEFT(E424,1)="T"),VLOOKUP(A424,'JOGOS BASE'!A:E,5,0),IF(K424=J424,VLOOKUP(J424,Substituicoes!J:R,7,0),IF(L424=J424,VLOOKUP(Escalacao!J424,Substituicoes!K:R,8,0),0)))</f>
        <v>20</v>
      </c>
      <c r="P424" s="28">
        <f t="shared" si="53"/>
        <v>68</v>
      </c>
      <c r="Q424" s="28" t="str">
        <f t="shared" si="54"/>
        <v>1111Pinheiro - MA</v>
      </c>
      <c r="R424" s="28" t="str">
        <f>VLOOKUP(A424,'JOGOS BASE'!A:H,8)</f>
        <v>26.01.2025 - Pinheiro - MA x Moto Club - MA</v>
      </c>
    </row>
    <row r="425" spans="1:18" ht="20.399999999999999">
      <c r="A425" s="15">
        <v>11</v>
      </c>
      <c r="B425" s="46">
        <v>12</v>
      </c>
      <c r="C425" s="45" t="s">
        <v>322</v>
      </c>
      <c r="D425" s="45" t="s">
        <v>323</v>
      </c>
      <c r="E425" s="47" t="s">
        <v>40</v>
      </c>
      <c r="F425" s="47" t="s">
        <v>24</v>
      </c>
      <c r="G425" s="46">
        <v>637255</v>
      </c>
      <c r="H425" s="18" t="s">
        <v>368</v>
      </c>
      <c r="I425" s="26" t="str">
        <f t="shared" si="50"/>
        <v>LUAN</v>
      </c>
      <c r="J425" s="26" t="str">
        <f t="shared" si="51"/>
        <v>11Pinheiro - MA12</v>
      </c>
      <c r="K425" s="27" t="str">
        <f>IFERROR(VLOOKUP(J425,Substituicoes!J:J,1,0),"SS")</f>
        <v>SS</v>
      </c>
      <c r="L425" s="27" t="str">
        <f>IFERROR(VLOOKUP(J425,Substituicoes!K:K,1,0),"SS")</f>
        <v>SS</v>
      </c>
      <c r="M425" s="28" t="b">
        <f t="shared" si="52"/>
        <v>1</v>
      </c>
      <c r="N425" s="29">
        <f>IF(AND(K425=L425,LEFT(E425,1)="T"),VLOOKUP(A425,'JOGOS BASE'!A:E,4,0),IF(K425=J425,VLOOKUP(J425,Substituicoes!J:R,6,0),IF(L425=J425,VLOOKUP(Escalacao!J425,Substituicoes!K:R,7,0),0)))</f>
        <v>0</v>
      </c>
      <c r="O425" s="28">
        <f>IF(AND(K425=L425,LEFT(E425,1)="T"),VLOOKUP(A425,'JOGOS BASE'!A:E,5,0),IF(K425=J425,VLOOKUP(J425,Substituicoes!J:R,7,0),IF(L425=J425,VLOOKUP(Escalacao!J425,Substituicoes!K:R,8,0),0)))</f>
        <v>0</v>
      </c>
      <c r="P425" s="28">
        <f t="shared" si="53"/>
        <v>0</v>
      </c>
      <c r="Q425" s="28" t="str">
        <f t="shared" si="54"/>
        <v>1112Pinheiro - MA</v>
      </c>
      <c r="R425" s="28" t="str">
        <f>VLOOKUP(A425,'JOGOS BASE'!A:H,8)</f>
        <v>26.01.2025 - Pinheiro - MA x Moto Club - MA</v>
      </c>
    </row>
    <row r="426" spans="1:18" ht="30.6">
      <c r="A426" s="15">
        <v>11</v>
      </c>
      <c r="B426" s="46">
        <v>13</v>
      </c>
      <c r="C426" s="45" t="s">
        <v>324</v>
      </c>
      <c r="D426" s="45" t="s">
        <v>325</v>
      </c>
      <c r="E426" s="47" t="s">
        <v>42</v>
      </c>
      <c r="F426" s="47" t="s">
        <v>24</v>
      </c>
      <c r="G426" s="46">
        <v>554265</v>
      </c>
      <c r="H426" s="18" t="s">
        <v>368</v>
      </c>
      <c r="I426" s="26" t="str">
        <f t="shared" si="50"/>
        <v>Aldomir</v>
      </c>
      <c r="J426" s="26" t="str">
        <f t="shared" si="51"/>
        <v>11Pinheiro - MA13</v>
      </c>
      <c r="K426" s="27" t="str">
        <f>IFERROR(VLOOKUP(J426,Substituicoes!J:J,1,0),"SS")</f>
        <v>11Pinheiro - MA13</v>
      </c>
      <c r="L426" s="27" t="str">
        <f>IFERROR(VLOOKUP(J426,Substituicoes!K:K,1,0),"SS")</f>
        <v>SS</v>
      </c>
      <c r="M426" s="28" t="b">
        <f t="shared" si="52"/>
        <v>0</v>
      </c>
      <c r="N426" s="29">
        <f>IF(AND(K426=L426,LEFT(E426,1)="T"),VLOOKUP(A426,'JOGOS BASE'!A:E,4,0),IF(K426=J426,VLOOKUP(J426,Substituicoes!J:R,6,0),IF(L426=J426,VLOOKUP(Escalacao!J426,Substituicoes!K:R,7,0),0)))</f>
        <v>0</v>
      </c>
      <c r="O426" s="28">
        <f>IF(AND(K426=L426,LEFT(E426,1)="T"),VLOOKUP(A426,'JOGOS BASE'!A:E,5,0),IF(K426=J426,VLOOKUP(J426,Substituicoes!J:R,7,0),IF(L426=J426,VLOOKUP(Escalacao!J426,Substituicoes!K:R,8,0),0)))</f>
        <v>17</v>
      </c>
      <c r="P426" s="28">
        <f t="shared" si="53"/>
        <v>17</v>
      </c>
      <c r="Q426" s="28" t="str">
        <f t="shared" si="54"/>
        <v>1113Pinheiro - MA</v>
      </c>
      <c r="R426" s="28" t="str">
        <f>VLOOKUP(A426,'JOGOS BASE'!A:H,8)</f>
        <v>26.01.2025 - Pinheiro - MA x Moto Club - MA</v>
      </c>
    </row>
    <row r="427" spans="1:18" ht="20.399999999999999">
      <c r="A427" s="15">
        <v>11</v>
      </c>
      <c r="B427" s="46">
        <v>14</v>
      </c>
      <c r="C427" s="45" t="s">
        <v>326</v>
      </c>
      <c r="D427" s="45" t="s">
        <v>327</v>
      </c>
      <c r="E427" s="47" t="s">
        <v>42</v>
      </c>
      <c r="F427" s="47" t="s">
        <v>56</v>
      </c>
      <c r="G427" s="46">
        <v>804398</v>
      </c>
      <c r="H427" s="18" t="s">
        <v>368</v>
      </c>
      <c r="I427" s="26" t="str">
        <f t="shared" si="50"/>
        <v>Igor Mineiro</v>
      </c>
      <c r="J427" s="26" t="str">
        <f t="shared" si="51"/>
        <v>11Pinheiro - MA14</v>
      </c>
      <c r="K427" s="27" t="str">
        <f>IFERROR(VLOOKUP(J427,Substituicoes!J:J,1,0),"SS")</f>
        <v>SS</v>
      </c>
      <c r="L427" s="27" t="str">
        <f>IFERROR(VLOOKUP(J427,Substituicoes!K:K,1,0),"SS")</f>
        <v>SS</v>
      </c>
      <c r="M427" s="28" t="b">
        <f t="shared" si="52"/>
        <v>1</v>
      </c>
      <c r="N427" s="29">
        <f>IF(AND(K427=L427,LEFT(E427,1)="T"),VLOOKUP(A427,'JOGOS BASE'!A:E,4,0),IF(K427=J427,VLOOKUP(J427,Substituicoes!J:R,6,0),IF(L427=J427,VLOOKUP(Escalacao!J427,Substituicoes!K:R,7,0),0)))</f>
        <v>0</v>
      </c>
      <c r="O427" s="28">
        <f>IF(AND(K427=L427,LEFT(E427,1)="T"),VLOOKUP(A427,'JOGOS BASE'!A:E,5,0),IF(K427=J427,VLOOKUP(J427,Substituicoes!J:R,7,0),IF(L427=J427,VLOOKUP(Escalacao!J427,Substituicoes!K:R,8,0),0)))</f>
        <v>0</v>
      </c>
      <c r="P427" s="28">
        <f t="shared" si="53"/>
        <v>0</v>
      </c>
      <c r="Q427" s="28" t="str">
        <f t="shared" si="54"/>
        <v>1114Pinheiro - MA</v>
      </c>
      <c r="R427" s="28" t="str">
        <f>VLOOKUP(A427,'JOGOS BASE'!A:H,8)</f>
        <v>26.01.2025 - Pinheiro - MA x Moto Club - MA</v>
      </c>
    </row>
    <row r="428" spans="1:18" ht="30.6">
      <c r="A428" s="15">
        <v>11</v>
      </c>
      <c r="B428" s="46">
        <v>15</v>
      </c>
      <c r="C428" s="45" t="s">
        <v>681</v>
      </c>
      <c r="D428" s="45" t="s">
        <v>682</v>
      </c>
      <c r="E428" s="47" t="s">
        <v>42</v>
      </c>
      <c r="F428" s="47" t="s">
        <v>24</v>
      </c>
      <c r="G428" s="46">
        <v>593208</v>
      </c>
      <c r="H428" s="18" t="s">
        <v>368</v>
      </c>
      <c r="I428" s="26" t="str">
        <f t="shared" si="50"/>
        <v>ALEXANDRE</v>
      </c>
      <c r="J428" s="26" t="str">
        <f t="shared" si="51"/>
        <v>11Pinheiro - MA15</v>
      </c>
      <c r="K428" s="27" t="str">
        <f>IFERROR(VLOOKUP(J428,Substituicoes!J:J,1,0),"SS")</f>
        <v>11Pinheiro - MA15</v>
      </c>
      <c r="L428" s="27" t="str">
        <f>IFERROR(VLOOKUP(J428,Substituicoes!K:K,1,0),"SS")</f>
        <v>SS</v>
      </c>
      <c r="M428" s="28" t="b">
        <f t="shared" si="52"/>
        <v>0</v>
      </c>
      <c r="N428" s="29">
        <f>IF(AND(K428=L428,LEFT(E428,1)="T"),VLOOKUP(A428,'JOGOS BASE'!A:E,4,0),IF(K428=J428,VLOOKUP(J428,Substituicoes!J:R,6,0),IF(L428=J428,VLOOKUP(Escalacao!J428,Substituicoes!K:R,7,0),0)))</f>
        <v>0</v>
      </c>
      <c r="O428" s="28">
        <f>IF(AND(K428=L428,LEFT(E428,1)="T"),VLOOKUP(A428,'JOGOS BASE'!A:E,5,0),IF(K428=J428,VLOOKUP(J428,Substituicoes!J:R,7,0),IF(L428=J428,VLOOKUP(Escalacao!J428,Substituicoes!K:R,8,0),0)))</f>
        <v>31</v>
      </c>
      <c r="P428" s="28">
        <f t="shared" si="53"/>
        <v>31</v>
      </c>
      <c r="Q428" s="28" t="str">
        <f t="shared" si="54"/>
        <v>1115Pinheiro - MA</v>
      </c>
      <c r="R428" s="28" t="str">
        <f>VLOOKUP(A428,'JOGOS BASE'!A:H,8)</f>
        <v>26.01.2025 - Pinheiro - MA x Moto Club - MA</v>
      </c>
    </row>
    <row r="429" spans="1:18" ht="30.6">
      <c r="A429" s="15">
        <v>11</v>
      </c>
      <c r="B429" s="46">
        <v>16</v>
      </c>
      <c r="C429" s="45" t="s">
        <v>390</v>
      </c>
      <c r="D429" s="45" t="s">
        <v>391</v>
      </c>
      <c r="E429" s="47" t="s">
        <v>42</v>
      </c>
      <c r="F429" s="47" t="s">
        <v>24</v>
      </c>
      <c r="G429" s="46">
        <v>740175</v>
      </c>
      <c r="H429" s="18" t="s">
        <v>368</v>
      </c>
      <c r="I429" s="26" t="str">
        <f t="shared" si="50"/>
        <v>DANILO</v>
      </c>
      <c r="J429" s="26" t="str">
        <f t="shared" si="51"/>
        <v>11Pinheiro - MA16</v>
      </c>
      <c r="K429" s="27" t="str">
        <f>IFERROR(VLOOKUP(J429,Substituicoes!J:J,1,0),"SS")</f>
        <v>SS</v>
      </c>
      <c r="L429" s="27" t="str">
        <f>IFERROR(VLOOKUP(J429,Substituicoes!K:K,1,0),"SS")</f>
        <v>SS</v>
      </c>
      <c r="M429" s="28" t="b">
        <f t="shared" si="52"/>
        <v>1</v>
      </c>
      <c r="N429" s="29">
        <f>IF(AND(K429=L429,LEFT(E429,1)="T"),VLOOKUP(A429,'JOGOS BASE'!A:E,4,0),IF(K429=J429,VLOOKUP(J429,Substituicoes!J:R,6,0),IF(L429=J429,VLOOKUP(Escalacao!J429,Substituicoes!K:R,7,0),0)))</f>
        <v>0</v>
      </c>
      <c r="O429" s="28">
        <f>IF(AND(K429=L429,LEFT(E429,1)="T"),VLOOKUP(A429,'JOGOS BASE'!A:E,5,0),IF(K429=J429,VLOOKUP(J429,Substituicoes!J:R,7,0),IF(L429=J429,VLOOKUP(Escalacao!J429,Substituicoes!K:R,8,0),0)))</f>
        <v>0</v>
      </c>
      <c r="P429" s="28">
        <f t="shared" si="53"/>
        <v>0</v>
      </c>
      <c r="Q429" s="28" t="str">
        <f t="shared" si="54"/>
        <v>1116Pinheiro - MA</v>
      </c>
      <c r="R429" s="28" t="str">
        <f>VLOOKUP(A429,'JOGOS BASE'!A:H,8)</f>
        <v>26.01.2025 - Pinheiro - MA x Moto Club - MA</v>
      </c>
    </row>
    <row r="430" spans="1:18" ht="30.6">
      <c r="A430" s="15">
        <v>11</v>
      </c>
      <c r="B430" s="46">
        <v>17</v>
      </c>
      <c r="C430" s="45" t="s">
        <v>331</v>
      </c>
      <c r="D430" s="45" t="s">
        <v>332</v>
      </c>
      <c r="E430" s="47" t="s">
        <v>42</v>
      </c>
      <c r="F430" s="47" t="s">
        <v>24</v>
      </c>
      <c r="G430" s="46">
        <v>816868</v>
      </c>
      <c r="H430" s="18" t="s">
        <v>368</v>
      </c>
      <c r="I430" s="26" t="str">
        <f t="shared" si="50"/>
        <v>KAYKY</v>
      </c>
      <c r="J430" s="26" t="str">
        <f t="shared" si="51"/>
        <v>11Pinheiro - MA17</v>
      </c>
      <c r="K430" s="27" t="str">
        <f>IFERROR(VLOOKUP(J430,Substituicoes!J:J,1,0),"SS")</f>
        <v>SS</v>
      </c>
      <c r="L430" s="27" t="str">
        <f>IFERROR(VLOOKUP(J430,Substituicoes!K:K,1,0),"SS")</f>
        <v>SS</v>
      </c>
      <c r="M430" s="28" t="b">
        <f t="shared" si="52"/>
        <v>1</v>
      </c>
      <c r="N430" s="29">
        <f>IF(AND(K430=L430,LEFT(E430,1)="T"),VLOOKUP(A430,'JOGOS BASE'!A:E,4,0),IF(K430=J430,VLOOKUP(J430,Substituicoes!J:R,6,0),IF(L430=J430,VLOOKUP(Escalacao!J430,Substituicoes!K:R,7,0),0)))</f>
        <v>0</v>
      </c>
      <c r="O430" s="28">
        <f>IF(AND(K430=L430,LEFT(E430,1)="T"),VLOOKUP(A430,'JOGOS BASE'!A:E,5,0),IF(K430=J430,VLOOKUP(J430,Substituicoes!J:R,7,0),IF(L430=J430,VLOOKUP(Escalacao!J430,Substituicoes!K:R,8,0),0)))</f>
        <v>0</v>
      </c>
      <c r="P430" s="28">
        <f t="shared" si="53"/>
        <v>0</v>
      </c>
      <c r="Q430" s="28" t="str">
        <f t="shared" si="54"/>
        <v>1117Pinheiro - MA</v>
      </c>
      <c r="R430" s="28" t="str">
        <f>VLOOKUP(A430,'JOGOS BASE'!A:H,8)</f>
        <v>26.01.2025 - Pinheiro - MA x Moto Club - MA</v>
      </c>
    </row>
    <row r="431" spans="1:18" ht="30.6">
      <c r="A431" s="15">
        <v>11</v>
      </c>
      <c r="B431" s="46">
        <v>18</v>
      </c>
      <c r="C431" s="45" t="s">
        <v>333</v>
      </c>
      <c r="D431" s="45" t="s">
        <v>334</v>
      </c>
      <c r="E431" s="47" t="s">
        <v>42</v>
      </c>
      <c r="F431" s="47" t="s">
        <v>24</v>
      </c>
      <c r="G431" s="46">
        <v>710709</v>
      </c>
      <c r="H431" s="18" t="s">
        <v>368</v>
      </c>
      <c r="I431" s="26" t="str">
        <f t="shared" si="50"/>
        <v>BASTICO</v>
      </c>
      <c r="J431" s="26" t="str">
        <f t="shared" si="51"/>
        <v>11Pinheiro - MA18</v>
      </c>
      <c r="K431" s="27" t="str">
        <f>IFERROR(VLOOKUP(J431,Substituicoes!J:J,1,0),"SS")</f>
        <v>11Pinheiro - MA18</v>
      </c>
      <c r="L431" s="27" t="str">
        <f>IFERROR(VLOOKUP(J431,Substituicoes!K:K,1,0),"SS")</f>
        <v>SS</v>
      </c>
      <c r="M431" s="28" t="b">
        <f t="shared" si="52"/>
        <v>0</v>
      </c>
      <c r="N431" s="29">
        <f>IF(AND(K431=L431,LEFT(E431,1)="T"),VLOOKUP(A431,'JOGOS BASE'!A:E,4,0),IF(K431=J431,VLOOKUP(J431,Substituicoes!J:R,6,0),IF(L431=J431,VLOOKUP(Escalacao!J431,Substituicoes!K:R,7,0),0)))</f>
        <v>0</v>
      </c>
      <c r="O431" s="28">
        <f>IF(AND(K431=L431,LEFT(E431,1)="T"),VLOOKUP(A431,'JOGOS BASE'!A:E,5,0),IF(K431=J431,VLOOKUP(J431,Substituicoes!J:R,7,0),IF(L431=J431,VLOOKUP(Escalacao!J431,Substituicoes!K:R,8,0),0)))</f>
        <v>31</v>
      </c>
      <c r="P431" s="28">
        <f t="shared" si="53"/>
        <v>31</v>
      </c>
      <c r="Q431" s="28" t="str">
        <f t="shared" si="54"/>
        <v>1118Pinheiro - MA</v>
      </c>
      <c r="R431" s="28" t="str">
        <f>VLOOKUP(A431,'JOGOS BASE'!A:H,8)</f>
        <v>26.01.2025 - Pinheiro - MA x Moto Club - MA</v>
      </c>
    </row>
    <row r="432" spans="1:18" ht="30.6">
      <c r="A432" s="15">
        <v>11</v>
      </c>
      <c r="B432" s="46">
        <v>19</v>
      </c>
      <c r="C432" s="45" t="s">
        <v>392</v>
      </c>
      <c r="D432" s="45" t="s">
        <v>393</v>
      </c>
      <c r="E432" s="47" t="s">
        <v>42</v>
      </c>
      <c r="F432" s="47" t="s">
        <v>56</v>
      </c>
      <c r="G432" s="46">
        <v>894254</v>
      </c>
      <c r="H432" s="18" t="s">
        <v>368</v>
      </c>
      <c r="I432" s="26" t="str">
        <f t="shared" si="50"/>
        <v>ANDERSON</v>
      </c>
      <c r="J432" s="26" t="str">
        <f t="shared" si="51"/>
        <v>11Pinheiro - MA19</v>
      </c>
      <c r="K432" s="27" t="str">
        <f>IFERROR(VLOOKUP(J432,Substituicoes!J:J,1,0),"SS")</f>
        <v>SS</v>
      </c>
      <c r="L432" s="27" t="str">
        <f>IFERROR(VLOOKUP(J432,Substituicoes!K:K,1,0),"SS")</f>
        <v>SS</v>
      </c>
      <c r="M432" s="28" t="b">
        <f t="shared" si="52"/>
        <v>1</v>
      </c>
      <c r="N432" s="29">
        <f>IF(AND(K432=L432,LEFT(E432,1)="T"),VLOOKUP(A432,'JOGOS BASE'!A:E,4,0),IF(K432=J432,VLOOKUP(J432,Substituicoes!J:R,6,0),IF(L432=J432,VLOOKUP(Escalacao!J432,Substituicoes!K:R,7,0),0)))</f>
        <v>0</v>
      </c>
      <c r="O432" s="28">
        <f>IF(AND(K432=L432,LEFT(E432,1)="T"),VLOOKUP(A432,'JOGOS BASE'!A:E,5,0),IF(K432=J432,VLOOKUP(J432,Substituicoes!J:R,7,0),IF(L432=J432,VLOOKUP(Escalacao!J432,Substituicoes!K:R,8,0),0)))</f>
        <v>0</v>
      </c>
      <c r="P432" s="28">
        <f t="shared" si="53"/>
        <v>0</v>
      </c>
      <c r="Q432" s="28" t="str">
        <f t="shared" si="54"/>
        <v>1119Pinheiro - MA</v>
      </c>
      <c r="R432" s="28" t="str">
        <f>VLOOKUP(A432,'JOGOS BASE'!A:H,8)</f>
        <v>26.01.2025 - Pinheiro - MA x Moto Club - MA</v>
      </c>
    </row>
    <row r="433" spans="1:18" ht="20.399999999999999">
      <c r="A433" s="15">
        <v>11</v>
      </c>
      <c r="B433" s="46">
        <v>1</v>
      </c>
      <c r="C433" s="45" t="s">
        <v>172</v>
      </c>
      <c r="D433" s="45" t="s">
        <v>173</v>
      </c>
      <c r="E433" s="47" t="s">
        <v>23</v>
      </c>
      <c r="F433" s="47" t="s">
        <v>24</v>
      </c>
      <c r="G433" s="46">
        <v>432643</v>
      </c>
      <c r="H433" s="18" t="s">
        <v>273</v>
      </c>
      <c r="I433" s="26" t="str">
        <f t="shared" si="50"/>
        <v>Allan</v>
      </c>
      <c r="J433" s="26" t="str">
        <f t="shared" si="51"/>
        <v>11Moto Club - MA1</v>
      </c>
      <c r="K433" s="27" t="str">
        <f>IFERROR(VLOOKUP(J433,Substituicoes!J:J,1,0),"SS")</f>
        <v>SS</v>
      </c>
      <c r="L433" s="27" t="str">
        <f>IFERROR(VLOOKUP(J433,Substituicoes!K:K,1,0),"SS")</f>
        <v>SS</v>
      </c>
      <c r="M433" s="28" t="b">
        <f t="shared" si="52"/>
        <v>1</v>
      </c>
      <c r="N433" s="29">
        <f>IF(AND(K433=L433,LEFT(E433,1)="T"),VLOOKUP(A433,'JOGOS BASE'!A:E,4,0),IF(K433=J433,VLOOKUP(J433,Substituicoes!J:R,6,0),IF(L433=J433,VLOOKUP(Escalacao!J433,Substituicoes!K:R,7,0),0)))</f>
        <v>48</v>
      </c>
      <c r="O433" s="28">
        <f>IF(AND(K433=L433,LEFT(E433,1)="T"),VLOOKUP(A433,'JOGOS BASE'!A:E,5,0),IF(K433=J433,VLOOKUP(J433,Substituicoes!J:R,7,0),IF(L433=J433,VLOOKUP(Escalacao!J433,Substituicoes!K:R,8,0),0)))</f>
        <v>51</v>
      </c>
      <c r="P433" s="28">
        <f t="shared" si="53"/>
        <v>99</v>
      </c>
      <c r="Q433" s="28" t="str">
        <f t="shared" si="54"/>
        <v>111Moto Club - MA</v>
      </c>
      <c r="R433" s="28" t="str">
        <f>VLOOKUP(A433,'JOGOS BASE'!A:H,8)</f>
        <v>26.01.2025 - Pinheiro - MA x Moto Club - MA</v>
      </c>
    </row>
    <row r="434" spans="1:18" ht="20.399999999999999">
      <c r="A434" s="15">
        <v>11</v>
      </c>
      <c r="B434" s="46">
        <v>2</v>
      </c>
      <c r="C434" s="45" t="s">
        <v>683</v>
      </c>
      <c r="D434" s="45" t="s">
        <v>684</v>
      </c>
      <c r="E434" s="47" t="s">
        <v>26</v>
      </c>
      <c r="F434" s="47" t="s">
        <v>56</v>
      </c>
      <c r="G434" s="46">
        <v>784057</v>
      </c>
      <c r="H434" s="18" t="s">
        <v>273</v>
      </c>
      <c r="I434" s="26" t="str">
        <f t="shared" si="50"/>
        <v>Ian</v>
      </c>
      <c r="J434" s="26" t="str">
        <f t="shared" si="51"/>
        <v>11Moto Club - MA2</v>
      </c>
      <c r="K434" s="27" t="str">
        <f>IFERROR(VLOOKUP(J434,Substituicoes!J:J,1,0),"SS")</f>
        <v>SS</v>
      </c>
      <c r="L434" s="27" t="str">
        <f>IFERROR(VLOOKUP(J434,Substituicoes!K:K,1,0),"SS")</f>
        <v>11Moto Club - MA2</v>
      </c>
      <c r="M434" s="28" t="b">
        <f t="shared" si="52"/>
        <v>0</v>
      </c>
      <c r="N434" s="29">
        <f>IF(AND(K434=L434,LEFT(E434,1)="T"),VLOOKUP(A434,'JOGOS BASE'!A:E,4,0),IF(K434=J434,VLOOKUP(J434,Substituicoes!J:R,6,0),IF(L434=J434,VLOOKUP(Escalacao!J434,Substituicoes!K:R,7,0),0)))</f>
        <v>44</v>
      </c>
      <c r="O434" s="28">
        <f>IF(AND(K434=L434,LEFT(E434,1)="T"),VLOOKUP(A434,'JOGOS BASE'!A:E,5,0),IF(K434=J434,VLOOKUP(J434,Substituicoes!J:R,7,0),IF(L434=J434,VLOOKUP(Escalacao!J434,Substituicoes!K:R,8,0),0)))</f>
        <v>0</v>
      </c>
      <c r="P434" s="28">
        <f t="shared" si="53"/>
        <v>44</v>
      </c>
      <c r="Q434" s="28" t="str">
        <f t="shared" si="54"/>
        <v>112Moto Club - MA</v>
      </c>
      <c r="R434" s="28" t="str">
        <f>VLOOKUP(A434,'JOGOS BASE'!A:H,8)</f>
        <v>26.01.2025 - Pinheiro - MA x Moto Club - MA</v>
      </c>
    </row>
    <row r="435" spans="1:18" ht="40.799999999999997">
      <c r="A435" s="15">
        <v>11</v>
      </c>
      <c r="B435" s="46">
        <v>3</v>
      </c>
      <c r="C435" s="45" t="s">
        <v>685</v>
      </c>
      <c r="D435" s="45" t="s">
        <v>686</v>
      </c>
      <c r="E435" s="47" t="s">
        <v>26</v>
      </c>
      <c r="F435" s="47" t="s">
        <v>24</v>
      </c>
      <c r="G435" s="46">
        <v>314288</v>
      </c>
      <c r="H435" s="18" t="s">
        <v>273</v>
      </c>
      <c r="I435" s="26" t="str">
        <f t="shared" si="50"/>
        <v>Yago</v>
      </c>
      <c r="J435" s="26" t="str">
        <f t="shared" si="51"/>
        <v>11Moto Club - MA3</v>
      </c>
      <c r="K435" s="27" t="str">
        <f>IFERROR(VLOOKUP(J435,Substituicoes!J:J,1,0),"SS")</f>
        <v>SS</v>
      </c>
      <c r="L435" s="27" t="str">
        <f>IFERROR(VLOOKUP(J435,Substituicoes!K:K,1,0),"SS")</f>
        <v>SS</v>
      </c>
      <c r="M435" s="28" t="b">
        <f t="shared" si="52"/>
        <v>1</v>
      </c>
      <c r="N435" s="29">
        <f>IF(AND(K435=L435,LEFT(E435,1)="T"),VLOOKUP(A435,'JOGOS BASE'!A:E,4,0),IF(K435=J435,VLOOKUP(J435,Substituicoes!J:R,6,0),IF(L435=J435,VLOOKUP(Escalacao!J435,Substituicoes!K:R,7,0),0)))</f>
        <v>48</v>
      </c>
      <c r="O435" s="28">
        <f>IF(AND(K435=L435,LEFT(E435,1)="T"),VLOOKUP(A435,'JOGOS BASE'!A:E,5,0),IF(K435=J435,VLOOKUP(J435,Substituicoes!J:R,7,0),IF(L435=J435,VLOOKUP(Escalacao!J435,Substituicoes!K:R,8,0),0)))</f>
        <v>51</v>
      </c>
      <c r="P435" s="28">
        <f t="shared" si="53"/>
        <v>99</v>
      </c>
      <c r="Q435" s="28" t="str">
        <f t="shared" si="54"/>
        <v>113Moto Club - MA</v>
      </c>
      <c r="R435" s="28" t="str">
        <f>VLOOKUP(A435,'JOGOS BASE'!A:H,8)</f>
        <v>26.01.2025 - Pinheiro - MA x Moto Club - MA</v>
      </c>
    </row>
    <row r="436" spans="1:18" ht="20.399999999999999">
      <c r="A436" s="15">
        <v>11</v>
      </c>
      <c r="B436" s="46">
        <v>4</v>
      </c>
      <c r="C436" s="45" t="s">
        <v>178</v>
      </c>
      <c r="D436" s="45" t="s">
        <v>179</v>
      </c>
      <c r="E436" s="47" t="s">
        <v>26</v>
      </c>
      <c r="F436" s="47" t="s">
        <v>24</v>
      </c>
      <c r="G436" s="46">
        <v>412439</v>
      </c>
      <c r="H436" s="18" t="s">
        <v>273</v>
      </c>
      <c r="I436" s="26" t="str">
        <f t="shared" si="50"/>
        <v>Mauricio</v>
      </c>
      <c r="J436" s="26" t="str">
        <f t="shared" si="51"/>
        <v>11Moto Club - MA4</v>
      </c>
      <c r="K436" s="27" t="str">
        <f>IFERROR(VLOOKUP(J436,Substituicoes!J:J,1,0),"SS")</f>
        <v>SS</v>
      </c>
      <c r="L436" s="27" t="str">
        <f>IFERROR(VLOOKUP(J436,Substituicoes!K:K,1,0),"SS")</f>
        <v>SS</v>
      </c>
      <c r="M436" s="28" t="b">
        <f t="shared" si="52"/>
        <v>1</v>
      </c>
      <c r="N436" s="29">
        <f>IF(AND(K436=L436,LEFT(E436,1)="T"),VLOOKUP(A436,'JOGOS BASE'!A:E,4,0),IF(K436=J436,VLOOKUP(J436,Substituicoes!J:R,6,0),IF(L436=J436,VLOOKUP(Escalacao!J436,Substituicoes!K:R,7,0),0)))</f>
        <v>48</v>
      </c>
      <c r="O436" s="28">
        <f>IF(AND(K436=L436,LEFT(E436,1)="T"),VLOOKUP(A436,'JOGOS BASE'!A:E,5,0),IF(K436=J436,VLOOKUP(J436,Substituicoes!J:R,7,0),IF(L436=J436,VLOOKUP(Escalacao!J436,Substituicoes!K:R,8,0),0)))</f>
        <v>51</v>
      </c>
      <c r="P436" s="28">
        <f t="shared" si="53"/>
        <v>99</v>
      </c>
      <c r="Q436" s="28" t="str">
        <f t="shared" si="54"/>
        <v>114Moto Club - MA</v>
      </c>
      <c r="R436" s="28" t="str">
        <f>VLOOKUP(A436,'JOGOS BASE'!A:H,8)</f>
        <v>26.01.2025 - Pinheiro - MA x Moto Club - MA</v>
      </c>
    </row>
    <row r="437" spans="1:18" ht="20.399999999999999">
      <c r="A437" s="15">
        <v>11</v>
      </c>
      <c r="B437" s="46">
        <v>5</v>
      </c>
      <c r="C437" s="45" t="s">
        <v>180</v>
      </c>
      <c r="D437" s="45" t="s">
        <v>181</v>
      </c>
      <c r="E437" s="47" t="s">
        <v>26</v>
      </c>
      <c r="F437" s="47" t="s">
        <v>24</v>
      </c>
      <c r="G437" s="46">
        <v>343511</v>
      </c>
      <c r="H437" s="18" t="s">
        <v>273</v>
      </c>
      <c r="I437" s="26" t="str">
        <f t="shared" si="50"/>
        <v>Felipe Dias</v>
      </c>
      <c r="J437" s="26" t="str">
        <f t="shared" si="51"/>
        <v>11Moto Club - MA5</v>
      </c>
      <c r="K437" s="27" t="str">
        <f>IFERROR(VLOOKUP(J437,Substituicoes!J:J,1,0),"SS")</f>
        <v>SS</v>
      </c>
      <c r="L437" s="27" t="str">
        <f>IFERROR(VLOOKUP(J437,Substituicoes!K:K,1,0),"SS")</f>
        <v>11Moto Club - MA5</v>
      </c>
      <c r="M437" s="28" t="b">
        <f t="shared" si="52"/>
        <v>0</v>
      </c>
      <c r="N437" s="29">
        <f>IF(AND(K437=L437,LEFT(E437,1)="T"),VLOOKUP(A437,'JOGOS BASE'!A:E,4,0),IF(K437=J437,VLOOKUP(J437,Substituicoes!J:R,6,0),IF(L437=J437,VLOOKUP(Escalacao!J437,Substituicoes!K:R,7,0),0)))</f>
        <v>48</v>
      </c>
      <c r="O437" s="28">
        <f>IF(AND(K437=L437,LEFT(E437,1)="T"),VLOOKUP(A437,'JOGOS BASE'!A:E,5,0),IF(K437=J437,VLOOKUP(J437,Substituicoes!J:R,7,0),IF(L437=J437,VLOOKUP(Escalacao!J437,Substituicoes!K:R,8,0),0)))</f>
        <v>20</v>
      </c>
      <c r="P437" s="28">
        <f t="shared" si="53"/>
        <v>68</v>
      </c>
      <c r="Q437" s="28" t="str">
        <f t="shared" si="54"/>
        <v>115Moto Club - MA</v>
      </c>
      <c r="R437" s="28" t="str">
        <f>VLOOKUP(A437,'JOGOS BASE'!A:H,8)</f>
        <v>26.01.2025 - Pinheiro - MA x Moto Club - MA</v>
      </c>
    </row>
    <row r="438" spans="1:18" ht="30.6">
      <c r="A438" s="15">
        <v>11</v>
      </c>
      <c r="B438" s="46">
        <v>6</v>
      </c>
      <c r="C438" s="45" t="s">
        <v>182</v>
      </c>
      <c r="D438" s="45" t="s">
        <v>183</v>
      </c>
      <c r="E438" s="47" t="s">
        <v>26</v>
      </c>
      <c r="F438" s="47" t="s">
        <v>24</v>
      </c>
      <c r="G438" s="46">
        <v>708589</v>
      </c>
      <c r="H438" s="18" t="s">
        <v>273</v>
      </c>
      <c r="I438" s="26" t="str">
        <f t="shared" si="50"/>
        <v>GUSTAVO</v>
      </c>
      <c r="J438" s="26" t="str">
        <f t="shared" si="51"/>
        <v>11Moto Club - MA6</v>
      </c>
      <c r="K438" s="27" t="str">
        <f>IFERROR(VLOOKUP(J438,Substituicoes!J:J,1,0),"SS")</f>
        <v>SS</v>
      </c>
      <c r="L438" s="27" t="str">
        <f>IFERROR(VLOOKUP(J438,Substituicoes!K:K,1,0),"SS")</f>
        <v>11Moto Club - MA6</v>
      </c>
      <c r="M438" s="28" t="b">
        <f t="shared" si="52"/>
        <v>0</v>
      </c>
      <c r="N438" s="29">
        <f>IF(AND(K438=L438,LEFT(E438,1)="T"),VLOOKUP(A438,'JOGOS BASE'!A:E,4,0),IF(K438=J438,VLOOKUP(J438,Substituicoes!J:R,6,0),IF(L438=J438,VLOOKUP(Escalacao!J438,Substituicoes!K:R,7,0),0)))</f>
        <v>48</v>
      </c>
      <c r="O438" s="28">
        <f>IF(AND(K438=L438,LEFT(E438,1)="T"),VLOOKUP(A438,'JOGOS BASE'!A:E,5,0),IF(K438=J438,VLOOKUP(J438,Substituicoes!J:R,7,0),IF(L438=J438,VLOOKUP(Escalacao!J438,Substituicoes!K:R,8,0),0)))</f>
        <v>29</v>
      </c>
      <c r="P438" s="28">
        <f t="shared" si="53"/>
        <v>77</v>
      </c>
      <c r="Q438" s="28" t="str">
        <f t="shared" si="54"/>
        <v>116Moto Club - MA</v>
      </c>
      <c r="R438" s="28" t="str">
        <f>VLOOKUP(A438,'JOGOS BASE'!A:H,8)</f>
        <v>26.01.2025 - Pinheiro - MA x Moto Club - MA</v>
      </c>
    </row>
    <row r="439" spans="1:18" ht="30.6">
      <c r="A439" s="15">
        <v>11</v>
      </c>
      <c r="B439" s="46">
        <v>7</v>
      </c>
      <c r="C439" s="45" t="s">
        <v>202</v>
      </c>
      <c r="D439" s="45" t="s">
        <v>203</v>
      </c>
      <c r="E439" s="47" t="s">
        <v>26</v>
      </c>
      <c r="F439" s="47" t="s">
        <v>24</v>
      </c>
      <c r="G439" s="46">
        <v>408375</v>
      </c>
      <c r="H439" s="18" t="s">
        <v>273</v>
      </c>
      <c r="I439" s="26" t="str">
        <f t="shared" si="50"/>
        <v>Wesley</v>
      </c>
      <c r="J439" s="26" t="str">
        <f t="shared" si="51"/>
        <v>11Moto Club - MA7</v>
      </c>
      <c r="K439" s="27" t="str">
        <f>IFERROR(VLOOKUP(J439,Substituicoes!J:J,1,0),"SS")</f>
        <v>SS</v>
      </c>
      <c r="L439" s="27" t="str">
        <f>IFERROR(VLOOKUP(J439,Substituicoes!K:K,1,0),"SS")</f>
        <v>SS</v>
      </c>
      <c r="M439" s="28" t="b">
        <f t="shared" si="52"/>
        <v>1</v>
      </c>
      <c r="N439" s="29">
        <f>IF(AND(K439=L439,LEFT(E439,1)="T"),VLOOKUP(A439,'JOGOS BASE'!A:E,4,0),IF(K439=J439,VLOOKUP(J439,Substituicoes!J:R,6,0),IF(L439=J439,VLOOKUP(Escalacao!J439,Substituicoes!K:R,7,0),0)))</f>
        <v>48</v>
      </c>
      <c r="O439" s="28">
        <f>IF(AND(K439=L439,LEFT(E439,1)="T"),VLOOKUP(A439,'JOGOS BASE'!A:E,5,0),IF(K439=J439,VLOOKUP(J439,Substituicoes!J:R,7,0),IF(L439=J439,VLOOKUP(Escalacao!J439,Substituicoes!K:R,8,0),0)))</f>
        <v>51</v>
      </c>
      <c r="P439" s="28">
        <f t="shared" si="53"/>
        <v>99</v>
      </c>
      <c r="Q439" s="28" t="str">
        <f t="shared" si="54"/>
        <v>117Moto Club - MA</v>
      </c>
      <c r="R439" s="28" t="str">
        <f>VLOOKUP(A439,'JOGOS BASE'!A:H,8)</f>
        <v>26.01.2025 - Pinheiro - MA x Moto Club - MA</v>
      </c>
    </row>
    <row r="440" spans="1:18" ht="30.6">
      <c r="A440" s="15">
        <v>11</v>
      </c>
      <c r="B440" s="46">
        <v>8</v>
      </c>
      <c r="C440" s="45" t="s">
        <v>687</v>
      </c>
      <c r="D440" s="45" t="s">
        <v>688</v>
      </c>
      <c r="E440" s="47" t="s">
        <v>26</v>
      </c>
      <c r="F440" s="47" t="s">
        <v>24</v>
      </c>
      <c r="G440" s="46">
        <v>431934</v>
      </c>
      <c r="H440" s="18" t="s">
        <v>273</v>
      </c>
      <c r="I440" s="26" t="str">
        <f t="shared" si="50"/>
        <v>Orleans</v>
      </c>
      <c r="J440" s="26" t="str">
        <f t="shared" si="51"/>
        <v>11Moto Club - MA8</v>
      </c>
      <c r="K440" s="27" t="str">
        <f>IFERROR(VLOOKUP(J440,Substituicoes!J:J,1,0),"SS")</f>
        <v>SS</v>
      </c>
      <c r="L440" s="27" t="str">
        <f>IFERROR(VLOOKUP(J440,Substituicoes!K:K,1,0),"SS")</f>
        <v>11Moto Club - MA8</v>
      </c>
      <c r="M440" s="28" t="b">
        <f t="shared" si="52"/>
        <v>0</v>
      </c>
      <c r="N440" s="29">
        <f>IF(AND(K440=L440,LEFT(E440,1)="T"),VLOOKUP(A440,'JOGOS BASE'!A:E,4,0),IF(K440=J440,VLOOKUP(J440,Substituicoes!J:R,6,0),IF(L440=J440,VLOOKUP(Escalacao!J440,Substituicoes!K:R,7,0),0)))</f>
        <v>48</v>
      </c>
      <c r="O440" s="28">
        <f>IF(AND(K440=L440,LEFT(E440,1)="T"),VLOOKUP(A440,'JOGOS BASE'!A:E,5,0),IF(K440=J440,VLOOKUP(J440,Substituicoes!J:R,7,0),IF(L440=J440,VLOOKUP(Escalacao!J440,Substituicoes!K:R,8,0),0)))</f>
        <v>0</v>
      </c>
      <c r="P440" s="28">
        <f t="shared" si="53"/>
        <v>48</v>
      </c>
      <c r="Q440" s="28" t="str">
        <f t="shared" si="54"/>
        <v>118Moto Club - MA</v>
      </c>
      <c r="R440" s="28" t="str">
        <f>VLOOKUP(A440,'JOGOS BASE'!A:H,8)</f>
        <v>26.01.2025 - Pinheiro - MA x Moto Club - MA</v>
      </c>
    </row>
    <row r="441" spans="1:18" ht="30.6">
      <c r="A441" s="15">
        <v>11</v>
      </c>
      <c r="B441" s="46">
        <v>9</v>
      </c>
      <c r="C441" s="45" t="s">
        <v>689</v>
      </c>
      <c r="D441" s="45" t="s">
        <v>690</v>
      </c>
      <c r="E441" s="47" t="s">
        <v>26</v>
      </c>
      <c r="F441" s="47" t="s">
        <v>24</v>
      </c>
      <c r="G441" s="46">
        <v>309323</v>
      </c>
      <c r="H441" s="18" t="s">
        <v>273</v>
      </c>
      <c r="I441" s="26" t="str">
        <f t="shared" si="50"/>
        <v>Magno</v>
      </c>
      <c r="J441" s="26" t="str">
        <f t="shared" si="51"/>
        <v>11Moto Club - MA9</v>
      </c>
      <c r="K441" s="27" t="str">
        <f>IFERROR(VLOOKUP(J441,Substituicoes!J:J,1,0),"SS")</f>
        <v>SS</v>
      </c>
      <c r="L441" s="27" t="str">
        <f>IFERROR(VLOOKUP(J441,Substituicoes!K:K,1,0),"SS")</f>
        <v>11Moto Club - MA9</v>
      </c>
      <c r="M441" s="28" t="b">
        <f t="shared" si="52"/>
        <v>0</v>
      </c>
      <c r="N441" s="29">
        <f>IF(AND(K441=L441,LEFT(E441,1)="T"),VLOOKUP(A441,'JOGOS BASE'!A:E,4,0),IF(K441=J441,VLOOKUP(J441,Substituicoes!J:R,6,0),IF(L441=J441,VLOOKUP(Escalacao!J441,Substituicoes!K:R,7,0),0)))</f>
        <v>48</v>
      </c>
      <c r="O441" s="28">
        <f>IF(AND(K441=L441,LEFT(E441,1)="T"),VLOOKUP(A441,'JOGOS BASE'!A:E,5,0),IF(K441=J441,VLOOKUP(J441,Substituicoes!J:R,7,0),IF(L441=J441,VLOOKUP(Escalacao!J441,Substituicoes!K:R,8,0),0)))</f>
        <v>20</v>
      </c>
      <c r="P441" s="28">
        <f t="shared" si="53"/>
        <v>68</v>
      </c>
      <c r="Q441" s="28" t="str">
        <f t="shared" si="54"/>
        <v>119Moto Club - MA</v>
      </c>
      <c r="R441" s="28" t="str">
        <f>VLOOKUP(A441,'JOGOS BASE'!A:H,8)</f>
        <v>26.01.2025 - Pinheiro - MA x Moto Club - MA</v>
      </c>
    </row>
    <row r="442" spans="1:18" ht="30.6">
      <c r="A442" s="15">
        <v>11</v>
      </c>
      <c r="B442" s="46">
        <v>10</v>
      </c>
      <c r="C442" s="45" t="s">
        <v>192</v>
      </c>
      <c r="D442" s="45" t="s">
        <v>193</v>
      </c>
      <c r="E442" s="47" t="s">
        <v>26</v>
      </c>
      <c r="F442" s="47" t="s">
        <v>24</v>
      </c>
      <c r="G442" s="46">
        <v>438976</v>
      </c>
      <c r="H442" s="18" t="s">
        <v>273</v>
      </c>
      <c r="I442" s="26" t="str">
        <f t="shared" si="50"/>
        <v>Danilo</v>
      </c>
      <c r="J442" s="26" t="str">
        <f t="shared" si="51"/>
        <v>11Moto Club - MA10</v>
      </c>
      <c r="K442" s="27" t="str">
        <f>IFERROR(VLOOKUP(J442,Substituicoes!J:J,1,0),"SS")</f>
        <v>SS</v>
      </c>
      <c r="L442" s="27" t="str">
        <f>IFERROR(VLOOKUP(J442,Substituicoes!K:K,1,0),"SS")</f>
        <v>SS</v>
      </c>
      <c r="M442" s="28" t="b">
        <f t="shared" si="52"/>
        <v>1</v>
      </c>
      <c r="N442" s="29">
        <f>IF(AND(K442=L442,LEFT(E442,1)="T"),VLOOKUP(A442,'JOGOS BASE'!A:E,4,0),IF(K442=J442,VLOOKUP(J442,Substituicoes!J:R,6,0),IF(L442=J442,VLOOKUP(Escalacao!J442,Substituicoes!K:R,7,0),0)))</f>
        <v>48</v>
      </c>
      <c r="O442" s="28">
        <f>IF(AND(K442=L442,LEFT(E442,1)="T"),VLOOKUP(A442,'JOGOS BASE'!A:E,5,0),IF(K442=J442,VLOOKUP(J442,Substituicoes!J:R,7,0),IF(L442=J442,VLOOKUP(Escalacao!J442,Substituicoes!K:R,8,0),0)))</f>
        <v>51</v>
      </c>
      <c r="P442" s="28">
        <f t="shared" si="53"/>
        <v>99</v>
      </c>
      <c r="Q442" s="28" t="str">
        <f t="shared" si="54"/>
        <v>1110Moto Club - MA</v>
      </c>
      <c r="R442" s="28" t="str">
        <f>VLOOKUP(A442,'JOGOS BASE'!A:H,8)</f>
        <v>26.01.2025 - Pinheiro - MA x Moto Club - MA</v>
      </c>
    </row>
    <row r="443" spans="1:18" ht="30.6">
      <c r="A443" s="15">
        <v>11</v>
      </c>
      <c r="B443" s="46">
        <v>11</v>
      </c>
      <c r="C443" s="45" t="s">
        <v>184</v>
      </c>
      <c r="D443" s="45" t="s">
        <v>185</v>
      </c>
      <c r="E443" s="47" t="s">
        <v>26</v>
      </c>
      <c r="F443" s="47" t="s">
        <v>24</v>
      </c>
      <c r="G443" s="46">
        <v>562612</v>
      </c>
      <c r="H443" s="18" t="s">
        <v>273</v>
      </c>
      <c r="I443" s="26" t="str">
        <f t="shared" si="50"/>
        <v>Gustavo</v>
      </c>
      <c r="J443" s="26" t="str">
        <f t="shared" si="51"/>
        <v>11Moto Club - MA11</v>
      </c>
      <c r="K443" s="27" t="str">
        <f>IFERROR(VLOOKUP(J443,Substituicoes!J:J,1,0),"SS")</f>
        <v>SS</v>
      </c>
      <c r="L443" s="27" t="str">
        <f>IFERROR(VLOOKUP(J443,Substituicoes!K:K,1,0),"SS")</f>
        <v>SS</v>
      </c>
      <c r="M443" s="28" t="b">
        <f t="shared" si="52"/>
        <v>1</v>
      </c>
      <c r="N443" s="29">
        <f>IF(AND(K443=L443,LEFT(E443,1)="T"),VLOOKUP(A443,'JOGOS BASE'!A:E,4,0),IF(K443=J443,VLOOKUP(J443,Substituicoes!J:R,6,0),IF(L443=J443,VLOOKUP(Escalacao!J443,Substituicoes!K:R,7,0),0)))</f>
        <v>48</v>
      </c>
      <c r="O443" s="28">
        <f>IF(AND(K443=L443,LEFT(E443,1)="T"),VLOOKUP(A443,'JOGOS BASE'!A:E,5,0),IF(K443=J443,VLOOKUP(J443,Substituicoes!J:R,7,0),IF(L443=J443,VLOOKUP(Escalacao!J443,Substituicoes!K:R,8,0),0)))</f>
        <v>51</v>
      </c>
      <c r="P443" s="28">
        <f t="shared" si="53"/>
        <v>99</v>
      </c>
      <c r="Q443" s="28" t="str">
        <f t="shared" si="54"/>
        <v>1111Moto Club - MA</v>
      </c>
      <c r="R443" s="28" t="str">
        <f>VLOOKUP(A443,'JOGOS BASE'!A:H,8)</f>
        <v>26.01.2025 - Pinheiro - MA x Moto Club - MA</v>
      </c>
    </row>
    <row r="444" spans="1:18" ht="20.399999999999999">
      <c r="A444" s="15">
        <v>11</v>
      </c>
      <c r="B444" s="46">
        <v>12</v>
      </c>
      <c r="C444" s="45" t="s">
        <v>212</v>
      </c>
      <c r="D444" s="45" t="s">
        <v>213</v>
      </c>
      <c r="E444" s="47" t="s">
        <v>40</v>
      </c>
      <c r="F444" s="47" t="s">
        <v>24</v>
      </c>
      <c r="G444" s="46">
        <v>423057</v>
      </c>
      <c r="H444" s="18" t="s">
        <v>273</v>
      </c>
      <c r="I444" s="26" t="str">
        <f t="shared" si="50"/>
        <v>Vanilton</v>
      </c>
      <c r="J444" s="26" t="str">
        <f t="shared" si="51"/>
        <v>11Moto Club - MA12</v>
      </c>
      <c r="K444" s="27" t="str">
        <f>IFERROR(VLOOKUP(J444,Substituicoes!J:J,1,0),"SS")</f>
        <v>SS</v>
      </c>
      <c r="L444" s="27" t="str">
        <f>IFERROR(VLOOKUP(J444,Substituicoes!K:K,1,0),"SS")</f>
        <v>SS</v>
      </c>
      <c r="M444" s="28" t="b">
        <f t="shared" si="52"/>
        <v>1</v>
      </c>
      <c r="N444" s="29">
        <f>IF(AND(K444=L444,LEFT(E444,1)="T"),VLOOKUP(A444,'JOGOS BASE'!A:E,4,0),IF(K444=J444,VLOOKUP(J444,Substituicoes!J:R,6,0),IF(L444=J444,VLOOKUP(Escalacao!J444,Substituicoes!K:R,7,0),0)))</f>
        <v>0</v>
      </c>
      <c r="O444" s="28">
        <f>IF(AND(K444=L444,LEFT(E444,1)="T"),VLOOKUP(A444,'JOGOS BASE'!A:E,5,0),IF(K444=J444,VLOOKUP(J444,Substituicoes!J:R,7,0),IF(L444=J444,VLOOKUP(Escalacao!J444,Substituicoes!K:R,8,0),0)))</f>
        <v>0</v>
      </c>
      <c r="P444" s="28">
        <f t="shared" si="53"/>
        <v>0</v>
      </c>
      <c r="Q444" s="28" t="str">
        <f t="shared" si="54"/>
        <v>1112Moto Club - MA</v>
      </c>
      <c r="R444" s="28" t="str">
        <f>VLOOKUP(A444,'JOGOS BASE'!A:H,8)</f>
        <v>26.01.2025 - Pinheiro - MA x Moto Club - MA</v>
      </c>
    </row>
    <row r="445" spans="1:18" ht="30.6">
      <c r="A445" s="15">
        <v>11</v>
      </c>
      <c r="B445" s="46">
        <v>13</v>
      </c>
      <c r="C445" s="45" t="s">
        <v>691</v>
      </c>
      <c r="D445" s="45" t="s">
        <v>692</v>
      </c>
      <c r="E445" s="47" t="s">
        <v>42</v>
      </c>
      <c r="F445" s="47" t="s">
        <v>24</v>
      </c>
      <c r="G445" s="46">
        <v>646632</v>
      </c>
      <c r="H445" s="18" t="s">
        <v>273</v>
      </c>
      <c r="I445" s="26" t="str">
        <f t="shared" si="50"/>
        <v>FERNANDO</v>
      </c>
      <c r="J445" s="26" t="str">
        <f t="shared" si="51"/>
        <v>11Moto Club - MA13</v>
      </c>
      <c r="K445" s="27" t="str">
        <f>IFERROR(VLOOKUP(J445,Substituicoes!J:J,1,0),"SS")</f>
        <v>SS</v>
      </c>
      <c r="L445" s="27" t="str">
        <f>IFERROR(VLOOKUP(J445,Substituicoes!K:K,1,0),"SS")</f>
        <v>SS</v>
      </c>
      <c r="M445" s="28" t="b">
        <f t="shared" si="52"/>
        <v>1</v>
      </c>
      <c r="N445" s="29">
        <f>IF(AND(K445=L445,LEFT(E445,1)="T"),VLOOKUP(A445,'JOGOS BASE'!A:E,4,0),IF(K445=J445,VLOOKUP(J445,Substituicoes!J:R,6,0),IF(L445=J445,VLOOKUP(Escalacao!J445,Substituicoes!K:R,7,0),0)))</f>
        <v>0</v>
      </c>
      <c r="O445" s="28">
        <f>IF(AND(K445=L445,LEFT(E445,1)="T"),VLOOKUP(A445,'JOGOS BASE'!A:E,5,0),IF(K445=J445,VLOOKUP(J445,Substituicoes!J:R,7,0),IF(L445=J445,VLOOKUP(Escalacao!J445,Substituicoes!K:R,8,0),0)))</f>
        <v>0</v>
      </c>
      <c r="P445" s="28">
        <f t="shared" si="53"/>
        <v>0</v>
      </c>
      <c r="Q445" s="28" t="str">
        <f t="shared" si="54"/>
        <v>1113Moto Club - MA</v>
      </c>
      <c r="R445" s="28" t="str">
        <f>VLOOKUP(A445,'JOGOS BASE'!A:H,8)</f>
        <v>26.01.2025 - Pinheiro - MA x Moto Club - MA</v>
      </c>
    </row>
    <row r="446" spans="1:18" ht="30.6">
      <c r="A446" s="15">
        <v>11</v>
      </c>
      <c r="B446" s="46">
        <v>14</v>
      </c>
      <c r="C446" s="45" t="s">
        <v>174</v>
      </c>
      <c r="D446" s="45" t="s">
        <v>175</v>
      </c>
      <c r="E446" s="47" t="s">
        <v>42</v>
      </c>
      <c r="F446" s="47" t="s">
        <v>24</v>
      </c>
      <c r="G446" s="46">
        <v>320977</v>
      </c>
      <c r="H446" s="18" t="s">
        <v>273</v>
      </c>
      <c r="I446" s="26" t="str">
        <f t="shared" si="50"/>
        <v>Vitor</v>
      </c>
      <c r="J446" s="26" t="str">
        <f t="shared" si="51"/>
        <v>11Moto Club - MA14</v>
      </c>
      <c r="K446" s="27" t="str">
        <f>IFERROR(VLOOKUP(J446,Substituicoes!J:J,1,0),"SS")</f>
        <v>SS</v>
      </c>
      <c r="L446" s="27" t="str">
        <f>IFERROR(VLOOKUP(J446,Substituicoes!K:K,1,0),"SS")</f>
        <v>SS</v>
      </c>
      <c r="M446" s="28" t="b">
        <f t="shared" si="52"/>
        <v>1</v>
      </c>
      <c r="N446" s="29">
        <f>IF(AND(K446=L446,LEFT(E446,1)="T"),VLOOKUP(A446,'JOGOS BASE'!A:E,4,0),IF(K446=J446,VLOOKUP(J446,Substituicoes!J:R,6,0),IF(L446=J446,VLOOKUP(Escalacao!J446,Substituicoes!K:R,7,0),0)))</f>
        <v>0</v>
      </c>
      <c r="O446" s="28">
        <f>IF(AND(K446=L446,LEFT(E446,1)="T"),VLOOKUP(A446,'JOGOS BASE'!A:E,5,0),IF(K446=J446,VLOOKUP(J446,Substituicoes!J:R,7,0),IF(L446=J446,VLOOKUP(Escalacao!J446,Substituicoes!K:R,8,0),0)))</f>
        <v>0</v>
      </c>
      <c r="P446" s="28">
        <f t="shared" si="53"/>
        <v>0</v>
      </c>
      <c r="Q446" s="28" t="str">
        <f t="shared" si="54"/>
        <v>1114Moto Club - MA</v>
      </c>
      <c r="R446" s="28" t="str">
        <f>VLOOKUP(A446,'JOGOS BASE'!A:H,8)</f>
        <v>26.01.2025 - Pinheiro - MA x Moto Club - MA</v>
      </c>
    </row>
    <row r="447" spans="1:18" ht="30.6">
      <c r="A447" s="15">
        <v>11</v>
      </c>
      <c r="B447" s="46">
        <v>15</v>
      </c>
      <c r="C447" s="45" t="s">
        <v>198</v>
      </c>
      <c r="D447" s="45" t="s">
        <v>199</v>
      </c>
      <c r="E447" s="47" t="s">
        <v>42</v>
      </c>
      <c r="F447" s="47" t="s">
        <v>24</v>
      </c>
      <c r="G447" s="46">
        <v>647538</v>
      </c>
      <c r="H447" s="18" t="s">
        <v>273</v>
      </c>
      <c r="I447" s="26" t="str">
        <f t="shared" si="50"/>
        <v>Mauricio G ...</v>
      </c>
      <c r="J447" s="26" t="str">
        <f t="shared" si="51"/>
        <v>11Moto Club - MA15</v>
      </c>
      <c r="K447" s="27" t="str">
        <f>IFERROR(VLOOKUP(J447,Substituicoes!J:J,1,0),"SS")</f>
        <v>11Moto Club - MA15</v>
      </c>
      <c r="L447" s="27" t="str">
        <f>IFERROR(VLOOKUP(J447,Substituicoes!K:K,1,0),"SS")</f>
        <v>SS</v>
      </c>
      <c r="M447" s="28" t="b">
        <f t="shared" si="52"/>
        <v>0</v>
      </c>
      <c r="N447" s="29">
        <f>IF(AND(K447=L447,LEFT(E447,1)="T"),VLOOKUP(A447,'JOGOS BASE'!A:E,4,0),IF(K447=J447,VLOOKUP(J447,Substituicoes!J:R,6,0),IF(L447=J447,VLOOKUP(Escalacao!J447,Substituicoes!K:R,7,0),0)))</f>
        <v>0</v>
      </c>
      <c r="O447" s="28">
        <f>IF(AND(K447=L447,LEFT(E447,1)="T"),VLOOKUP(A447,'JOGOS BASE'!A:E,5,0),IF(K447=J447,VLOOKUP(J447,Substituicoes!J:R,7,0),IF(L447=J447,VLOOKUP(Escalacao!J447,Substituicoes!K:R,8,0),0)))</f>
        <v>51</v>
      </c>
      <c r="P447" s="28">
        <f t="shared" si="53"/>
        <v>51</v>
      </c>
      <c r="Q447" s="28" t="str">
        <f t="shared" si="54"/>
        <v>1115Moto Club - MA</v>
      </c>
      <c r="R447" s="28" t="str">
        <f>VLOOKUP(A447,'JOGOS BASE'!A:H,8)</f>
        <v>26.01.2025 - Pinheiro - MA x Moto Club - MA</v>
      </c>
    </row>
    <row r="448" spans="1:18" ht="30.6">
      <c r="A448" s="15">
        <v>11</v>
      </c>
      <c r="B448" s="46">
        <v>16</v>
      </c>
      <c r="C448" s="45" t="s">
        <v>200</v>
      </c>
      <c r="D448" s="45" t="s">
        <v>201</v>
      </c>
      <c r="E448" s="47" t="s">
        <v>42</v>
      </c>
      <c r="F448" s="47" t="s">
        <v>24</v>
      </c>
      <c r="G448" s="46">
        <v>500772</v>
      </c>
      <c r="H448" s="18" t="s">
        <v>273</v>
      </c>
      <c r="I448" s="26" t="str">
        <f t="shared" si="50"/>
        <v>Matheus Silva</v>
      </c>
      <c r="J448" s="26" t="str">
        <f t="shared" si="51"/>
        <v>11Moto Club - MA16</v>
      </c>
      <c r="K448" s="27" t="str">
        <f>IFERROR(VLOOKUP(J448,Substituicoes!J:J,1,0),"SS")</f>
        <v>11Moto Club - MA16</v>
      </c>
      <c r="L448" s="27" t="str">
        <f>IFERROR(VLOOKUP(J448,Substituicoes!K:K,1,0),"SS")</f>
        <v>SS</v>
      </c>
      <c r="M448" s="28" t="b">
        <f t="shared" si="52"/>
        <v>0</v>
      </c>
      <c r="N448" s="29">
        <f>IF(AND(K448=L448,LEFT(E448,1)="T"),VLOOKUP(A448,'JOGOS BASE'!A:E,4,0),IF(K448=J448,VLOOKUP(J448,Substituicoes!J:R,6,0),IF(L448=J448,VLOOKUP(Escalacao!J448,Substituicoes!K:R,7,0),0)))</f>
        <v>0</v>
      </c>
      <c r="O448" s="28">
        <f>IF(AND(K448=L448,LEFT(E448,1)="T"),VLOOKUP(A448,'JOGOS BASE'!A:E,5,0),IF(K448=J448,VLOOKUP(J448,Substituicoes!J:R,7,0),IF(L448=J448,VLOOKUP(Escalacao!J448,Substituicoes!K:R,8,0),0)))</f>
        <v>22</v>
      </c>
      <c r="P448" s="28">
        <f t="shared" si="53"/>
        <v>22</v>
      </c>
      <c r="Q448" s="28" t="str">
        <f t="shared" si="54"/>
        <v>1116Moto Club - MA</v>
      </c>
      <c r="R448" s="28" t="str">
        <f>VLOOKUP(A448,'JOGOS BASE'!A:H,8)</f>
        <v>26.01.2025 - Pinheiro - MA x Moto Club - MA</v>
      </c>
    </row>
    <row r="449" spans="1:18" ht="20.399999999999999">
      <c r="A449" s="15">
        <v>11</v>
      </c>
      <c r="B449" s="46">
        <v>17</v>
      </c>
      <c r="C449" s="45" t="s">
        <v>190</v>
      </c>
      <c r="D449" s="45" t="s">
        <v>191</v>
      </c>
      <c r="E449" s="47" t="s">
        <v>42</v>
      </c>
      <c r="F449" s="47" t="s">
        <v>24</v>
      </c>
      <c r="G449" s="46">
        <v>302560</v>
      </c>
      <c r="H449" s="18" t="s">
        <v>273</v>
      </c>
      <c r="I449" s="26" t="str">
        <f t="shared" si="50"/>
        <v>DANILO PIRE</v>
      </c>
      <c r="J449" s="26" t="str">
        <f t="shared" si="51"/>
        <v>11Moto Club - MA17</v>
      </c>
      <c r="K449" s="27" t="str">
        <f>IFERROR(VLOOKUP(J449,Substituicoes!J:J,1,0),"SS")</f>
        <v>11Moto Club - MA17</v>
      </c>
      <c r="L449" s="27" t="str">
        <f>IFERROR(VLOOKUP(J449,Substituicoes!K:K,1,0),"SS")</f>
        <v>SS</v>
      </c>
      <c r="M449" s="28" t="b">
        <f t="shared" si="52"/>
        <v>0</v>
      </c>
      <c r="N449" s="29">
        <f>IF(AND(K449=L449,LEFT(E449,1)="T"),VLOOKUP(A449,'JOGOS BASE'!A:E,4,0),IF(K449=J449,VLOOKUP(J449,Substituicoes!J:R,6,0),IF(L449=J449,VLOOKUP(Escalacao!J449,Substituicoes!K:R,7,0),0)))</f>
        <v>0</v>
      </c>
      <c r="O449" s="28">
        <f>IF(AND(K449=L449,LEFT(E449,1)="T"),VLOOKUP(A449,'JOGOS BASE'!A:E,5,0),IF(K449=J449,VLOOKUP(J449,Substituicoes!J:R,7,0),IF(L449=J449,VLOOKUP(Escalacao!J449,Substituicoes!K:R,8,0),0)))</f>
        <v>31</v>
      </c>
      <c r="P449" s="28">
        <f t="shared" si="53"/>
        <v>31</v>
      </c>
      <c r="Q449" s="28" t="str">
        <f t="shared" si="54"/>
        <v>1117Moto Club - MA</v>
      </c>
      <c r="R449" s="28" t="str">
        <f>VLOOKUP(A449,'JOGOS BASE'!A:H,8)</f>
        <v>26.01.2025 - Pinheiro - MA x Moto Club - MA</v>
      </c>
    </row>
    <row r="450" spans="1:18" ht="20.399999999999999">
      <c r="A450" s="15">
        <v>11</v>
      </c>
      <c r="B450" s="46">
        <v>18</v>
      </c>
      <c r="C450" s="45" t="s">
        <v>693</v>
      </c>
      <c r="D450" s="45" t="s">
        <v>189</v>
      </c>
      <c r="E450" s="47" t="s">
        <v>42</v>
      </c>
      <c r="F450" s="47" t="s">
        <v>24</v>
      </c>
      <c r="G450" s="46">
        <v>595794</v>
      </c>
      <c r="H450" s="18" t="s">
        <v>273</v>
      </c>
      <c r="I450" s="26" t="str">
        <f t="shared" si="50"/>
        <v>wiliam bol ...</v>
      </c>
      <c r="J450" s="26" t="str">
        <f t="shared" si="51"/>
        <v>11Moto Club - MA18</v>
      </c>
      <c r="K450" s="27" t="str">
        <f>IFERROR(VLOOKUP(J450,Substituicoes!J:J,1,0),"SS")</f>
        <v>11Moto Club - MA18</v>
      </c>
      <c r="L450" s="27" t="str">
        <f>IFERROR(VLOOKUP(J450,Substituicoes!K:K,1,0),"SS")</f>
        <v>SS</v>
      </c>
      <c r="M450" s="28" t="b">
        <f t="shared" si="52"/>
        <v>0</v>
      </c>
      <c r="N450" s="29">
        <f>IF(AND(K450=L450,LEFT(E450,1)="T"),VLOOKUP(A450,'JOGOS BASE'!A:E,4,0),IF(K450=J450,VLOOKUP(J450,Substituicoes!J:R,6,0),IF(L450=J450,VLOOKUP(Escalacao!J450,Substituicoes!K:R,7,0),0)))</f>
        <v>4</v>
      </c>
      <c r="O450" s="28">
        <f>IF(AND(K450=L450,LEFT(E450,1)="T"),VLOOKUP(A450,'JOGOS BASE'!A:E,5,0),IF(K450=J450,VLOOKUP(J450,Substituicoes!J:R,7,0),IF(L450=J450,VLOOKUP(Escalacao!J450,Substituicoes!K:R,8,0),0)))</f>
        <v>51</v>
      </c>
      <c r="P450" s="28">
        <f t="shared" si="53"/>
        <v>55</v>
      </c>
      <c r="Q450" s="28" t="str">
        <f t="shared" si="54"/>
        <v>1118Moto Club - MA</v>
      </c>
      <c r="R450" s="28" t="str">
        <f>VLOOKUP(A450,'JOGOS BASE'!A:H,8)</f>
        <v>26.01.2025 - Pinheiro - MA x Moto Club - MA</v>
      </c>
    </row>
    <row r="451" spans="1:18" ht="30.6">
      <c r="A451" s="15">
        <v>11</v>
      </c>
      <c r="B451" s="46">
        <v>19</v>
      </c>
      <c r="C451" s="45" t="s">
        <v>206</v>
      </c>
      <c r="D451" s="45" t="s">
        <v>207</v>
      </c>
      <c r="E451" s="47" t="s">
        <v>42</v>
      </c>
      <c r="F451" s="47" t="s">
        <v>24</v>
      </c>
      <c r="G451" s="46">
        <v>597469</v>
      </c>
      <c r="H451" s="18" t="s">
        <v>273</v>
      </c>
      <c r="I451" s="26" t="str">
        <f t="shared" si="50"/>
        <v>Warllem</v>
      </c>
      <c r="J451" s="26" t="str">
        <f t="shared" si="51"/>
        <v>11Moto Club - MA19</v>
      </c>
      <c r="K451" s="27" t="str">
        <f>IFERROR(VLOOKUP(J451,Substituicoes!J:J,1,0),"SS")</f>
        <v>11Moto Club - MA19</v>
      </c>
      <c r="L451" s="27" t="str">
        <f>IFERROR(VLOOKUP(J451,Substituicoes!K:K,1,0),"SS")</f>
        <v>SS</v>
      </c>
      <c r="M451" s="28" t="b">
        <f t="shared" si="52"/>
        <v>0</v>
      </c>
      <c r="N451" s="29">
        <f>IF(AND(K451=L451,LEFT(E451,1)="T"),VLOOKUP(A451,'JOGOS BASE'!A:E,4,0),IF(K451=J451,VLOOKUP(J451,Substituicoes!J:R,6,0),IF(L451=J451,VLOOKUP(Escalacao!J451,Substituicoes!K:R,7,0),0)))</f>
        <v>0</v>
      </c>
      <c r="O451" s="28">
        <f>IF(AND(K451=L451,LEFT(E451,1)="T"),VLOOKUP(A451,'JOGOS BASE'!A:E,5,0),IF(K451=J451,VLOOKUP(J451,Substituicoes!J:R,7,0),IF(L451=J451,VLOOKUP(Escalacao!J451,Substituicoes!K:R,8,0),0)))</f>
        <v>31</v>
      </c>
      <c r="P451" s="28">
        <f t="shared" si="53"/>
        <v>31</v>
      </c>
      <c r="Q451" s="28" t="str">
        <f t="shared" si="54"/>
        <v>1119Moto Club - MA</v>
      </c>
      <c r="R451" s="28" t="str">
        <f>VLOOKUP(A451,'JOGOS BASE'!A:H,8)</f>
        <v>26.01.2025 - Pinheiro - MA x Moto Club - MA</v>
      </c>
    </row>
    <row r="452" spans="1:18" ht="30.6">
      <c r="A452" s="15">
        <v>11</v>
      </c>
      <c r="B452" s="46">
        <v>20</v>
      </c>
      <c r="C452" s="45" t="s">
        <v>210</v>
      </c>
      <c r="D452" s="45" t="s">
        <v>211</v>
      </c>
      <c r="E452" s="47" t="s">
        <v>42</v>
      </c>
      <c r="F452" s="47" t="s">
        <v>24</v>
      </c>
      <c r="G452" s="46">
        <v>605965</v>
      </c>
      <c r="H452" s="18" t="s">
        <v>273</v>
      </c>
      <c r="I452" s="26" t="str">
        <f t="shared" si="50"/>
        <v>MATHEUS</v>
      </c>
      <c r="J452" s="26" t="str">
        <f t="shared" si="51"/>
        <v>11Moto Club - MA20</v>
      </c>
      <c r="K452" s="27" t="str">
        <f>IFERROR(VLOOKUP(J452,Substituicoes!J:J,1,0),"SS")</f>
        <v>SS</v>
      </c>
      <c r="L452" s="27" t="str">
        <f>IFERROR(VLOOKUP(J452,Substituicoes!K:K,1,0),"SS")</f>
        <v>SS</v>
      </c>
      <c r="M452" s="28" t="b">
        <f t="shared" si="52"/>
        <v>1</v>
      </c>
      <c r="N452" s="29">
        <f>IF(AND(K452=L452,LEFT(E452,1)="T"),VLOOKUP(A452,'JOGOS BASE'!A:E,4,0),IF(K452=J452,VLOOKUP(J452,Substituicoes!J:R,6,0),IF(L452=J452,VLOOKUP(Escalacao!J452,Substituicoes!K:R,7,0),0)))</f>
        <v>0</v>
      </c>
      <c r="O452" s="28">
        <f>IF(AND(K452=L452,LEFT(E452,1)="T"),VLOOKUP(A452,'JOGOS BASE'!A:E,5,0),IF(K452=J452,VLOOKUP(J452,Substituicoes!J:R,7,0),IF(L452=J452,VLOOKUP(Escalacao!J452,Substituicoes!K:R,8,0),0)))</f>
        <v>0</v>
      </c>
      <c r="P452" s="28">
        <f t="shared" si="53"/>
        <v>0</v>
      </c>
      <c r="Q452" s="28" t="str">
        <f t="shared" si="54"/>
        <v>1120Moto Club - MA</v>
      </c>
      <c r="R452" s="28" t="str">
        <f>VLOOKUP(A452,'JOGOS BASE'!A:H,8)</f>
        <v>26.01.2025 - Pinheiro - MA x Moto Club - MA</v>
      </c>
    </row>
    <row r="453" spans="1:18" ht="30.6">
      <c r="A453" s="15">
        <v>11</v>
      </c>
      <c r="B453" s="46">
        <v>21</v>
      </c>
      <c r="C453" s="45" t="s">
        <v>208</v>
      </c>
      <c r="D453" s="45" t="s">
        <v>209</v>
      </c>
      <c r="E453" s="47" t="s">
        <v>42</v>
      </c>
      <c r="F453" s="47" t="s">
        <v>24</v>
      </c>
      <c r="G453" s="46">
        <v>610535</v>
      </c>
      <c r="H453" s="18" t="s">
        <v>273</v>
      </c>
      <c r="I453" s="26" t="str">
        <f t="shared" si="50"/>
        <v>Paulo Renato</v>
      </c>
      <c r="J453" s="26" t="str">
        <f t="shared" si="51"/>
        <v>11Moto Club - MA21</v>
      </c>
      <c r="K453" s="27" t="str">
        <f>IFERROR(VLOOKUP(J453,Substituicoes!J:J,1,0),"SS")</f>
        <v>SS</v>
      </c>
      <c r="L453" s="27" t="str">
        <f>IFERROR(VLOOKUP(J453,Substituicoes!K:K,1,0),"SS")</f>
        <v>SS</v>
      </c>
      <c r="M453" s="28" t="b">
        <f t="shared" si="52"/>
        <v>1</v>
      </c>
      <c r="N453" s="29">
        <f>IF(AND(K453=L453,LEFT(E453,1)="T"),VLOOKUP(A453,'JOGOS BASE'!A:E,4,0),IF(K453=J453,VLOOKUP(J453,Substituicoes!J:R,6,0),IF(L453=J453,VLOOKUP(Escalacao!J453,Substituicoes!K:R,7,0),0)))</f>
        <v>0</v>
      </c>
      <c r="O453" s="28">
        <f>IF(AND(K453=L453,LEFT(E453,1)="T"),VLOOKUP(A453,'JOGOS BASE'!A:E,5,0),IF(K453=J453,VLOOKUP(J453,Substituicoes!J:R,7,0),IF(L453=J453,VLOOKUP(Escalacao!J453,Substituicoes!K:R,8,0),0)))</f>
        <v>0</v>
      </c>
      <c r="P453" s="28">
        <f t="shared" si="53"/>
        <v>0</v>
      </c>
      <c r="Q453" s="28" t="str">
        <f t="shared" si="54"/>
        <v>1121Moto Club - MA</v>
      </c>
      <c r="R453" s="28" t="str">
        <f>VLOOKUP(A453,'JOGOS BASE'!A:H,8)</f>
        <v>26.01.2025 - Pinheiro - MA x Moto Club - MA</v>
      </c>
    </row>
    <row r="454" spans="1:18" ht="30.6">
      <c r="A454" s="15">
        <v>12</v>
      </c>
      <c r="B454" s="46">
        <v>12</v>
      </c>
      <c r="C454" s="45" t="s">
        <v>250</v>
      </c>
      <c r="D454" s="45" t="s">
        <v>613</v>
      </c>
      <c r="E454" s="47" t="s">
        <v>23</v>
      </c>
      <c r="F454" s="47" t="s">
        <v>24</v>
      </c>
      <c r="G454" s="46">
        <v>648064</v>
      </c>
      <c r="H454" s="18" t="s">
        <v>381</v>
      </c>
      <c r="I454" s="26" t="str">
        <f t="shared" ref="I454:I493" si="55">C454</f>
        <v>LUCAS</v>
      </c>
      <c r="J454" s="26" t="str">
        <f t="shared" ref="J454:J493" si="56">A454&amp;H454&amp;B454</f>
        <v>12Viana - MA12</v>
      </c>
      <c r="K454" s="27" t="str">
        <f>IFERROR(VLOOKUP(J454,Substituicoes!J:J,1,0),"SS")</f>
        <v>SS</v>
      </c>
      <c r="L454" s="27" t="str">
        <f>IFERROR(VLOOKUP(J454,Substituicoes!K:K,1,0),"SS")</f>
        <v>SS</v>
      </c>
      <c r="M454" s="28" t="b">
        <f t="shared" ref="M454:M493" si="57">K454=L454</f>
        <v>1</v>
      </c>
      <c r="N454" s="29">
        <f>IF(AND(K454=L454,LEFT(E454,1)="T"),VLOOKUP(A454,'JOGOS BASE'!A:E,4,0),IF(K454=J454,VLOOKUP(J454,Substituicoes!J:R,6,0),IF(L454=J454,VLOOKUP(Escalacao!J454,Substituicoes!K:R,7,0),0)))</f>
        <v>47</v>
      </c>
      <c r="O454" s="28">
        <f>IF(AND(K454=L454,LEFT(E454,1)="T"),VLOOKUP(A454,'JOGOS BASE'!A:E,5,0),IF(K454=J454,VLOOKUP(J454,Substituicoes!J:R,7,0),IF(L454=J454,VLOOKUP(Escalacao!J454,Substituicoes!K:R,8,0),0)))</f>
        <v>52</v>
      </c>
      <c r="P454" s="28">
        <f t="shared" ref="P454:P493" si="58">N454+O454</f>
        <v>99</v>
      </c>
      <c r="Q454" s="28" t="str">
        <f t="shared" ref="Q454:Q493" si="59">A454&amp;B454&amp;H454</f>
        <v>1212Viana - MA</v>
      </c>
      <c r="R454" s="28" t="str">
        <f>VLOOKUP(A454,'JOGOS BASE'!A:H,8)</f>
        <v>26.01.2025 - Viana - MA x Maranhão - MA</v>
      </c>
    </row>
    <row r="455" spans="1:18" ht="30.6">
      <c r="A455" s="15">
        <v>12</v>
      </c>
      <c r="B455" s="46">
        <v>2</v>
      </c>
      <c r="C455" s="45" t="s">
        <v>604</v>
      </c>
      <c r="D455" s="45" t="s">
        <v>605</v>
      </c>
      <c r="E455" s="47" t="s">
        <v>26</v>
      </c>
      <c r="F455" s="47" t="s">
        <v>24</v>
      </c>
      <c r="G455" s="46">
        <v>894365</v>
      </c>
      <c r="H455" s="18" t="s">
        <v>381</v>
      </c>
      <c r="I455" s="26" t="str">
        <f t="shared" si="55"/>
        <v>JAMILSON</v>
      </c>
      <c r="J455" s="26" t="str">
        <f t="shared" si="56"/>
        <v>12Viana - MA2</v>
      </c>
      <c r="K455" s="27" t="str">
        <f>IFERROR(VLOOKUP(J455,Substituicoes!J:J,1,0),"SS")</f>
        <v>SS</v>
      </c>
      <c r="L455" s="27" t="str">
        <f>IFERROR(VLOOKUP(J455,Substituicoes!K:K,1,0),"SS")</f>
        <v>SS</v>
      </c>
      <c r="M455" s="28" t="b">
        <f t="shared" si="57"/>
        <v>1</v>
      </c>
      <c r="N455" s="29">
        <f>IF(AND(K455=L455,LEFT(E455,1)="T"),VLOOKUP(A455,'JOGOS BASE'!A:E,4,0),IF(K455=J455,VLOOKUP(J455,Substituicoes!J:R,6,0),IF(L455=J455,VLOOKUP(Escalacao!J455,Substituicoes!K:R,7,0),0)))</f>
        <v>47</v>
      </c>
      <c r="O455" s="28">
        <f>IF(AND(K455=L455,LEFT(E455,1)="T"),VLOOKUP(A455,'JOGOS BASE'!A:E,5,0),IF(K455=J455,VLOOKUP(J455,Substituicoes!J:R,7,0),IF(L455=J455,VLOOKUP(Escalacao!J455,Substituicoes!K:R,8,0),0)))</f>
        <v>52</v>
      </c>
      <c r="P455" s="28">
        <f t="shared" si="58"/>
        <v>99</v>
      </c>
      <c r="Q455" s="28" t="str">
        <f t="shared" si="59"/>
        <v>122Viana - MA</v>
      </c>
      <c r="R455" s="28" t="str">
        <f>VLOOKUP(A455,'JOGOS BASE'!A:H,8)</f>
        <v>26.01.2025 - Viana - MA x Maranhão - MA</v>
      </c>
    </row>
    <row r="456" spans="1:18" ht="30.6">
      <c r="A456" s="15">
        <v>12</v>
      </c>
      <c r="B456" s="46">
        <v>3</v>
      </c>
      <c r="C456" s="45" t="s">
        <v>339</v>
      </c>
      <c r="D456" s="45" t="s">
        <v>340</v>
      </c>
      <c r="E456" s="47" t="s">
        <v>26</v>
      </c>
      <c r="F456" s="47" t="s">
        <v>24</v>
      </c>
      <c r="G456" s="46">
        <v>396008</v>
      </c>
      <c r="H456" s="18" t="s">
        <v>381</v>
      </c>
      <c r="I456" s="26" t="str">
        <f t="shared" si="55"/>
        <v>Brener Bessa</v>
      </c>
      <c r="J456" s="26" t="str">
        <f t="shared" si="56"/>
        <v>12Viana - MA3</v>
      </c>
      <c r="K456" s="27" t="str">
        <f>IFERROR(VLOOKUP(J456,Substituicoes!J:J,1,0),"SS")</f>
        <v>SS</v>
      </c>
      <c r="L456" s="27" t="str">
        <f>IFERROR(VLOOKUP(J456,Substituicoes!K:K,1,0),"SS")</f>
        <v>SS</v>
      </c>
      <c r="M456" s="28" t="b">
        <f t="shared" si="57"/>
        <v>1</v>
      </c>
      <c r="N456" s="29">
        <f>IF(AND(K456=L456,LEFT(E456,1)="T"),VLOOKUP(A456,'JOGOS BASE'!A:E,4,0),IF(K456=J456,VLOOKUP(J456,Substituicoes!J:R,6,0),IF(L456=J456,VLOOKUP(Escalacao!J456,Substituicoes!K:R,7,0),0)))</f>
        <v>47</v>
      </c>
      <c r="O456" s="28">
        <f>IF(AND(K456=L456,LEFT(E456,1)="T"),VLOOKUP(A456,'JOGOS BASE'!A:E,5,0),IF(K456=J456,VLOOKUP(J456,Substituicoes!J:R,7,0),IF(L456=J456,VLOOKUP(Escalacao!J456,Substituicoes!K:R,8,0),0)))</f>
        <v>52</v>
      </c>
      <c r="P456" s="28">
        <f t="shared" si="58"/>
        <v>99</v>
      </c>
      <c r="Q456" s="28" t="str">
        <f t="shared" si="59"/>
        <v>123Viana - MA</v>
      </c>
      <c r="R456" s="28" t="str">
        <f>VLOOKUP(A456,'JOGOS BASE'!A:H,8)</f>
        <v>26.01.2025 - Viana - MA x Maranhão - MA</v>
      </c>
    </row>
    <row r="457" spans="1:18" ht="20.399999999999999">
      <c r="A457" s="15">
        <v>12</v>
      </c>
      <c r="B457" s="46">
        <v>4</v>
      </c>
      <c r="C457" s="45" t="s">
        <v>606</v>
      </c>
      <c r="D457" s="45" t="s">
        <v>607</v>
      </c>
      <c r="E457" s="47" t="s">
        <v>26</v>
      </c>
      <c r="F457" s="47" t="s">
        <v>24</v>
      </c>
      <c r="G457" s="46">
        <v>709273</v>
      </c>
      <c r="H457" s="18" t="s">
        <v>381</v>
      </c>
      <c r="I457" s="26" t="str">
        <f t="shared" si="55"/>
        <v>CAIO</v>
      </c>
      <c r="J457" s="26" t="str">
        <f t="shared" si="56"/>
        <v>12Viana - MA4</v>
      </c>
      <c r="K457" s="27" t="str">
        <f>IFERROR(VLOOKUP(J457,Substituicoes!J:J,1,0),"SS")</f>
        <v>SS</v>
      </c>
      <c r="L457" s="27" t="str">
        <f>IFERROR(VLOOKUP(J457,Substituicoes!K:K,1,0),"SS")</f>
        <v>SS</v>
      </c>
      <c r="M457" s="28" t="b">
        <f t="shared" si="57"/>
        <v>1</v>
      </c>
      <c r="N457" s="29">
        <f>IF(AND(K457=L457,LEFT(E457,1)="T"),VLOOKUP(A457,'JOGOS BASE'!A:E,4,0),IF(K457=J457,VLOOKUP(J457,Substituicoes!J:R,6,0),IF(L457=J457,VLOOKUP(Escalacao!J457,Substituicoes!K:R,7,0),0)))</f>
        <v>47</v>
      </c>
      <c r="O457" s="28">
        <f>IF(AND(K457=L457,LEFT(E457,1)="T"),VLOOKUP(A457,'JOGOS BASE'!A:E,5,0),IF(K457=J457,VLOOKUP(J457,Substituicoes!J:R,7,0),IF(L457=J457,VLOOKUP(Escalacao!J457,Substituicoes!K:R,8,0),0)))</f>
        <v>52</v>
      </c>
      <c r="P457" s="28">
        <f t="shared" si="58"/>
        <v>99</v>
      </c>
      <c r="Q457" s="28" t="str">
        <f t="shared" si="59"/>
        <v>124Viana - MA</v>
      </c>
      <c r="R457" s="28" t="str">
        <f>VLOOKUP(A457,'JOGOS BASE'!A:H,8)</f>
        <v>26.01.2025 - Viana - MA x Maranhão - MA</v>
      </c>
    </row>
    <row r="458" spans="1:18" ht="30.6">
      <c r="A458" s="15">
        <v>12</v>
      </c>
      <c r="B458" s="46">
        <v>5</v>
      </c>
      <c r="C458" s="45" t="s">
        <v>343</v>
      </c>
      <c r="D458" s="45" t="s">
        <v>344</v>
      </c>
      <c r="E458" s="47" t="s">
        <v>26</v>
      </c>
      <c r="F458" s="47" t="s">
        <v>24</v>
      </c>
      <c r="G458" s="46">
        <v>799878</v>
      </c>
      <c r="H458" s="18" t="s">
        <v>381</v>
      </c>
      <c r="I458" s="26" t="str">
        <f t="shared" si="55"/>
        <v>RIQUELME</v>
      </c>
      <c r="J458" s="26" t="str">
        <f t="shared" si="56"/>
        <v>12Viana - MA5</v>
      </c>
      <c r="K458" s="27" t="str">
        <f>IFERROR(VLOOKUP(J458,Substituicoes!J:J,1,0),"SS")</f>
        <v>SS</v>
      </c>
      <c r="L458" s="27" t="str">
        <f>IFERROR(VLOOKUP(J458,Substituicoes!K:K,1,0),"SS")</f>
        <v>12Viana - MA5</v>
      </c>
      <c r="M458" s="28" t="b">
        <f t="shared" si="57"/>
        <v>0</v>
      </c>
      <c r="N458" s="29">
        <f>IF(AND(K458=L458,LEFT(E458,1)="T"),VLOOKUP(A458,'JOGOS BASE'!A:E,4,0),IF(K458=J458,VLOOKUP(J458,Substituicoes!J:R,6,0),IF(L458=J458,VLOOKUP(Escalacao!J458,Substituicoes!K:R,7,0),0)))</f>
        <v>34</v>
      </c>
      <c r="O458" s="28">
        <f>IF(AND(K458=L458,LEFT(E458,1)="T"),VLOOKUP(A458,'JOGOS BASE'!A:E,5,0),IF(K458=J458,VLOOKUP(J458,Substituicoes!J:R,7,0),IF(L458=J458,VLOOKUP(Escalacao!J458,Substituicoes!K:R,8,0),0)))</f>
        <v>0</v>
      </c>
      <c r="P458" s="28">
        <f t="shared" si="58"/>
        <v>34</v>
      </c>
      <c r="Q458" s="28" t="str">
        <f t="shared" si="59"/>
        <v>125Viana - MA</v>
      </c>
      <c r="R458" s="28" t="str">
        <f>VLOOKUP(A458,'JOGOS BASE'!A:H,8)</f>
        <v>26.01.2025 - Viana - MA x Maranhão - MA</v>
      </c>
    </row>
    <row r="459" spans="1:18" ht="30.6">
      <c r="A459" s="15">
        <v>12</v>
      </c>
      <c r="B459" s="46">
        <v>6</v>
      </c>
      <c r="C459" s="45" t="s">
        <v>301</v>
      </c>
      <c r="D459" s="45" t="s">
        <v>608</v>
      </c>
      <c r="E459" s="47" t="s">
        <v>26</v>
      </c>
      <c r="F459" s="47" t="s">
        <v>24</v>
      </c>
      <c r="G459" s="46">
        <v>581708</v>
      </c>
      <c r="H459" s="18" t="s">
        <v>381</v>
      </c>
      <c r="I459" s="26" t="str">
        <f t="shared" si="55"/>
        <v>Mateus</v>
      </c>
      <c r="J459" s="26" t="str">
        <f t="shared" si="56"/>
        <v>12Viana - MA6</v>
      </c>
      <c r="K459" s="27" t="str">
        <f>IFERROR(VLOOKUP(J459,Substituicoes!J:J,1,0),"SS")</f>
        <v>SS</v>
      </c>
      <c r="L459" s="27" t="str">
        <f>IFERROR(VLOOKUP(J459,Substituicoes!K:K,1,0),"SS")</f>
        <v>12Viana - MA6</v>
      </c>
      <c r="M459" s="28" t="b">
        <f t="shared" si="57"/>
        <v>0</v>
      </c>
      <c r="N459" s="29">
        <f>IF(AND(K459=L459,LEFT(E459,1)="T"),VLOOKUP(A459,'JOGOS BASE'!A:E,4,0),IF(K459=J459,VLOOKUP(J459,Substituicoes!J:R,6,0),IF(L459=J459,VLOOKUP(Escalacao!J459,Substituicoes!K:R,7,0),0)))</f>
        <v>47</v>
      </c>
      <c r="O459" s="28">
        <f>IF(AND(K459=L459,LEFT(E459,1)="T"),VLOOKUP(A459,'JOGOS BASE'!A:E,5,0),IF(K459=J459,VLOOKUP(J459,Substituicoes!J:R,7,0),IF(L459=J459,VLOOKUP(Escalacao!J459,Substituicoes!K:R,8,0),0)))</f>
        <v>0</v>
      </c>
      <c r="P459" s="28">
        <f t="shared" si="58"/>
        <v>47</v>
      </c>
      <c r="Q459" s="28" t="str">
        <f t="shared" si="59"/>
        <v>126Viana - MA</v>
      </c>
      <c r="R459" s="28" t="str">
        <f>VLOOKUP(A459,'JOGOS BASE'!A:H,8)</f>
        <v>26.01.2025 - Viana - MA x Maranhão - MA</v>
      </c>
    </row>
    <row r="460" spans="1:18" ht="30.6">
      <c r="A460" s="15">
        <v>12</v>
      </c>
      <c r="B460" s="46">
        <v>7</v>
      </c>
      <c r="C460" s="45" t="s">
        <v>92</v>
      </c>
      <c r="D460" s="45" t="s">
        <v>352</v>
      </c>
      <c r="E460" s="47" t="s">
        <v>26</v>
      </c>
      <c r="F460" s="47" t="s">
        <v>24</v>
      </c>
      <c r="G460" s="46">
        <v>642816</v>
      </c>
      <c r="H460" s="18" t="s">
        <v>381</v>
      </c>
      <c r="I460" s="26" t="str">
        <f t="shared" si="55"/>
        <v>Thiago</v>
      </c>
      <c r="J460" s="26" t="str">
        <f t="shared" si="56"/>
        <v>12Viana - MA7</v>
      </c>
      <c r="K460" s="27" t="str">
        <f>IFERROR(VLOOKUP(J460,Substituicoes!J:J,1,0),"SS")</f>
        <v>SS</v>
      </c>
      <c r="L460" s="27" t="str">
        <f>IFERROR(VLOOKUP(J460,Substituicoes!K:K,1,0),"SS")</f>
        <v>SS</v>
      </c>
      <c r="M460" s="28" t="b">
        <f t="shared" si="57"/>
        <v>1</v>
      </c>
      <c r="N460" s="29">
        <f>IF(AND(K460=L460,LEFT(E460,1)="T"),VLOOKUP(A460,'JOGOS BASE'!A:E,4,0),IF(K460=J460,VLOOKUP(J460,Substituicoes!J:R,6,0),IF(L460=J460,VLOOKUP(Escalacao!J460,Substituicoes!K:R,7,0),0)))</f>
        <v>47</v>
      </c>
      <c r="O460" s="28">
        <f>IF(AND(K460=L460,LEFT(E460,1)="T"),VLOOKUP(A460,'JOGOS BASE'!A:E,5,0),IF(K460=J460,VLOOKUP(J460,Substituicoes!J:R,7,0),IF(L460=J460,VLOOKUP(Escalacao!J460,Substituicoes!K:R,8,0),0)))</f>
        <v>52</v>
      </c>
      <c r="P460" s="28">
        <f t="shared" si="58"/>
        <v>99</v>
      </c>
      <c r="Q460" s="28" t="str">
        <f t="shared" si="59"/>
        <v>127Viana - MA</v>
      </c>
      <c r="R460" s="28" t="str">
        <f>VLOOKUP(A460,'JOGOS BASE'!A:H,8)</f>
        <v>26.01.2025 - Viana - MA x Maranhão - MA</v>
      </c>
    </row>
    <row r="461" spans="1:18" ht="30.6">
      <c r="A461" s="15">
        <v>12</v>
      </c>
      <c r="B461" s="46">
        <v>8</v>
      </c>
      <c r="C461" s="45" t="s">
        <v>609</v>
      </c>
      <c r="D461" s="45" t="s">
        <v>610</v>
      </c>
      <c r="E461" s="47" t="s">
        <v>26</v>
      </c>
      <c r="F461" s="47" t="s">
        <v>24</v>
      </c>
      <c r="G461" s="46">
        <v>590716</v>
      </c>
      <c r="H461" s="18" t="s">
        <v>381</v>
      </c>
      <c r="I461" s="26" t="str">
        <f t="shared" si="55"/>
        <v>arisco</v>
      </c>
      <c r="J461" s="26" t="str">
        <f t="shared" si="56"/>
        <v>12Viana - MA8</v>
      </c>
      <c r="K461" s="27" t="str">
        <f>IFERROR(VLOOKUP(J461,Substituicoes!J:J,1,0),"SS")</f>
        <v>SS</v>
      </c>
      <c r="L461" s="27" t="str">
        <f>IFERROR(VLOOKUP(J461,Substituicoes!K:K,1,0),"SS")</f>
        <v>SS</v>
      </c>
      <c r="M461" s="28" t="b">
        <f t="shared" si="57"/>
        <v>1</v>
      </c>
      <c r="N461" s="29">
        <f>IF(AND(K461=L461,LEFT(E461,1)="T"),VLOOKUP(A461,'JOGOS BASE'!A:E,4,0),IF(K461=J461,VLOOKUP(J461,Substituicoes!J:R,6,0),IF(L461=J461,VLOOKUP(Escalacao!J461,Substituicoes!K:R,7,0),0)))</f>
        <v>47</v>
      </c>
      <c r="O461" s="28">
        <f>IF(AND(K461=L461,LEFT(E461,1)="T"),VLOOKUP(A461,'JOGOS BASE'!A:E,5,0),IF(K461=J461,VLOOKUP(J461,Substituicoes!J:R,7,0),IF(L461=J461,VLOOKUP(Escalacao!J461,Substituicoes!K:R,8,0),0)))</f>
        <v>52</v>
      </c>
      <c r="P461" s="28">
        <f t="shared" si="58"/>
        <v>99</v>
      </c>
      <c r="Q461" s="28" t="str">
        <f t="shared" si="59"/>
        <v>128Viana - MA</v>
      </c>
      <c r="R461" s="28" t="str">
        <f>VLOOKUP(A461,'JOGOS BASE'!A:H,8)</f>
        <v>26.01.2025 - Viana - MA x Maranhão - MA</v>
      </c>
    </row>
    <row r="462" spans="1:18" ht="20.399999999999999">
      <c r="A462" s="15">
        <v>12</v>
      </c>
      <c r="B462" s="46">
        <v>9</v>
      </c>
      <c r="C462" s="45" t="s">
        <v>709</v>
      </c>
      <c r="D462" s="45" t="s">
        <v>710</v>
      </c>
      <c r="E462" s="47" t="s">
        <v>26</v>
      </c>
      <c r="F462" s="47" t="s">
        <v>24</v>
      </c>
      <c r="G462" s="46">
        <v>545905</v>
      </c>
      <c r="H462" s="18" t="s">
        <v>381</v>
      </c>
      <c r="I462" s="26" t="str">
        <f t="shared" si="55"/>
        <v>Kawa</v>
      </c>
      <c r="J462" s="26" t="str">
        <f t="shared" si="56"/>
        <v>12Viana - MA9</v>
      </c>
      <c r="K462" s="27" t="str">
        <f>IFERROR(VLOOKUP(J462,Substituicoes!J:J,1,0),"SS")</f>
        <v>SS</v>
      </c>
      <c r="L462" s="27" t="str">
        <f>IFERROR(VLOOKUP(J462,Substituicoes!K:K,1,0),"SS")</f>
        <v>SS</v>
      </c>
      <c r="M462" s="28" t="b">
        <f t="shared" si="57"/>
        <v>1</v>
      </c>
      <c r="N462" s="29">
        <f>IF(AND(K462=L462,LEFT(E462,1)="T"),VLOOKUP(A462,'JOGOS BASE'!A:E,4,0),IF(K462=J462,VLOOKUP(J462,Substituicoes!J:R,6,0),IF(L462=J462,VLOOKUP(Escalacao!J462,Substituicoes!K:R,7,0),0)))</f>
        <v>47</v>
      </c>
      <c r="O462" s="28">
        <f>IF(AND(K462=L462,LEFT(E462,1)="T"),VLOOKUP(A462,'JOGOS BASE'!A:E,5,0),IF(K462=J462,VLOOKUP(J462,Substituicoes!J:R,7,0),IF(L462=J462,VLOOKUP(Escalacao!J462,Substituicoes!K:R,8,0),0)))</f>
        <v>52</v>
      </c>
      <c r="P462" s="28">
        <f t="shared" si="58"/>
        <v>99</v>
      </c>
      <c r="Q462" s="28" t="str">
        <f t="shared" si="59"/>
        <v>129Viana - MA</v>
      </c>
      <c r="R462" s="28" t="str">
        <f>VLOOKUP(A462,'JOGOS BASE'!A:H,8)</f>
        <v>26.01.2025 - Viana - MA x Maranhão - MA</v>
      </c>
    </row>
    <row r="463" spans="1:18" ht="20.399999999999999">
      <c r="A463" s="15">
        <v>12</v>
      </c>
      <c r="B463" s="46">
        <v>10</v>
      </c>
      <c r="C463" s="45" t="s">
        <v>353</v>
      </c>
      <c r="D463" s="45" t="s">
        <v>354</v>
      </c>
      <c r="E463" s="47" t="s">
        <v>26</v>
      </c>
      <c r="F463" s="47" t="s">
        <v>24</v>
      </c>
      <c r="G463" s="46">
        <v>700228</v>
      </c>
      <c r="H463" s="18" t="s">
        <v>381</v>
      </c>
      <c r="I463" s="26" t="str">
        <f t="shared" si="55"/>
        <v>ARIEL</v>
      </c>
      <c r="J463" s="26" t="str">
        <f t="shared" si="56"/>
        <v>12Viana - MA10</v>
      </c>
      <c r="K463" s="27" t="str">
        <f>IFERROR(VLOOKUP(J463,Substituicoes!J:J,1,0),"SS")</f>
        <v>SS</v>
      </c>
      <c r="L463" s="27" t="str">
        <f>IFERROR(VLOOKUP(J463,Substituicoes!K:K,1,0),"SS")</f>
        <v>12Viana - MA10</v>
      </c>
      <c r="M463" s="28" t="b">
        <f t="shared" si="57"/>
        <v>0</v>
      </c>
      <c r="N463" s="29">
        <f>IF(AND(K463=L463,LEFT(E463,1)="T"),VLOOKUP(A463,'JOGOS BASE'!A:E,4,0),IF(K463=J463,VLOOKUP(J463,Substituicoes!J:R,6,0),IF(L463=J463,VLOOKUP(Escalacao!J463,Substituicoes!K:R,7,0),0)))</f>
        <v>47</v>
      </c>
      <c r="O463" s="28">
        <f>IF(AND(K463=L463,LEFT(E463,1)="T"),VLOOKUP(A463,'JOGOS BASE'!A:E,5,0),IF(K463=J463,VLOOKUP(J463,Substituicoes!J:R,7,0),IF(L463=J463,VLOOKUP(Escalacao!J463,Substituicoes!K:R,8,0),0)))</f>
        <v>43</v>
      </c>
      <c r="P463" s="28">
        <f t="shared" si="58"/>
        <v>90</v>
      </c>
      <c r="Q463" s="28" t="str">
        <f t="shared" si="59"/>
        <v>1210Viana - MA</v>
      </c>
      <c r="R463" s="28" t="str">
        <f>VLOOKUP(A463,'JOGOS BASE'!A:H,8)</f>
        <v>26.01.2025 - Viana - MA x Maranhão - MA</v>
      </c>
    </row>
    <row r="464" spans="1:18" ht="20.399999999999999">
      <c r="A464" s="15">
        <v>12</v>
      </c>
      <c r="B464" s="46">
        <v>11</v>
      </c>
      <c r="C464" s="45" t="s">
        <v>711</v>
      </c>
      <c r="D464" s="45" t="s">
        <v>712</v>
      </c>
      <c r="E464" s="47" t="s">
        <v>26</v>
      </c>
      <c r="F464" s="47" t="s">
        <v>24</v>
      </c>
      <c r="G464" s="46">
        <v>364614</v>
      </c>
      <c r="H464" s="18" t="s">
        <v>381</v>
      </c>
      <c r="I464" s="26" t="str">
        <f t="shared" si="55"/>
        <v>Amilcar</v>
      </c>
      <c r="J464" s="26" t="str">
        <f t="shared" si="56"/>
        <v>12Viana - MA11</v>
      </c>
      <c r="K464" s="27" t="str">
        <f>IFERROR(VLOOKUP(J464,Substituicoes!J:J,1,0),"SS")</f>
        <v>SS</v>
      </c>
      <c r="L464" s="27" t="str">
        <f>IFERROR(VLOOKUP(J464,Substituicoes!K:K,1,0),"SS")</f>
        <v>SS</v>
      </c>
      <c r="M464" s="28" t="b">
        <f t="shared" si="57"/>
        <v>1</v>
      </c>
      <c r="N464" s="29">
        <f>IF(AND(K464=L464,LEFT(E464,1)="T"),VLOOKUP(A464,'JOGOS BASE'!A:E,4,0),IF(K464=J464,VLOOKUP(J464,Substituicoes!J:R,6,0),IF(L464=J464,VLOOKUP(Escalacao!J464,Substituicoes!K:R,7,0),0)))</f>
        <v>47</v>
      </c>
      <c r="O464" s="28">
        <f>IF(AND(K464=L464,LEFT(E464,1)="T"),VLOOKUP(A464,'JOGOS BASE'!A:E,5,0),IF(K464=J464,VLOOKUP(J464,Substituicoes!J:R,7,0),IF(L464=J464,VLOOKUP(Escalacao!J464,Substituicoes!K:R,8,0),0)))</f>
        <v>52</v>
      </c>
      <c r="P464" s="28">
        <f t="shared" si="58"/>
        <v>99</v>
      </c>
      <c r="Q464" s="28" t="str">
        <f t="shared" si="59"/>
        <v>1211Viana - MA</v>
      </c>
      <c r="R464" s="28" t="str">
        <f>VLOOKUP(A464,'JOGOS BASE'!A:H,8)</f>
        <v>26.01.2025 - Viana - MA x Maranhão - MA</v>
      </c>
    </row>
    <row r="465" spans="1:18" ht="20.399999999999999">
      <c r="A465" s="15">
        <v>12</v>
      </c>
      <c r="B465" s="46">
        <v>1</v>
      </c>
      <c r="C465" s="45" t="s">
        <v>713</v>
      </c>
      <c r="D465" s="45" t="s">
        <v>714</v>
      </c>
      <c r="E465" s="47" t="s">
        <v>40</v>
      </c>
      <c r="F465" s="47" t="s">
        <v>24</v>
      </c>
      <c r="G465" s="46">
        <v>894356</v>
      </c>
      <c r="H465" s="18" t="s">
        <v>381</v>
      </c>
      <c r="I465" s="26" t="str">
        <f t="shared" si="55"/>
        <v>RICHARDSON</v>
      </c>
      <c r="J465" s="26" t="str">
        <f t="shared" si="56"/>
        <v>12Viana - MA1</v>
      </c>
      <c r="K465" s="27" t="str">
        <f>IFERROR(VLOOKUP(J465,Substituicoes!J:J,1,0),"SS")</f>
        <v>SS</v>
      </c>
      <c r="L465" s="27" t="str">
        <f>IFERROR(VLOOKUP(J465,Substituicoes!K:K,1,0),"SS")</f>
        <v>SS</v>
      </c>
      <c r="M465" s="28" t="b">
        <f t="shared" si="57"/>
        <v>1</v>
      </c>
      <c r="N465" s="29">
        <f>IF(AND(K465=L465,LEFT(E465,1)="T"),VLOOKUP(A465,'JOGOS BASE'!A:E,4,0),IF(K465=J465,VLOOKUP(J465,Substituicoes!J:R,6,0),IF(L465=J465,VLOOKUP(Escalacao!J465,Substituicoes!K:R,7,0),0)))</f>
        <v>0</v>
      </c>
      <c r="O465" s="28">
        <f>IF(AND(K465=L465,LEFT(E465,1)="T"),VLOOKUP(A465,'JOGOS BASE'!A:E,5,0),IF(K465=J465,VLOOKUP(J465,Substituicoes!J:R,7,0),IF(L465=J465,VLOOKUP(Escalacao!J465,Substituicoes!K:R,8,0),0)))</f>
        <v>0</v>
      </c>
      <c r="P465" s="28">
        <f t="shared" si="58"/>
        <v>0</v>
      </c>
      <c r="Q465" s="28" t="str">
        <f t="shared" si="59"/>
        <v>121Viana - MA</v>
      </c>
      <c r="R465" s="28" t="str">
        <f>VLOOKUP(A465,'JOGOS BASE'!A:H,8)</f>
        <v>26.01.2025 - Viana - MA x Maranhão - MA</v>
      </c>
    </row>
    <row r="466" spans="1:18" ht="30.6">
      <c r="A466" s="15">
        <v>12</v>
      </c>
      <c r="B466" s="46">
        <v>13</v>
      </c>
      <c r="C466" s="45" t="s">
        <v>355</v>
      </c>
      <c r="D466" s="45" t="s">
        <v>356</v>
      </c>
      <c r="E466" s="47" t="s">
        <v>42</v>
      </c>
      <c r="F466" s="47" t="s">
        <v>56</v>
      </c>
      <c r="G466" s="46">
        <v>683760</v>
      </c>
      <c r="H466" s="18" t="s">
        <v>381</v>
      </c>
      <c r="I466" s="26" t="str">
        <f t="shared" si="55"/>
        <v>PAULO</v>
      </c>
      <c r="J466" s="26" t="str">
        <f t="shared" si="56"/>
        <v>12Viana - MA13</v>
      </c>
      <c r="K466" s="27" t="str">
        <f>IFERROR(VLOOKUP(J466,Substituicoes!J:J,1,0),"SS")</f>
        <v>SS</v>
      </c>
      <c r="L466" s="27" t="str">
        <f>IFERROR(VLOOKUP(J466,Substituicoes!K:K,1,0),"SS")</f>
        <v>SS</v>
      </c>
      <c r="M466" s="28" t="b">
        <f t="shared" si="57"/>
        <v>1</v>
      </c>
      <c r="N466" s="29">
        <f>IF(AND(K466=L466,LEFT(E466,1)="T"),VLOOKUP(A466,'JOGOS BASE'!A:E,4,0),IF(K466=J466,VLOOKUP(J466,Substituicoes!J:R,6,0),IF(L466=J466,VLOOKUP(Escalacao!J466,Substituicoes!K:R,7,0),0)))</f>
        <v>0</v>
      </c>
      <c r="O466" s="28">
        <f>IF(AND(K466=L466,LEFT(E466,1)="T"),VLOOKUP(A466,'JOGOS BASE'!A:E,5,0),IF(K466=J466,VLOOKUP(J466,Substituicoes!J:R,7,0),IF(L466=J466,VLOOKUP(Escalacao!J466,Substituicoes!K:R,8,0),0)))</f>
        <v>0</v>
      </c>
      <c r="P466" s="28">
        <f t="shared" si="58"/>
        <v>0</v>
      </c>
      <c r="Q466" s="28" t="str">
        <f t="shared" si="59"/>
        <v>1213Viana - MA</v>
      </c>
      <c r="R466" s="28" t="str">
        <f>VLOOKUP(A466,'JOGOS BASE'!A:H,8)</f>
        <v>26.01.2025 - Viana - MA x Maranhão - MA</v>
      </c>
    </row>
    <row r="467" spans="1:18" ht="30.6">
      <c r="A467" s="15">
        <v>12</v>
      </c>
      <c r="B467" s="46">
        <v>15</v>
      </c>
      <c r="C467" s="45" t="s">
        <v>350</v>
      </c>
      <c r="D467" s="45" t="s">
        <v>351</v>
      </c>
      <c r="E467" s="47" t="s">
        <v>42</v>
      </c>
      <c r="F467" s="47" t="s">
        <v>24</v>
      </c>
      <c r="G467" s="46">
        <v>628431</v>
      </c>
      <c r="H467" s="18" t="s">
        <v>381</v>
      </c>
      <c r="I467" s="26" t="str">
        <f t="shared" si="55"/>
        <v>Lucas Ramos</v>
      </c>
      <c r="J467" s="26" t="str">
        <f t="shared" si="56"/>
        <v>12Viana - MA15</v>
      </c>
      <c r="K467" s="27" t="str">
        <f>IFERROR(VLOOKUP(J467,Substituicoes!J:J,1,0),"SS")</f>
        <v>12Viana - MA15</v>
      </c>
      <c r="L467" s="27" t="str">
        <f>IFERROR(VLOOKUP(J467,Substituicoes!K:K,1,0),"SS")</f>
        <v>SS</v>
      </c>
      <c r="M467" s="28" t="b">
        <f t="shared" si="57"/>
        <v>0</v>
      </c>
      <c r="N467" s="29">
        <f>IF(AND(K467=L467,LEFT(E467,1)="T"),VLOOKUP(A467,'JOGOS BASE'!A:E,4,0),IF(K467=J467,VLOOKUP(J467,Substituicoes!J:R,6,0),IF(L467=J467,VLOOKUP(Escalacao!J467,Substituicoes!K:R,7,0),0)))</f>
        <v>0</v>
      </c>
      <c r="O467" s="28">
        <f>IF(AND(K467=L467,LEFT(E467,1)="T"),VLOOKUP(A467,'JOGOS BASE'!A:E,5,0),IF(K467=J467,VLOOKUP(J467,Substituicoes!J:R,7,0),IF(L467=J467,VLOOKUP(Escalacao!J467,Substituicoes!K:R,8,0),0)))</f>
        <v>52</v>
      </c>
      <c r="P467" s="28">
        <f t="shared" si="58"/>
        <v>52</v>
      </c>
      <c r="Q467" s="28" t="str">
        <f t="shared" si="59"/>
        <v>1215Viana - MA</v>
      </c>
      <c r="R467" s="28" t="str">
        <f>VLOOKUP(A467,'JOGOS BASE'!A:H,8)</f>
        <v>26.01.2025 - Viana - MA x Maranhão - MA</v>
      </c>
    </row>
    <row r="468" spans="1:18" ht="30.6">
      <c r="A468" s="15">
        <v>12</v>
      </c>
      <c r="B468" s="46">
        <v>16</v>
      </c>
      <c r="C468" s="45" t="s">
        <v>614</v>
      </c>
      <c r="D468" s="45" t="s">
        <v>615</v>
      </c>
      <c r="E468" s="47" t="s">
        <v>42</v>
      </c>
      <c r="F468" s="47" t="s">
        <v>24</v>
      </c>
      <c r="G468" s="46">
        <v>894165</v>
      </c>
      <c r="H468" s="18" t="s">
        <v>381</v>
      </c>
      <c r="I468" s="26" t="str">
        <f t="shared" si="55"/>
        <v>MATEUS OLI .</v>
      </c>
      <c r="J468" s="26" t="str">
        <f t="shared" si="56"/>
        <v>12Viana - MA16</v>
      </c>
      <c r="K468" s="27" t="str">
        <f>IFERROR(VLOOKUP(J468,Substituicoes!J:J,1,0),"SS")</f>
        <v>SS</v>
      </c>
      <c r="L468" s="27" t="str">
        <f>IFERROR(VLOOKUP(J468,Substituicoes!K:K,1,0),"SS")</f>
        <v>SS</v>
      </c>
      <c r="M468" s="28" t="b">
        <f t="shared" si="57"/>
        <v>1</v>
      </c>
      <c r="N468" s="29">
        <f>IF(AND(K468=L468,LEFT(E468,1)="T"),VLOOKUP(A468,'JOGOS BASE'!A:E,4,0),IF(K468=J468,VLOOKUP(J468,Substituicoes!J:R,6,0),IF(L468=J468,VLOOKUP(Escalacao!J468,Substituicoes!K:R,7,0),0)))</f>
        <v>0</v>
      </c>
      <c r="O468" s="28">
        <f>IF(AND(K468=L468,LEFT(E468,1)="T"),VLOOKUP(A468,'JOGOS BASE'!A:E,5,0),IF(K468=J468,VLOOKUP(J468,Substituicoes!J:R,7,0),IF(L468=J468,VLOOKUP(Escalacao!J468,Substituicoes!K:R,8,0),0)))</f>
        <v>0</v>
      </c>
      <c r="P468" s="28">
        <f t="shared" si="58"/>
        <v>0</v>
      </c>
      <c r="Q468" s="28" t="str">
        <f t="shared" si="59"/>
        <v>1216Viana - MA</v>
      </c>
      <c r="R468" s="28" t="str">
        <f>VLOOKUP(A468,'JOGOS BASE'!A:H,8)</f>
        <v>26.01.2025 - Viana - MA x Maranhão - MA</v>
      </c>
    </row>
    <row r="469" spans="1:18" ht="30.6">
      <c r="A469" s="15">
        <v>12</v>
      </c>
      <c r="B469" s="46">
        <v>17</v>
      </c>
      <c r="C469" s="45" t="s">
        <v>611</v>
      </c>
      <c r="D469" s="45" t="s">
        <v>612</v>
      </c>
      <c r="E469" s="47" t="s">
        <v>42</v>
      </c>
      <c r="F469" s="47" t="s">
        <v>24</v>
      </c>
      <c r="G469" s="46">
        <v>894358</v>
      </c>
      <c r="H469" s="18" t="s">
        <v>381</v>
      </c>
      <c r="I469" s="26" t="str">
        <f t="shared" si="55"/>
        <v>LUANDERSO</v>
      </c>
      <c r="J469" s="26" t="str">
        <f t="shared" si="56"/>
        <v>12Viana - MA17</v>
      </c>
      <c r="K469" s="27" t="str">
        <f>IFERROR(VLOOKUP(J469,Substituicoes!J:J,1,0),"SS")</f>
        <v>12Viana - MA17</v>
      </c>
      <c r="L469" s="27" t="str">
        <f>IFERROR(VLOOKUP(J469,Substituicoes!K:K,1,0),"SS")</f>
        <v>SS</v>
      </c>
      <c r="M469" s="28" t="b">
        <f t="shared" si="57"/>
        <v>0</v>
      </c>
      <c r="N469" s="29">
        <f>IF(AND(K469=L469,LEFT(E469,1)="T"),VLOOKUP(A469,'JOGOS BASE'!A:E,4,0),IF(K469=J469,VLOOKUP(J469,Substituicoes!J:R,6,0),IF(L469=J469,VLOOKUP(Escalacao!J469,Substituicoes!K:R,7,0),0)))</f>
        <v>0</v>
      </c>
      <c r="O469" s="28">
        <f>IF(AND(K469=L469,LEFT(E469,1)="T"),VLOOKUP(A469,'JOGOS BASE'!A:E,5,0),IF(K469=J469,VLOOKUP(J469,Substituicoes!J:R,7,0),IF(L469=J469,VLOOKUP(Escalacao!J469,Substituicoes!K:R,8,0),0)))</f>
        <v>9</v>
      </c>
      <c r="P469" s="28">
        <f t="shared" si="58"/>
        <v>9</v>
      </c>
      <c r="Q469" s="28" t="str">
        <f t="shared" si="59"/>
        <v>1217Viana - MA</v>
      </c>
      <c r="R469" s="28" t="str">
        <f>VLOOKUP(A469,'JOGOS BASE'!A:H,8)</f>
        <v>26.01.2025 - Viana - MA x Maranhão - MA</v>
      </c>
    </row>
    <row r="470" spans="1:18" ht="30.6">
      <c r="A470" s="15">
        <v>12</v>
      </c>
      <c r="B470" s="46">
        <v>18</v>
      </c>
      <c r="C470" s="45" t="s">
        <v>92</v>
      </c>
      <c r="D470" s="45" t="s">
        <v>347</v>
      </c>
      <c r="E470" s="47" t="s">
        <v>42</v>
      </c>
      <c r="F470" s="47" t="s">
        <v>24</v>
      </c>
      <c r="G470" s="46">
        <v>611781</v>
      </c>
      <c r="H470" s="18" t="s">
        <v>381</v>
      </c>
      <c r="I470" s="26" t="str">
        <f t="shared" si="55"/>
        <v>Thiago</v>
      </c>
      <c r="J470" s="26" t="str">
        <f t="shared" si="56"/>
        <v>12Viana - MA18</v>
      </c>
      <c r="K470" s="27" t="str">
        <f>IFERROR(VLOOKUP(J470,Substituicoes!J:J,1,0),"SS")</f>
        <v>12Viana - MA18</v>
      </c>
      <c r="L470" s="27" t="str">
        <f>IFERROR(VLOOKUP(J470,Substituicoes!K:K,1,0),"SS")</f>
        <v>SS</v>
      </c>
      <c r="M470" s="28" t="b">
        <f t="shared" si="57"/>
        <v>0</v>
      </c>
      <c r="N470" s="29">
        <f>IF(AND(K470=L470,LEFT(E470,1)="T"),VLOOKUP(A470,'JOGOS BASE'!A:E,4,0),IF(K470=J470,VLOOKUP(J470,Substituicoes!J:R,6,0),IF(L470=J470,VLOOKUP(Escalacao!J470,Substituicoes!K:R,7,0),0)))</f>
        <v>13</v>
      </c>
      <c r="O470" s="28">
        <f>IF(AND(K470=L470,LEFT(E470,1)="T"),VLOOKUP(A470,'JOGOS BASE'!A:E,5,0),IF(K470=J470,VLOOKUP(J470,Substituicoes!J:R,7,0),IF(L470=J470,VLOOKUP(Escalacao!J470,Substituicoes!K:R,8,0),0)))</f>
        <v>52</v>
      </c>
      <c r="P470" s="28">
        <f t="shared" si="58"/>
        <v>65</v>
      </c>
      <c r="Q470" s="28" t="str">
        <f t="shared" si="59"/>
        <v>1218Viana - MA</v>
      </c>
      <c r="R470" s="28" t="str">
        <f>VLOOKUP(A470,'JOGOS BASE'!A:H,8)</f>
        <v>26.01.2025 - Viana - MA x Maranhão - MA</v>
      </c>
    </row>
    <row r="471" spans="1:18" ht="30.6">
      <c r="A471" s="15">
        <v>12</v>
      </c>
      <c r="B471" s="46">
        <v>19</v>
      </c>
      <c r="C471" s="45" t="s">
        <v>715</v>
      </c>
      <c r="D471" s="45" t="s">
        <v>716</v>
      </c>
      <c r="E471" s="47" t="s">
        <v>42</v>
      </c>
      <c r="F471" s="47" t="s">
        <v>24</v>
      </c>
      <c r="G471" s="46">
        <v>639240</v>
      </c>
      <c r="H471" s="18" t="s">
        <v>381</v>
      </c>
      <c r="I471" s="26" t="str">
        <f t="shared" si="55"/>
        <v>THIAGO</v>
      </c>
      <c r="J471" s="26" t="str">
        <f t="shared" si="56"/>
        <v>12Viana - MA19</v>
      </c>
      <c r="K471" s="27" t="str">
        <f>IFERROR(VLOOKUP(J471,Substituicoes!J:J,1,0),"SS")</f>
        <v>SS</v>
      </c>
      <c r="L471" s="27" t="str">
        <f>IFERROR(VLOOKUP(J471,Substituicoes!K:K,1,0),"SS")</f>
        <v>SS</v>
      </c>
      <c r="M471" s="28" t="b">
        <f t="shared" si="57"/>
        <v>1</v>
      </c>
      <c r="N471" s="29">
        <f>IF(AND(K471=L471,LEFT(E471,1)="T"),VLOOKUP(A471,'JOGOS BASE'!A:E,4,0),IF(K471=J471,VLOOKUP(J471,Substituicoes!J:R,6,0),IF(L471=J471,VLOOKUP(Escalacao!J471,Substituicoes!K:R,7,0),0)))</f>
        <v>0</v>
      </c>
      <c r="O471" s="28">
        <f>IF(AND(K471=L471,LEFT(E471,1)="T"),VLOOKUP(A471,'JOGOS BASE'!A:E,5,0),IF(K471=J471,VLOOKUP(J471,Substituicoes!J:R,7,0),IF(L471=J471,VLOOKUP(Escalacao!J471,Substituicoes!K:R,8,0),0)))</f>
        <v>0</v>
      </c>
      <c r="P471" s="28">
        <f t="shared" si="58"/>
        <v>0</v>
      </c>
      <c r="Q471" s="28" t="str">
        <f t="shared" si="59"/>
        <v>1219Viana - MA</v>
      </c>
      <c r="R471" s="28" t="str">
        <f>VLOOKUP(A471,'JOGOS BASE'!A:H,8)</f>
        <v>26.01.2025 - Viana - MA x Maranhão - MA</v>
      </c>
    </row>
    <row r="472" spans="1:18" ht="20.399999999999999">
      <c r="A472" s="15">
        <v>12</v>
      </c>
      <c r="B472" s="46">
        <v>1</v>
      </c>
      <c r="C472" s="45" t="s">
        <v>214</v>
      </c>
      <c r="D472" s="45" t="s">
        <v>215</v>
      </c>
      <c r="E472" s="47" t="s">
        <v>23</v>
      </c>
      <c r="F472" s="47" t="s">
        <v>24</v>
      </c>
      <c r="G472" s="46">
        <v>343441</v>
      </c>
      <c r="H472" s="18" t="s">
        <v>260</v>
      </c>
      <c r="I472" s="26" t="str">
        <f t="shared" si="55"/>
        <v>Jean</v>
      </c>
      <c r="J472" s="26" t="str">
        <f t="shared" si="56"/>
        <v>12Maranhão - MA1</v>
      </c>
      <c r="K472" s="27" t="str">
        <f>IFERROR(VLOOKUP(J472,Substituicoes!J:J,1,0),"SS")</f>
        <v>SS</v>
      </c>
      <c r="L472" s="27" t="str">
        <f>IFERROR(VLOOKUP(J472,Substituicoes!K:K,1,0),"SS")</f>
        <v>SS</v>
      </c>
      <c r="M472" s="28" t="b">
        <f t="shared" si="57"/>
        <v>1</v>
      </c>
      <c r="N472" s="29">
        <f>IF(AND(K472=L472,LEFT(E472,1)="T"),VLOOKUP(A472,'JOGOS BASE'!A:E,4,0),IF(K472=J472,VLOOKUP(J472,Substituicoes!J:R,6,0),IF(L472=J472,VLOOKUP(Escalacao!J472,Substituicoes!K:R,7,0),0)))</f>
        <v>47</v>
      </c>
      <c r="O472" s="28">
        <f>IF(AND(K472=L472,LEFT(E472,1)="T"),VLOOKUP(A472,'JOGOS BASE'!A:E,5,0),IF(K472=J472,VLOOKUP(J472,Substituicoes!J:R,7,0),IF(L472=J472,VLOOKUP(Escalacao!J472,Substituicoes!K:R,8,0),0)))</f>
        <v>52</v>
      </c>
      <c r="P472" s="28">
        <f t="shared" si="58"/>
        <v>99</v>
      </c>
      <c r="Q472" s="28" t="str">
        <f t="shared" si="59"/>
        <v>121Maranhão - MA</v>
      </c>
      <c r="R472" s="28" t="str">
        <f>VLOOKUP(A472,'JOGOS BASE'!A:H,8)</f>
        <v>26.01.2025 - Viana - MA x Maranhão - MA</v>
      </c>
    </row>
    <row r="473" spans="1:18" ht="30.6">
      <c r="A473" s="15">
        <v>12</v>
      </c>
      <c r="B473" s="46">
        <v>2</v>
      </c>
      <c r="C473" s="45" t="s">
        <v>216</v>
      </c>
      <c r="D473" s="45" t="s">
        <v>217</v>
      </c>
      <c r="E473" s="47" t="s">
        <v>26</v>
      </c>
      <c r="F473" s="47" t="s">
        <v>24</v>
      </c>
      <c r="G473" s="46">
        <v>359014</v>
      </c>
      <c r="H473" s="18" t="s">
        <v>260</v>
      </c>
      <c r="I473" s="26" t="str">
        <f t="shared" si="55"/>
        <v>Franklin</v>
      </c>
      <c r="J473" s="26" t="str">
        <f t="shared" si="56"/>
        <v>12Maranhão - MA2</v>
      </c>
      <c r="K473" s="27" t="str">
        <f>IFERROR(VLOOKUP(J473,Substituicoes!J:J,1,0),"SS")</f>
        <v>SS</v>
      </c>
      <c r="L473" s="27" t="str">
        <f>IFERROR(VLOOKUP(J473,Substituicoes!K:K,1,0),"SS")</f>
        <v>SS</v>
      </c>
      <c r="M473" s="28" t="b">
        <f t="shared" si="57"/>
        <v>1</v>
      </c>
      <c r="N473" s="29">
        <f>IF(AND(K473=L473,LEFT(E473,1)="T"),VLOOKUP(A473,'JOGOS BASE'!A:E,4,0),IF(K473=J473,VLOOKUP(J473,Substituicoes!J:R,6,0),IF(L473=J473,VLOOKUP(Escalacao!J473,Substituicoes!K:R,7,0),0)))</f>
        <v>47</v>
      </c>
      <c r="O473" s="28">
        <f>IF(AND(K473=L473,LEFT(E473,1)="T"),VLOOKUP(A473,'JOGOS BASE'!A:E,5,0),IF(K473=J473,VLOOKUP(J473,Substituicoes!J:R,7,0),IF(L473=J473,VLOOKUP(Escalacao!J473,Substituicoes!K:R,8,0),0)))</f>
        <v>52</v>
      </c>
      <c r="P473" s="28">
        <f t="shared" si="58"/>
        <v>99</v>
      </c>
      <c r="Q473" s="28" t="str">
        <f t="shared" si="59"/>
        <v>122Maranhão - MA</v>
      </c>
      <c r="R473" s="28" t="str">
        <f>VLOOKUP(A473,'JOGOS BASE'!A:H,8)</f>
        <v>26.01.2025 - Viana - MA x Maranhão - MA</v>
      </c>
    </row>
    <row r="474" spans="1:18" ht="30.6">
      <c r="A474" s="15">
        <v>12</v>
      </c>
      <c r="B474" s="46">
        <v>3</v>
      </c>
      <c r="C474" s="45" t="s">
        <v>218</v>
      </c>
      <c r="D474" s="45" t="s">
        <v>219</v>
      </c>
      <c r="E474" s="47" t="s">
        <v>26</v>
      </c>
      <c r="F474" s="47" t="s">
        <v>24</v>
      </c>
      <c r="G474" s="46">
        <v>401846</v>
      </c>
      <c r="H474" s="18" t="s">
        <v>260</v>
      </c>
      <c r="I474" s="26" t="str">
        <f t="shared" si="55"/>
        <v>Luiz Fernando</v>
      </c>
      <c r="J474" s="26" t="str">
        <f t="shared" si="56"/>
        <v>12Maranhão - MA3</v>
      </c>
      <c r="K474" s="27" t="str">
        <f>IFERROR(VLOOKUP(J474,Substituicoes!J:J,1,0),"SS")</f>
        <v>SS</v>
      </c>
      <c r="L474" s="27" t="str">
        <f>IFERROR(VLOOKUP(J474,Substituicoes!K:K,1,0),"SS")</f>
        <v>SS</v>
      </c>
      <c r="M474" s="28" t="b">
        <f t="shared" si="57"/>
        <v>1</v>
      </c>
      <c r="N474" s="29">
        <f>IF(AND(K474=L474,LEFT(E474,1)="T"),VLOOKUP(A474,'JOGOS BASE'!A:E,4,0),IF(K474=J474,VLOOKUP(J474,Substituicoes!J:R,6,0),IF(L474=J474,VLOOKUP(Escalacao!J474,Substituicoes!K:R,7,0),0)))</f>
        <v>47</v>
      </c>
      <c r="O474" s="28">
        <f>IF(AND(K474=L474,LEFT(E474,1)="T"),VLOOKUP(A474,'JOGOS BASE'!A:E,5,0),IF(K474=J474,VLOOKUP(J474,Substituicoes!J:R,7,0),IF(L474=J474,VLOOKUP(Escalacao!J474,Substituicoes!K:R,8,0),0)))</f>
        <v>52</v>
      </c>
      <c r="P474" s="28">
        <f t="shared" si="58"/>
        <v>99</v>
      </c>
      <c r="Q474" s="28" t="str">
        <f t="shared" si="59"/>
        <v>123Maranhão - MA</v>
      </c>
      <c r="R474" s="28" t="str">
        <f>VLOOKUP(A474,'JOGOS BASE'!A:H,8)</f>
        <v>26.01.2025 - Viana - MA x Maranhão - MA</v>
      </c>
    </row>
    <row r="475" spans="1:18" ht="20.399999999999999">
      <c r="A475" s="15">
        <v>12</v>
      </c>
      <c r="B475" s="46">
        <v>4</v>
      </c>
      <c r="C475" s="45" t="s">
        <v>242</v>
      </c>
      <c r="D475" s="45" t="s">
        <v>243</v>
      </c>
      <c r="E475" s="47" t="s">
        <v>26</v>
      </c>
      <c r="F475" s="47" t="s">
        <v>24</v>
      </c>
      <c r="G475" s="46">
        <v>375673</v>
      </c>
      <c r="H475" s="18" t="s">
        <v>260</v>
      </c>
      <c r="I475" s="26" t="str">
        <f t="shared" si="55"/>
        <v>Julio Nasc ...</v>
      </c>
      <c r="J475" s="26" t="str">
        <f t="shared" si="56"/>
        <v>12Maranhão - MA4</v>
      </c>
      <c r="K475" s="27" t="str">
        <f>IFERROR(VLOOKUP(J475,Substituicoes!J:J,1,0),"SS")</f>
        <v>SS</v>
      </c>
      <c r="L475" s="27" t="str">
        <f>IFERROR(VLOOKUP(J475,Substituicoes!K:K,1,0),"SS")</f>
        <v>SS</v>
      </c>
      <c r="M475" s="28" t="b">
        <f t="shared" si="57"/>
        <v>1</v>
      </c>
      <c r="N475" s="29">
        <f>IF(AND(K475=L475,LEFT(E475,1)="T"),VLOOKUP(A475,'JOGOS BASE'!A:E,4,0),IF(K475=J475,VLOOKUP(J475,Substituicoes!J:R,6,0),IF(L475=J475,VLOOKUP(Escalacao!J475,Substituicoes!K:R,7,0),0)))</f>
        <v>47</v>
      </c>
      <c r="O475" s="28">
        <f>IF(AND(K475=L475,LEFT(E475,1)="T"),VLOOKUP(A475,'JOGOS BASE'!A:E,5,0),IF(K475=J475,VLOOKUP(J475,Substituicoes!J:R,7,0),IF(L475=J475,VLOOKUP(Escalacao!J475,Substituicoes!K:R,8,0),0)))</f>
        <v>52</v>
      </c>
      <c r="P475" s="28">
        <f t="shared" si="58"/>
        <v>99</v>
      </c>
      <c r="Q475" s="28" t="str">
        <f t="shared" si="59"/>
        <v>124Maranhão - MA</v>
      </c>
      <c r="R475" s="28" t="str">
        <f>VLOOKUP(A475,'JOGOS BASE'!A:H,8)</f>
        <v>26.01.2025 - Viana - MA x Maranhão - MA</v>
      </c>
    </row>
    <row r="476" spans="1:18" ht="30.6">
      <c r="A476" s="15">
        <v>12</v>
      </c>
      <c r="B476" s="46">
        <v>5</v>
      </c>
      <c r="C476" s="45" t="s">
        <v>248</v>
      </c>
      <c r="D476" s="45" t="s">
        <v>249</v>
      </c>
      <c r="E476" s="47" t="s">
        <v>26</v>
      </c>
      <c r="F476" s="47" t="s">
        <v>24</v>
      </c>
      <c r="G476" s="46">
        <v>747375</v>
      </c>
      <c r="H476" s="18" t="s">
        <v>260</v>
      </c>
      <c r="I476" s="26" t="str">
        <f t="shared" si="55"/>
        <v>MARCOS</v>
      </c>
      <c r="J476" s="26" t="str">
        <f t="shared" si="56"/>
        <v>12Maranhão - MA5</v>
      </c>
      <c r="K476" s="27" t="str">
        <f>IFERROR(VLOOKUP(J476,Substituicoes!J:J,1,0),"SS")</f>
        <v>SS</v>
      </c>
      <c r="L476" s="27" t="str">
        <f>IFERROR(VLOOKUP(J476,Substituicoes!K:K,1,0),"SS")</f>
        <v>SS</v>
      </c>
      <c r="M476" s="28" t="b">
        <f t="shared" si="57"/>
        <v>1</v>
      </c>
      <c r="N476" s="29">
        <f>IF(AND(K476=L476,LEFT(E476,1)="T"),VLOOKUP(A476,'JOGOS BASE'!A:E,4,0),IF(K476=J476,VLOOKUP(J476,Substituicoes!J:R,6,0),IF(L476=J476,VLOOKUP(Escalacao!J476,Substituicoes!K:R,7,0),0)))</f>
        <v>47</v>
      </c>
      <c r="O476" s="28">
        <f>IF(AND(K476=L476,LEFT(E476,1)="T"),VLOOKUP(A476,'JOGOS BASE'!A:E,5,0),IF(K476=J476,VLOOKUP(J476,Substituicoes!J:R,7,0),IF(L476=J476,VLOOKUP(Escalacao!J476,Substituicoes!K:R,8,0),0)))</f>
        <v>52</v>
      </c>
      <c r="P476" s="28">
        <f t="shared" si="58"/>
        <v>99</v>
      </c>
      <c r="Q476" s="28" t="str">
        <f t="shared" si="59"/>
        <v>125Maranhão - MA</v>
      </c>
      <c r="R476" s="28" t="str">
        <f>VLOOKUP(A476,'JOGOS BASE'!A:H,8)</f>
        <v>26.01.2025 - Viana - MA x Maranhão - MA</v>
      </c>
    </row>
    <row r="477" spans="1:18" ht="30.6">
      <c r="A477" s="15">
        <v>12</v>
      </c>
      <c r="B477" s="46">
        <v>6</v>
      </c>
      <c r="C477" s="45" t="s">
        <v>224</v>
      </c>
      <c r="D477" s="45" t="s">
        <v>225</v>
      </c>
      <c r="E477" s="47" t="s">
        <v>26</v>
      </c>
      <c r="F477" s="47" t="s">
        <v>24</v>
      </c>
      <c r="G477" s="46">
        <v>414464</v>
      </c>
      <c r="H477" s="18" t="s">
        <v>260</v>
      </c>
      <c r="I477" s="26" t="str">
        <f t="shared" si="55"/>
        <v>Andre</v>
      </c>
      <c r="J477" s="26" t="str">
        <f t="shared" si="56"/>
        <v>12Maranhão - MA6</v>
      </c>
      <c r="K477" s="27" t="str">
        <f>IFERROR(VLOOKUP(J477,Substituicoes!J:J,1,0),"SS")</f>
        <v>SS</v>
      </c>
      <c r="L477" s="27" t="str">
        <f>IFERROR(VLOOKUP(J477,Substituicoes!K:K,1,0),"SS")</f>
        <v>12Maranhão - MA6</v>
      </c>
      <c r="M477" s="28" t="b">
        <f t="shared" si="57"/>
        <v>0</v>
      </c>
      <c r="N477" s="29">
        <f>IF(AND(K477=L477,LEFT(E477,1)="T"),VLOOKUP(A477,'JOGOS BASE'!A:E,4,0),IF(K477=J477,VLOOKUP(J477,Substituicoes!J:R,6,0),IF(L477=J477,VLOOKUP(Escalacao!J477,Substituicoes!K:R,7,0),0)))</f>
        <v>47</v>
      </c>
      <c r="O477" s="28">
        <f>IF(AND(K477=L477,LEFT(E477,1)="T"),VLOOKUP(A477,'JOGOS BASE'!A:E,5,0),IF(K477=J477,VLOOKUP(J477,Substituicoes!J:R,7,0),IF(L477=J477,VLOOKUP(Escalacao!J477,Substituicoes!K:R,8,0),0)))</f>
        <v>16</v>
      </c>
      <c r="P477" s="28">
        <f t="shared" si="58"/>
        <v>63</v>
      </c>
      <c r="Q477" s="28" t="str">
        <f t="shared" si="59"/>
        <v>126Maranhão - MA</v>
      </c>
      <c r="R477" s="28" t="str">
        <f>VLOOKUP(A477,'JOGOS BASE'!A:H,8)</f>
        <v>26.01.2025 - Viana - MA x Maranhão - MA</v>
      </c>
    </row>
    <row r="478" spans="1:18" ht="20.399999999999999">
      <c r="A478" s="15">
        <v>12</v>
      </c>
      <c r="B478" s="46">
        <v>7</v>
      </c>
      <c r="C478" s="45" t="s">
        <v>238</v>
      </c>
      <c r="D478" s="45" t="s">
        <v>239</v>
      </c>
      <c r="E478" s="47" t="s">
        <v>26</v>
      </c>
      <c r="F478" s="47" t="s">
        <v>24</v>
      </c>
      <c r="G478" s="46">
        <v>739934</v>
      </c>
      <c r="H478" s="18" t="s">
        <v>260</v>
      </c>
      <c r="I478" s="26" t="str">
        <f t="shared" si="55"/>
        <v>GUILHERME</v>
      </c>
      <c r="J478" s="26" t="str">
        <f t="shared" si="56"/>
        <v>12Maranhão - MA7</v>
      </c>
      <c r="K478" s="27" t="str">
        <f>IFERROR(VLOOKUP(J478,Substituicoes!J:J,1,0),"SS")</f>
        <v>SS</v>
      </c>
      <c r="L478" s="27" t="str">
        <f>IFERROR(VLOOKUP(J478,Substituicoes!K:K,1,0),"SS")</f>
        <v>12Maranhão - MA7</v>
      </c>
      <c r="M478" s="28" t="b">
        <f t="shared" si="57"/>
        <v>0</v>
      </c>
      <c r="N478" s="29">
        <f>IF(AND(K478=L478,LEFT(E478,1)="T"),VLOOKUP(A478,'JOGOS BASE'!A:E,4,0),IF(K478=J478,VLOOKUP(J478,Substituicoes!J:R,6,0),IF(L478=J478,VLOOKUP(Escalacao!J478,Substituicoes!K:R,7,0),0)))</f>
        <v>47</v>
      </c>
      <c r="O478" s="28">
        <f>IF(AND(K478=L478,LEFT(E478,1)="T"),VLOOKUP(A478,'JOGOS BASE'!A:E,5,0),IF(K478=J478,VLOOKUP(J478,Substituicoes!J:R,7,0),IF(L478=J478,VLOOKUP(Escalacao!J478,Substituicoes!K:R,8,0),0)))</f>
        <v>20</v>
      </c>
      <c r="P478" s="28">
        <f t="shared" si="58"/>
        <v>67</v>
      </c>
      <c r="Q478" s="28" t="str">
        <f t="shared" si="59"/>
        <v>127Maranhão - MA</v>
      </c>
      <c r="R478" s="28" t="str">
        <f>VLOOKUP(A478,'JOGOS BASE'!A:H,8)</f>
        <v>26.01.2025 - Viana - MA x Maranhão - MA</v>
      </c>
    </row>
    <row r="479" spans="1:18" ht="30.6">
      <c r="A479" s="15">
        <v>12</v>
      </c>
      <c r="B479" s="46">
        <v>8</v>
      </c>
      <c r="C479" s="45" t="s">
        <v>252</v>
      </c>
      <c r="D479" s="45" t="s">
        <v>253</v>
      </c>
      <c r="E479" s="47" t="s">
        <v>26</v>
      </c>
      <c r="F479" s="47" t="s">
        <v>24</v>
      </c>
      <c r="G479" s="46">
        <v>543877</v>
      </c>
      <c r="H479" s="18" t="s">
        <v>260</v>
      </c>
      <c r="I479" s="26" t="str">
        <f t="shared" si="55"/>
        <v>Emerson Fr ...</v>
      </c>
      <c r="J479" s="26" t="str">
        <f t="shared" si="56"/>
        <v>12Maranhão - MA8</v>
      </c>
      <c r="K479" s="27" t="str">
        <f>IFERROR(VLOOKUP(J479,Substituicoes!J:J,1,0),"SS")</f>
        <v>SS</v>
      </c>
      <c r="L479" s="27" t="str">
        <f>IFERROR(VLOOKUP(J479,Substituicoes!K:K,1,0),"SS")</f>
        <v>12Maranhão - MA8</v>
      </c>
      <c r="M479" s="28" t="b">
        <f t="shared" si="57"/>
        <v>0</v>
      </c>
      <c r="N479" s="29">
        <f>IF(AND(K479=L479,LEFT(E479,1)="T"),VLOOKUP(A479,'JOGOS BASE'!A:E,4,0),IF(K479=J479,VLOOKUP(J479,Substituicoes!J:R,6,0),IF(L479=J479,VLOOKUP(Escalacao!J479,Substituicoes!K:R,7,0),0)))</f>
        <v>47</v>
      </c>
      <c r="O479" s="28">
        <f>IF(AND(K479=L479,LEFT(E479,1)="T"),VLOOKUP(A479,'JOGOS BASE'!A:E,5,0),IF(K479=J479,VLOOKUP(J479,Substituicoes!J:R,7,0),IF(L479=J479,VLOOKUP(Escalacao!J479,Substituicoes!K:R,8,0),0)))</f>
        <v>0</v>
      </c>
      <c r="P479" s="28">
        <f t="shared" si="58"/>
        <v>47</v>
      </c>
      <c r="Q479" s="28" t="str">
        <f t="shared" si="59"/>
        <v>128Maranhão - MA</v>
      </c>
      <c r="R479" s="28" t="str">
        <f>VLOOKUP(A479,'JOGOS BASE'!A:H,8)</f>
        <v>26.01.2025 - Viana - MA x Maranhão - MA</v>
      </c>
    </row>
    <row r="480" spans="1:18" ht="30.6">
      <c r="A480" s="15">
        <v>12</v>
      </c>
      <c r="B480" s="46">
        <v>9</v>
      </c>
      <c r="C480" s="45" t="s">
        <v>228</v>
      </c>
      <c r="D480" s="45" t="s">
        <v>229</v>
      </c>
      <c r="E480" s="47" t="s">
        <v>26</v>
      </c>
      <c r="F480" s="47" t="s">
        <v>24</v>
      </c>
      <c r="G480" s="46">
        <v>610235</v>
      </c>
      <c r="H480" s="18" t="s">
        <v>260</v>
      </c>
      <c r="I480" s="26" t="str">
        <f t="shared" si="55"/>
        <v>loro</v>
      </c>
      <c r="J480" s="26" t="str">
        <f t="shared" si="56"/>
        <v>12Maranhão - MA9</v>
      </c>
      <c r="K480" s="27" t="str">
        <f>IFERROR(VLOOKUP(J480,Substituicoes!J:J,1,0),"SS")</f>
        <v>SS</v>
      </c>
      <c r="L480" s="27" t="str">
        <f>IFERROR(VLOOKUP(J480,Substituicoes!K:K,1,0),"SS")</f>
        <v>SS</v>
      </c>
      <c r="M480" s="28" t="b">
        <f t="shared" si="57"/>
        <v>1</v>
      </c>
      <c r="N480" s="29">
        <f>IF(AND(K480=L480,LEFT(E480,1)="T"),VLOOKUP(A480,'JOGOS BASE'!A:E,4,0),IF(K480=J480,VLOOKUP(J480,Substituicoes!J:R,6,0),IF(L480=J480,VLOOKUP(Escalacao!J480,Substituicoes!K:R,7,0),0)))</f>
        <v>47</v>
      </c>
      <c r="O480" s="28">
        <f>IF(AND(K480=L480,LEFT(E480,1)="T"),VLOOKUP(A480,'JOGOS BASE'!A:E,5,0),IF(K480=J480,VLOOKUP(J480,Substituicoes!J:R,7,0),IF(L480=J480,VLOOKUP(Escalacao!J480,Substituicoes!K:R,8,0),0)))</f>
        <v>52</v>
      </c>
      <c r="P480" s="28">
        <f t="shared" si="58"/>
        <v>99</v>
      </c>
      <c r="Q480" s="28" t="str">
        <f t="shared" si="59"/>
        <v>129Maranhão - MA</v>
      </c>
      <c r="R480" s="28" t="str">
        <f>VLOOKUP(A480,'JOGOS BASE'!A:H,8)</f>
        <v>26.01.2025 - Viana - MA x Maranhão - MA</v>
      </c>
    </row>
    <row r="481" spans="1:18" ht="30.6">
      <c r="A481" s="15">
        <v>12</v>
      </c>
      <c r="B481" s="46">
        <v>10</v>
      </c>
      <c r="C481" s="45" t="s">
        <v>230</v>
      </c>
      <c r="D481" s="45" t="s">
        <v>231</v>
      </c>
      <c r="E481" s="47" t="s">
        <v>26</v>
      </c>
      <c r="F481" s="47" t="s">
        <v>24</v>
      </c>
      <c r="G481" s="46">
        <v>699185</v>
      </c>
      <c r="H481" s="18" t="s">
        <v>260</v>
      </c>
      <c r="I481" s="26" t="str">
        <f t="shared" si="55"/>
        <v>Jorge Rocha</v>
      </c>
      <c r="J481" s="26" t="str">
        <f t="shared" si="56"/>
        <v>12Maranhão - MA10</v>
      </c>
      <c r="K481" s="27" t="str">
        <f>IFERROR(VLOOKUP(J481,Substituicoes!J:J,1,0),"SS")</f>
        <v>SS</v>
      </c>
      <c r="L481" s="27" t="str">
        <f>IFERROR(VLOOKUP(J481,Substituicoes!K:K,1,0),"SS")</f>
        <v>12Maranhão - MA10</v>
      </c>
      <c r="M481" s="28" t="b">
        <f t="shared" si="57"/>
        <v>0</v>
      </c>
      <c r="N481" s="29">
        <f>IF(AND(K481=L481,LEFT(E481,1)="T"),VLOOKUP(A481,'JOGOS BASE'!A:E,4,0),IF(K481=J481,VLOOKUP(J481,Substituicoes!J:R,6,0),IF(L481=J481,VLOOKUP(Escalacao!J481,Substituicoes!K:R,7,0),0)))</f>
        <v>47</v>
      </c>
      <c r="O481" s="28">
        <f>IF(AND(K481=L481,LEFT(E481,1)="T"),VLOOKUP(A481,'JOGOS BASE'!A:E,5,0),IF(K481=J481,VLOOKUP(J481,Substituicoes!J:R,7,0),IF(L481=J481,VLOOKUP(Escalacao!J481,Substituicoes!K:R,8,0),0)))</f>
        <v>16</v>
      </c>
      <c r="P481" s="28">
        <f t="shared" si="58"/>
        <v>63</v>
      </c>
      <c r="Q481" s="28" t="str">
        <f t="shared" si="59"/>
        <v>1210Maranhão - MA</v>
      </c>
      <c r="R481" s="28" t="str">
        <f>VLOOKUP(A481,'JOGOS BASE'!A:H,8)</f>
        <v>26.01.2025 - Viana - MA x Maranhão - MA</v>
      </c>
    </row>
    <row r="482" spans="1:18" ht="30.6">
      <c r="A482" s="15">
        <v>12</v>
      </c>
      <c r="B482" s="46">
        <v>22</v>
      </c>
      <c r="C482" s="45" t="s">
        <v>234</v>
      </c>
      <c r="D482" s="45" t="s">
        <v>235</v>
      </c>
      <c r="E482" s="47" t="s">
        <v>26</v>
      </c>
      <c r="F482" s="47" t="s">
        <v>24</v>
      </c>
      <c r="G482" s="46">
        <v>393714</v>
      </c>
      <c r="H482" s="18" t="s">
        <v>260</v>
      </c>
      <c r="I482" s="26" t="str">
        <f t="shared" si="55"/>
        <v>Jerry</v>
      </c>
      <c r="J482" s="26" t="str">
        <f t="shared" si="56"/>
        <v>12Maranhão - MA22</v>
      </c>
      <c r="K482" s="27" t="str">
        <f>IFERROR(VLOOKUP(J482,Substituicoes!J:J,1,0),"SS")</f>
        <v>SS</v>
      </c>
      <c r="L482" s="27" t="str">
        <f>IFERROR(VLOOKUP(J482,Substituicoes!K:K,1,0),"SS")</f>
        <v>12Maranhão - MA22</v>
      </c>
      <c r="M482" s="28" t="b">
        <f t="shared" si="57"/>
        <v>0</v>
      </c>
      <c r="N482" s="29">
        <f>IF(AND(K482=L482,LEFT(E482,1)="T"),VLOOKUP(A482,'JOGOS BASE'!A:E,4,0),IF(K482=J482,VLOOKUP(J482,Substituicoes!J:R,6,0),IF(L482=J482,VLOOKUP(Escalacao!J482,Substituicoes!K:R,7,0),0)))</f>
        <v>47</v>
      </c>
      <c r="O482" s="28">
        <f>IF(AND(K482=L482,LEFT(E482,1)="T"),VLOOKUP(A482,'JOGOS BASE'!A:E,5,0),IF(K482=J482,VLOOKUP(J482,Substituicoes!J:R,7,0),IF(L482=J482,VLOOKUP(Escalacao!J482,Substituicoes!K:R,8,0),0)))</f>
        <v>20</v>
      </c>
      <c r="P482" s="28">
        <f t="shared" si="58"/>
        <v>67</v>
      </c>
      <c r="Q482" s="28" t="str">
        <f t="shared" si="59"/>
        <v>1222Maranhão - MA</v>
      </c>
      <c r="R482" s="28" t="str">
        <f>VLOOKUP(A482,'JOGOS BASE'!A:H,8)</f>
        <v>26.01.2025 - Viana - MA x Maranhão - MA</v>
      </c>
    </row>
    <row r="483" spans="1:18" ht="30.6">
      <c r="A483" s="15">
        <v>12</v>
      </c>
      <c r="B483" s="46">
        <v>12</v>
      </c>
      <c r="C483" s="45" t="s">
        <v>717</v>
      </c>
      <c r="D483" s="45" t="s">
        <v>718</v>
      </c>
      <c r="E483" s="47" t="s">
        <v>40</v>
      </c>
      <c r="F483" s="47" t="s">
        <v>24</v>
      </c>
      <c r="G483" s="46">
        <v>671394</v>
      </c>
      <c r="H483" s="18" t="s">
        <v>260</v>
      </c>
      <c r="I483" s="26" t="str">
        <f t="shared" si="55"/>
        <v>Jefferson</v>
      </c>
      <c r="J483" s="26" t="str">
        <f t="shared" si="56"/>
        <v>12Maranhão - MA12</v>
      </c>
      <c r="K483" s="27" t="str">
        <f>IFERROR(VLOOKUP(J483,Substituicoes!J:J,1,0),"SS")</f>
        <v>SS</v>
      </c>
      <c r="L483" s="27" t="str">
        <f>IFERROR(VLOOKUP(J483,Substituicoes!K:K,1,0),"SS")</f>
        <v>SS</v>
      </c>
      <c r="M483" s="28" t="b">
        <f t="shared" si="57"/>
        <v>1</v>
      </c>
      <c r="N483" s="29">
        <f>IF(AND(K483=L483,LEFT(E483,1)="T"),VLOOKUP(A483,'JOGOS BASE'!A:E,4,0),IF(K483=J483,VLOOKUP(J483,Substituicoes!J:R,6,0),IF(L483=J483,VLOOKUP(Escalacao!J483,Substituicoes!K:R,7,0),0)))</f>
        <v>0</v>
      </c>
      <c r="O483" s="28">
        <f>IF(AND(K483=L483,LEFT(E483,1)="T"),VLOOKUP(A483,'JOGOS BASE'!A:E,5,0),IF(K483=J483,VLOOKUP(J483,Substituicoes!J:R,7,0),IF(L483=J483,VLOOKUP(Escalacao!J483,Substituicoes!K:R,8,0),0)))</f>
        <v>0</v>
      </c>
      <c r="P483" s="28">
        <f t="shared" si="58"/>
        <v>0</v>
      </c>
      <c r="Q483" s="28" t="str">
        <f t="shared" si="59"/>
        <v>1212Maranhão - MA</v>
      </c>
      <c r="R483" s="28" t="str">
        <f>VLOOKUP(A483,'JOGOS BASE'!A:H,8)</f>
        <v>26.01.2025 - Viana - MA x Maranhão - MA</v>
      </c>
    </row>
    <row r="484" spans="1:18" ht="30.6">
      <c r="A484" s="15">
        <v>12</v>
      </c>
      <c r="B484" s="46">
        <v>11</v>
      </c>
      <c r="C484" s="45" t="s">
        <v>232</v>
      </c>
      <c r="D484" s="45" t="s">
        <v>233</v>
      </c>
      <c r="E484" s="47" t="s">
        <v>42</v>
      </c>
      <c r="F484" s="47" t="s">
        <v>24</v>
      </c>
      <c r="G484" s="46">
        <v>618785</v>
      </c>
      <c r="H484" s="18" t="s">
        <v>260</v>
      </c>
      <c r="I484" s="26" t="str">
        <f t="shared" si="55"/>
        <v>Ryan</v>
      </c>
      <c r="J484" s="26" t="str">
        <f t="shared" si="56"/>
        <v>12Maranhão - MA11</v>
      </c>
      <c r="K484" s="27" t="str">
        <f>IFERROR(VLOOKUP(J484,Substituicoes!J:J,1,0),"SS")</f>
        <v>12Maranhão - MA11</v>
      </c>
      <c r="L484" s="27" t="str">
        <f>IFERROR(VLOOKUP(J484,Substituicoes!K:K,1,0),"SS")</f>
        <v>SS</v>
      </c>
      <c r="M484" s="28" t="b">
        <f t="shared" si="57"/>
        <v>0</v>
      </c>
      <c r="N484" s="29">
        <f>IF(AND(K484=L484,LEFT(E484,1)="T"),VLOOKUP(A484,'JOGOS BASE'!A:E,4,0),IF(K484=J484,VLOOKUP(J484,Substituicoes!J:R,6,0),IF(L484=J484,VLOOKUP(Escalacao!J484,Substituicoes!K:R,7,0),0)))</f>
        <v>0</v>
      </c>
      <c r="O484" s="28">
        <f>IF(AND(K484=L484,LEFT(E484,1)="T"),VLOOKUP(A484,'JOGOS BASE'!A:E,5,0),IF(K484=J484,VLOOKUP(J484,Substituicoes!J:R,7,0),IF(L484=J484,VLOOKUP(Escalacao!J484,Substituicoes!K:R,8,0),0)))</f>
        <v>32</v>
      </c>
      <c r="P484" s="28">
        <f t="shared" si="58"/>
        <v>32</v>
      </c>
      <c r="Q484" s="28" t="str">
        <f t="shared" si="59"/>
        <v>1211Maranhão - MA</v>
      </c>
      <c r="R484" s="28" t="str">
        <f>VLOOKUP(A484,'JOGOS BASE'!A:H,8)</f>
        <v>26.01.2025 - Viana - MA x Maranhão - MA</v>
      </c>
    </row>
    <row r="485" spans="1:18" ht="20.399999999999999">
      <c r="A485" s="15">
        <v>12</v>
      </c>
      <c r="B485" s="46">
        <v>13</v>
      </c>
      <c r="C485" s="45" t="s">
        <v>719</v>
      </c>
      <c r="D485" s="45" t="s">
        <v>720</v>
      </c>
      <c r="E485" s="47" t="s">
        <v>42</v>
      </c>
      <c r="F485" s="47" t="s">
        <v>56</v>
      </c>
      <c r="G485" s="46">
        <v>776078</v>
      </c>
      <c r="H485" s="18" t="s">
        <v>260</v>
      </c>
      <c r="I485" s="26" t="str">
        <f t="shared" si="55"/>
        <v>Almeida</v>
      </c>
      <c r="J485" s="26" t="str">
        <f t="shared" si="56"/>
        <v>12Maranhão - MA13</v>
      </c>
      <c r="K485" s="27" t="str">
        <f>IFERROR(VLOOKUP(J485,Substituicoes!J:J,1,0),"SS")</f>
        <v>SS</v>
      </c>
      <c r="L485" s="27" t="str">
        <f>IFERROR(VLOOKUP(J485,Substituicoes!K:K,1,0),"SS")</f>
        <v>SS</v>
      </c>
      <c r="M485" s="28" t="b">
        <f t="shared" si="57"/>
        <v>1</v>
      </c>
      <c r="N485" s="29">
        <f>IF(AND(K485=L485,LEFT(E485,1)="T"),VLOOKUP(A485,'JOGOS BASE'!A:E,4,0),IF(K485=J485,VLOOKUP(J485,Substituicoes!J:R,6,0),IF(L485=J485,VLOOKUP(Escalacao!J485,Substituicoes!K:R,7,0),0)))</f>
        <v>0</v>
      </c>
      <c r="O485" s="28">
        <f>IF(AND(K485=L485,LEFT(E485,1)="T"),VLOOKUP(A485,'JOGOS BASE'!A:E,5,0),IF(K485=J485,VLOOKUP(J485,Substituicoes!J:R,7,0),IF(L485=J485,VLOOKUP(Escalacao!J485,Substituicoes!K:R,8,0),0)))</f>
        <v>0</v>
      </c>
      <c r="P485" s="28">
        <f t="shared" si="58"/>
        <v>0</v>
      </c>
      <c r="Q485" s="28" t="str">
        <f t="shared" si="59"/>
        <v>1213Maranhão - MA</v>
      </c>
      <c r="R485" s="28" t="str">
        <f>VLOOKUP(A485,'JOGOS BASE'!A:H,8)</f>
        <v>26.01.2025 - Viana - MA x Maranhão - MA</v>
      </c>
    </row>
    <row r="486" spans="1:18" ht="30.6">
      <c r="A486" s="15">
        <v>12</v>
      </c>
      <c r="B486" s="46">
        <v>14</v>
      </c>
      <c r="C486" s="45" t="s">
        <v>244</v>
      </c>
      <c r="D486" s="45" t="s">
        <v>245</v>
      </c>
      <c r="E486" s="47" t="s">
        <v>42</v>
      </c>
      <c r="F486" s="47" t="s">
        <v>24</v>
      </c>
      <c r="G486" s="46">
        <v>597056</v>
      </c>
      <c r="H486" s="18" t="s">
        <v>260</v>
      </c>
      <c r="I486" s="26" t="str">
        <f t="shared" si="55"/>
        <v>EDSON</v>
      </c>
      <c r="J486" s="26" t="str">
        <f t="shared" si="56"/>
        <v>12Maranhão - MA14</v>
      </c>
      <c r="K486" s="27" t="str">
        <f>IFERROR(VLOOKUP(J486,Substituicoes!J:J,1,0),"SS")</f>
        <v>SS</v>
      </c>
      <c r="L486" s="27" t="str">
        <f>IFERROR(VLOOKUP(J486,Substituicoes!K:K,1,0),"SS")</f>
        <v>SS</v>
      </c>
      <c r="M486" s="28" t="b">
        <f t="shared" si="57"/>
        <v>1</v>
      </c>
      <c r="N486" s="29">
        <f>IF(AND(K486=L486,LEFT(E486,1)="T"),VLOOKUP(A486,'JOGOS BASE'!A:E,4,0),IF(K486=J486,VLOOKUP(J486,Substituicoes!J:R,6,0),IF(L486=J486,VLOOKUP(Escalacao!J486,Substituicoes!K:R,7,0),0)))</f>
        <v>0</v>
      </c>
      <c r="O486" s="28">
        <f>IF(AND(K486=L486,LEFT(E486,1)="T"),VLOOKUP(A486,'JOGOS BASE'!A:E,5,0),IF(K486=J486,VLOOKUP(J486,Substituicoes!J:R,7,0),IF(L486=J486,VLOOKUP(Escalacao!J486,Substituicoes!K:R,8,0),0)))</f>
        <v>0</v>
      </c>
      <c r="P486" s="28">
        <f t="shared" si="58"/>
        <v>0</v>
      </c>
      <c r="Q486" s="28" t="str">
        <f t="shared" si="59"/>
        <v>1214Maranhão - MA</v>
      </c>
      <c r="R486" s="28" t="str">
        <f>VLOOKUP(A486,'JOGOS BASE'!A:H,8)</f>
        <v>26.01.2025 - Viana - MA x Maranhão - MA</v>
      </c>
    </row>
    <row r="487" spans="1:18" ht="20.399999999999999">
      <c r="A487" s="15">
        <v>12</v>
      </c>
      <c r="B487" s="46">
        <v>15</v>
      </c>
      <c r="C487" s="45" t="s">
        <v>240</v>
      </c>
      <c r="D487" s="45" t="s">
        <v>241</v>
      </c>
      <c r="E487" s="47" t="s">
        <v>42</v>
      </c>
      <c r="F487" s="47" t="s">
        <v>24</v>
      </c>
      <c r="G487" s="46">
        <v>454987</v>
      </c>
      <c r="H487" s="18" t="s">
        <v>260</v>
      </c>
      <c r="I487" s="26" t="str">
        <f t="shared" si="55"/>
        <v>IGOR</v>
      </c>
      <c r="J487" s="26" t="str">
        <f t="shared" si="56"/>
        <v>12Maranhão - MA15</v>
      </c>
      <c r="K487" s="27" t="str">
        <f>IFERROR(VLOOKUP(J487,Substituicoes!J:J,1,0),"SS")</f>
        <v>SS</v>
      </c>
      <c r="L487" s="27" t="str">
        <f>IFERROR(VLOOKUP(J487,Substituicoes!K:K,1,0),"SS")</f>
        <v>SS</v>
      </c>
      <c r="M487" s="28" t="b">
        <f t="shared" si="57"/>
        <v>1</v>
      </c>
      <c r="N487" s="29">
        <f>IF(AND(K487=L487,LEFT(E487,1)="T"),VLOOKUP(A487,'JOGOS BASE'!A:E,4,0),IF(K487=J487,VLOOKUP(J487,Substituicoes!J:R,6,0),IF(L487=J487,VLOOKUP(Escalacao!J487,Substituicoes!K:R,7,0),0)))</f>
        <v>0</v>
      </c>
      <c r="O487" s="28">
        <f>IF(AND(K487=L487,LEFT(E487,1)="T"),VLOOKUP(A487,'JOGOS BASE'!A:E,5,0),IF(K487=J487,VLOOKUP(J487,Substituicoes!J:R,7,0),IF(L487=J487,VLOOKUP(Escalacao!J487,Substituicoes!K:R,8,0),0)))</f>
        <v>0</v>
      </c>
      <c r="P487" s="28">
        <f t="shared" si="58"/>
        <v>0</v>
      </c>
      <c r="Q487" s="28" t="str">
        <f t="shared" si="59"/>
        <v>1215Maranhão - MA</v>
      </c>
      <c r="R487" s="28" t="str">
        <f>VLOOKUP(A487,'JOGOS BASE'!A:H,8)</f>
        <v>26.01.2025 - Viana - MA x Maranhão - MA</v>
      </c>
    </row>
    <row r="488" spans="1:18" ht="30.6">
      <c r="A488" s="15">
        <v>12</v>
      </c>
      <c r="B488" s="46">
        <v>16</v>
      </c>
      <c r="C488" s="45" t="s">
        <v>246</v>
      </c>
      <c r="D488" s="45" t="s">
        <v>247</v>
      </c>
      <c r="E488" s="47" t="s">
        <v>42</v>
      </c>
      <c r="F488" s="47" t="s">
        <v>24</v>
      </c>
      <c r="G488" s="46">
        <v>595323</v>
      </c>
      <c r="H488" s="18" t="s">
        <v>260</v>
      </c>
      <c r="I488" s="26" t="str">
        <f t="shared" si="55"/>
        <v>Gabriel</v>
      </c>
      <c r="J488" s="26" t="str">
        <f t="shared" si="56"/>
        <v>12Maranhão - MA16</v>
      </c>
      <c r="K488" s="27" t="str">
        <f>IFERROR(VLOOKUP(J488,Substituicoes!J:J,1,0),"SS")</f>
        <v>12Maranhão - MA16</v>
      </c>
      <c r="L488" s="27" t="str">
        <f>IFERROR(VLOOKUP(J488,Substituicoes!K:K,1,0),"SS")</f>
        <v>SS</v>
      </c>
      <c r="M488" s="28" t="b">
        <f t="shared" si="57"/>
        <v>0</v>
      </c>
      <c r="N488" s="29">
        <f>IF(AND(K488=L488,LEFT(E488,1)="T"),VLOOKUP(A488,'JOGOS BASE'!A:E,4,0),IF(K488=J488,VLOOKUP(J488,Substituicoes!J:R,6,0),IF(L488=J488,VLOOKUP(Escalacao!J488,Substituicoes!K:R,7,0),0)))</f>
        <v>0</v>
      </c>
      <c r="O488" s="28">
        <f>IF(AND(K488=L488,LEFT(E488,1)="T"),VLOOKUP(A488,'JOGOS BASE'!A:E,5,0),IF(K488=J488,VLOOKUP(J488,Substituicoes!J:R,7,0),IF(L488=J488,VLOOKUP(Escalacao!J488,Substituicoes!K:R,8,0),0)))</f>
        <v>36</v>
      </c>
      <c r="P488" s="28">
        <f t="shared" si="58"/>
        <v>36</v>
      </c>
      <c r="Q488" s="28" t="str">
        <f t="shared" si="59"/>
        <v>1216Maranhão - MA</v>
      </c>
      <c r="R488" s="28" t="str">
        <f>VLOOKUP(A488,'JOGOS BASE'!A:H,8)</f>
        <v>26.01.2025 - Viana - MA x Maranhão - MA</v>
      </c>
    </row>
    <row r="489" spans="1:18" ht="20.399999999999999">
      <c r="A489" s="15">
        <v>12</v>
      </c>
      <c r="B489" s="46">
        <v>17</v>
      </c>
      <c r="C489" s="45" t="s">
        <v>222</v>
      </c>
      <c r="D489" s="45" t="s">
        <v>223</v>
      </c>
      <c r="E489" s="47" t="s">
        <v>42</v>
      </c>
      <c r="F489" s="47" t="s">
        <v>24</v>
      </c>
      <c r="G489" s="46">
        <v>320815</v>
      </c>
      <c r="H489" s="18" t="s">
        <v>260</v>
      </c>
      <c r="I489" s="26" t="str">
        <f t="shared" si="55"/>
        <v>Rodrigo Co ...</v>
      </c>
      <c r="J489" s="26" t="str">
        <f t="shared" si="56"/>
        <v>12Maranhão - MA17</v>
      </c>
      <c r="K489" s="27" t="str">
        <f>IFERROR(VLOOKUP(J489,Substituicoes!J:J,1,0),"SS")</f>
        <v>SS</v>
      </c>
      <c r="L489" s="27" t="str">
        <f>IFERROR(VLOOKUP(J489,Substituicoes!K:K,1,0),"SS")</f>
        <v>SS</v>
      </c>
      <c r="M489" s="28" t="b">
        <f t="shared" si="57"/>
        <v>1</v>
      </c>
      <c r="N489" s="29">
        <f>IF(AND(K489=L489,LEFT(E489,1)="T"),VLOOKUP(A489,'JOGOS BASE'!A:E,4,0),IF(K489=J489,VLOOKUP(J489,Substituicoes!J:R,6,0),IF(L489=J489,VLOOKUP(Escalacao!J489,Substituicoes!K:R,7,0),0)))</f>
        <v>0</v>
      </c>
      <c r="O489" s="28">
        <f>IF(AND(K489=L489,LEFT(E489,1)="T"),VLOOKUP(A489,'JOGOS BASE'!A:E,5,0),IF(K489=J489,VLOOKUP(J489,Substituicoes!J:R,7,0),IF(L489=J489,VLOOKUP(Escalacao!J489,Substituicoes!K:R,8,0),0)))</f>
        <v>0</v>
      </c>
      <c r="P489" s="28">
        <f t="shared" si="58"/>
        <v>0</v>
      </c>
      <c r="Q489" s="28" t="str">
        <f t="shared" si="59"/>
        <v>1217Maranhão - MA</v>
      </c>
      <c r="R489" s="28" t="str">
        <f>VLOOKUP(A489,'JOGOS BASE'!A:H,8)</f>
        <v>26.01.2025 - Viana - MA x Maranhão - MA</v>
      </c>
    </row>
    <row r="490" spans="1:18" ht="30.6">
      <c r="A490" s="15">
        <v>12</v>
      </c>
      <c r="B490" s="46">
        <v>18</v>
      </c>
      <c r="C490" s="45" t="s">
        <v>226</v>
      </c>
      <c r="D490" s="45" t="s">
        <v>227</v>
      </c>
      <c r="E490" s="47" t="s">
        <v>42</v>
      </c>
      <c r="F490" s="47" t="s">
        <v>24</v>
      </c>
      <c r="G490" s="46">
        <v>545796</v>
      </c>
      <c r="H490" s="18" t="s">
        <v>260</v>
      </c>
      <c r="I490" s="26" t="str">
        <f t="shared" si="55"/>
        <v>Railson</v>
      </c>
      <c r="J490" s="26" t="str">
        <f t="shared" si="56"/>
        <v>12Maranhão - MA18</v>
      </c>
      <c r="K490" s="27" t="str">
        <f>IFERROR(VLOOKUP(J490,Substituicoes!J:J,1,0),"SS")</f>
        <v>12Maranhão - MA18</v>
      </c>
      <c r="L490" s="27" t="str">
        <f>IFERROR(VLOOKUP(J490,Substituicoes!K:K,1,0),"SS")</f>
        <v>SS</v>
      </c>
      <c r="M490" s="28" t="b">
        <f t="shared" si="57"/>
        <v>0</v>
      </c>
      <c r="N490" s="29">
        <f>IF(AND(K490=L490,LEFT(E490,1)="T"),VLOOKUP(A490,'JOGOS BASE'!A:E,4,0),IF(K490=J490,VLOOKUP(J490,Substituicoes!J:R,6,0),IF(L490=J490,VLOOKUP(Escalacao!J490,Substituicoes!K:R,7,0),0)))</f>
        <v>0</v>
      </c>
      <c r="O490" s="28">
        <f>IF(AND(K490=L490,LEFT(E490,1)="T"),VLOOKUP(A490,'JOGOS BASE'!A:E,5,0),IF(K490=J490,VLOOKUP(J490,Substituicoes!J:R,7,0),IF(L490=J490,VLOOKUP(Escalacao!J490,Substituicoes!K:R,8,0),0)))</f>
        <v>52</v>
      </c>
      <c r="P490" s="28">
        <f t="shared" si="58"/>
        <v>52</v>
      </c>
      <c r="Q490" s="28" t="str">
        <f t="shared" si="59"/>
        <v>1218Maranhão - MA</v>
      </c>
      <c r="R490" s="28" t="str">
        <f>VLOOKUP(A490,'JOGOS BASE'!A:H,8)</f>
        <v>26.01.2025 - Viana - MA x Maranhão - MA</v>
      </c>
    </row>
    <row r="491" spans="1:18" ht="30.6">
      <c r="A491" s="15">
        <v>12</v>
      </c>
      <c r="B491" s="46">
        <v>19</v>
      </c>
      <c r="C491" s="45" t="s">
        <v>250</v>
      </c>
      <c r="D491" s="45" t="s">
        <v>251</v>
      </c>
      <c r="E491" s="47" t="s">
        <v>42</v>
      </c>
      <c r="F491" s="47" t="s">
        <v>24</v>
      </c>
      <c r="G491" s="46">
        <v>629226</v>
      </c>
      <c r="H491" s="18" t="s">
        <v>260</v>
      </c>
      <c r="I491" s="26" t="str">
        <f t="shared" si="55"/>
        <v>LUCAS</v>
      </c>
      <c r="J491" s="26" t="str">
        <f t="shared" si="56"/>
        <v>12Maranhão - MA19</v>
      </c>
      <c r="K491" s="27" t="str">
        <f>IFERROR(VLOOKUP(J491,Substituicoes!J:J,1,0),"SS")</f>
        <v>SS</v>
      </c>
      <c r="L491" s="27" t="str">
        <f>IFERROR(VLOOKUP(J491,Substituicoes!K:K,1,0),"SS")</f>
        <v>SS</v>
      </c>
      <c r="M491" s="28" t="b">
        <f t="shared" si="57"/>
        <v>1</v>
      </c>
      <c r="N491" s="29">
        <f>IF(AND(K491=L491,LEFT(E491,1)="T"),VLOOKUP(A491,'JOGOS BASE'!A:E,4,0),IF(K491=J491,VLOOKUP(J491,Substituicoes!J:R,6,0),IF(L491=J491,VLOOKUP(Escalacao!J491,Substituicoes!K:R,7,0),0)))</f>
        <v>0</v>
      </c>
      <c r="O491" s="28">
        <f>IF(AND(K491=L491,LEFT(E491,1)="T"),VLOOKUP(A491,'JOGOS BASE'!A:E,5,0),IF(K491=J491,VLOOKUP(J491,Substituicoes!J:R,7,0),IF(L491=J491,VLOOKUP(Escalacao!J491,Substituicoes!K:R,8,0),0)))</f>
        <v>0</v>
      </c>
      <c r="P491" s="28">
        <f t="shared" si="58"/>
        <v>0</v>
      </c>
      <c r="Q491" s="28" t="str">
        <f t="shared" si="59"/>
        <v>1219Maranhão - MA</v>
      </c>
      <c r="R491" s="28" t="str">
        <f>VLOOKUP(A491,'JOGOS BASE'!A:H,8)</f>
        <v>26.01.2025 - Viana - MA x Maranhão - MA</v>
      </c>
    </row>
    <row r="492" spans="1:18" ht="30.6">
      <c r="A492" s="15">
        <v>12</v>
      </c>
      <c r="B492" s="46">
        <v>20</v>
      </c>
      <c r="C492" s="45" t="s">
        <v>254</v>
      </c>
      <c r="D492" s="45" t="s">
        <v>255</v>
      </c>
      <c r="E492" s="47" t="s">
        <v>42</v>
      </c>
      <c r="F492" s="47" t="s">
        <v>24</v>
      </c>
      <c r="G492" s="46">
        <v>557892</v>
      </c>
      <c r="H492" s="18" t="s">
        <v>260</v>
      </c>
      <c r="I492" s="26" t="str">
        <f t="shared" si="55"/>
        <v>Mikeias</v>
      </c>
      <c r="J492" s="26" t="str">
        <f t="shared" si="56"/>
        <v>12Maranhão - MA20</v>
      </c>
      <c r="K492" s="27" t="str">
        <f>IFERROR(VLOOKUP(J492,Substituicoes!J:J,1,0),"SS")</f>
        <v>12Maranhão - MA20</v>
      </c>
      <c r="L492" s="27" t="str">
        <f>IFERROR(VLOOKUP(J492,Substituicoes!K:K,1,0),"SS")</f>
        <v>SS</v>
      </c>
      <c r="M492" s="28" t="b">
        <f t="shared" si="57"/>
        <v>0</v>
      </c>
      <c r="N492" s="29">
        <f>IF(AND(K492=L492,LEFT(E492,1)="T"),VLOOKUP(A492,'JOGOS BASE'!A:E,4,0),IF(K492=J492,VLOOKUP(J492,Substituicoes!J:R,6,0),IF(L492=J492,VLOOKUP(Escalacao!J492,Substituicoes!K:R,7,0),0)))</f>
        <v>0</v>
      </c>
      <c r="O492" s="28">
        <f>IF(AND(K492=L492,LEFT(E492,1)="T"),VLOOKUP(A492,'JOGOS BASE'!A:E,5,0),IF(K492=J492,VLOOKUP(J492,Substituicoes!J:R,7,0),IF(L492=J492,VLOOKUP(Escalacao!J492,Substituicoes!K:R,8,0),0)))</f>
        <v>36</v>
      </c>
      <c r="P492" s="28">
        <f t="shared" si="58"/>
        <v>36</v>
      </c>
      <c r="Q492" s="28" t="str">
        <f t="shared" si="59"/>
        <v>1220Maranhão - MA</v>
      </c>
      <c r="R492" s="28" t="str">
        <f>VLOOKUP(A492,'JOGOS BASE'!A:H,8)</f>
        <v>26.01.2025 - Viana - MA x Maranhão - MA</v>
      </c>
    </row>
    <row r="493" spans="1:18" ht="30.6">
      <c r="A493" s="15">
        <v>12</v>
      </c>
      <c r="B493" s="46">
        <v>21</v>
      </c>
      <c r="C493" s="45" t="s">
        <v>256</v>
      </c>
      <c r="D493" s="45" t="s">
        <v>257</v>
      </c>
      <c r="E493" s="47" t="s">
        <v>42</v>
      </c>
      <c r="F493" s="47" t="s">
        <v>24</v>
      </c>
      <c r="G493" s="46">
        <v>673956</v>
      </c>
      <c r="H493" s="18" t="s">
        <v>260</v>
      </c>
      <c r="I493" s="26" t="str">
        <f t="shared" si="55"/>
        <v>Diego Cant ...</v>
      </c>
      <c r="J493" s="26" t="str">
        <f t="shared" si="56"/>
        <v>12Maranhão - MA21</v>
      </c>
      <c r="K493" s="27" t="str">
        <f>IFERROR(VLOOKUP(J493,Substituicoes!J:J,1,0),"SS")</f>
        <v>12Maranhão - MA21</v>
      </c>
      <c r="L493" s="27" t="str">
        <f>IFERROR(VLOOKUP(J493,Substituicoes!K:K,1,0),"SS")</f>
        <v>SS</v>
      </c>
      <c r="M493" s="28" t="b">
        <f t="shared" si="57"/>
        <v>0</v>
      </c>
      <c r="N493" s="29">
        <f>IF(AND(K493=L493,LEFT(E493,1)="T"),VLOOKUP(A493,'JOGOS BASE'!A:E,4,0),IF(K493=J493,VLOOKUP(J493,Substituicoes!J:R,6,0),IF(L493=J493,VLOOKUP(Escalacao!J493,Substituicoes!K:R,7,0),0)))</f>
        <v>0</v>
      </c>
      <c r="O493" s="28">
        <f>IF(AND(K493=L493,LEFT(E493,1)="T"),VLOOKUP(A493,'JOGOS BASE'!A:E,5,0),IF(K493=J493,VLOOKUP(J493,Substituicoes!J:R,7,0),IF(L493=J493,VLOOKUP(Escalacao!J493,Substituicoes!K:R,8,0),0)))</f>
        <v>32</v>
      </c>
      <c r="P493" s="28">
        <f t="shared" si="58"/>
        <v>32</v>
      </c>
      <c r="Q493" s="28" t="str">
        <f t="shared" si="59"/>
        <v>1221Maranhão - MA</v>
      </c>
      <c r="R493" s="28" t="str">
        <f>VLOOKUP(A493,'JOGOS BASE'!A:H,8)</f>
        <v>26.01.2025 - Viana - MA x Maranhão - MA</v>
      </c>
    </row>
    <row r="494" spans="1:18" ht="30.6">
      <c r="A494" s="15">
        <v>13</v>
      </c>
      <c r="B494" s="46">
        <v>1</v>
      </c>
      <c r="C494" s="45" t="s">
        <v>649</v>
      </c>
      <c r="D494" s="45" t="s">
        <v>650</v>
      </c>
      <c r="E494" s="47" t="s">
        <v>23</v>
      </c>
      <c r="F494" s="47" t="s">
        <v>24</v>
      </c>
      <c r="G494" s="46">
        <v>732605</v>
      </c>
      <c r="H494" s="18" t="s">
        <v>388</v>
      </c>
      <c r="I494" s="26" t="str">
        <f t="shared" ref="I494:I536" si="60">C494</f>
        <v>JOAO</v>
      </c>
      <c r="J494" s="26" t="str">
        <f t="shared" ref="J494:J537" si="61">A494&amp;H494&amp;B494</f>
        <v>13Tuntum - MA1</v>
      </c>
      <c r="K494" s="27" t="str">
        <f>IFERROR(VLOOKUP(J494,Substituicoes!J:J,1,0),"SS")</f>
        <v>SS</v>
      </c>
      <c r="L494" s="27" t="str">
        <f>IFERROR(VLOOKUP(J494,Substituicoes!K:K,1,0),"SS")</f>
        <v>SS</v>
      </c>
      <c r="M494" s="28" t="b">
        <f t="shared" ref="M494:M536" si="62">K494=L494</f>
        <v>1</v>
      </c>
      <c r="N494" s="29">
        <f>IF(AND(K494=L494,LEFT(E494,1)="T"),VLOOKUP(A494,'JOGOS BASE'!A:E,4,0),IF(K494=J494,VLOOKUP(J494,Substituicoes!J:R,6,0),IF(L494=J494,VLOOKUP(Escalacao!J494,Substituicoes!K:R,7,0),0)))</f>
        <v>50</v>
      </c>
      <c r="O494" s="28">
        <f>IF(AND(K494=L494,LEFT(E494,1)="T"),VLOOKUP(A494,'JOGOS BASE'!A:E,5,0),IF(K494=J494,VLOOKUP(J494,Substituicoes!J:R,7,0),IF(L494=J494,VLOOKUP(Escalacao!J494,Substituicoes!K:R,8,0),0)))</f>
        <v>51</v>
      </c>
      <c r="P494" s="28">
        <f t="shared" ref="P494:P536" si="63">N494+O494</f>
        <v>101</v>
      </c>
      <c r="Q494" s="28" t="str">
        <f t="shared" ref="Q494:Q537" si="64">A494&amp;B494&amp;H494</f>
        <v>131Tuntum - MA</v>
      </c>
      <c r="R494" s="28" t="str">
        <f>VLOOKUP(A494,'JOGOS BASE'!A:H,8)</f>
        <v>29.01.2025 - Tuntum - MA x Moto Club - MA</v>
      </c>
    </row>
    <row r="495" spans="1:18" ht="20.399999999999999">
      <c r="A495" s="15">
        <v>13</v>
      </c>
      <c r="B495" s="46">
        <v>2</v>
      </c>
      <c r="C495" s="45" t="s">
        <v>521</v>
      </c>
      <c r="D495" s="45" t="s">
        <v>522</v>
      </c>
      <c r="E495" s="47" t="s">
        <v>26</v>
      </c>
      <c r="F495" s="47" t="s">
        <v>24</v>
      </c>
      <c r="G495" s="46">
        <v>391356</v>
      </c>
      <c r="H495" s="18" t="s">
        <v>388</v>
      </c>
      <c r="I495" s="26" t="str">
        <f t="shared" si="60"/>
        <v>Francisco</v>
      </c>
      <c r="J495" s="26" t="str">
        <f t="shared" si="61"/>
        <v>13Tuntum - MA2</v>
      </c>
      <c r="K495" s="27" t="str">
        <f>IFERROR(VLOOKUP(J495,Substituicoes!J:J,1,0),"SS")</f>
        <v>SS</v>
      </c>
      <c r="L495" s="27" t="str">
        <f>IFERROR(VLOOKUP(J495,Substituicoes!K:K,1,0),"SS")</f>
        <v>13Tuntum - MA2</v>
      </c>
      <c r="M495" s="28" t="b">
        <f t="shared" si="62"/>
        <v>0</v>
      </c>
      <c r="N495" s="29">
        <f>IF(AND(K495=L495,LEFT(E495,1)="T"),VLOOKUP(A495,'JOGOS BASE'!A:E,4,0),IF(K495=J495,VLOOKUP(J495,Substituicoes!J:R,6,0),IF(L495=J495,VLOOKUP(Escalacao!J495,Substituicoes!K:R,7,0),0)))</f>
        <v>50</v>
      </c>
      <c r="O495" s="28">
        <f>IF(AND(K495=L495,LEFT(E495,1)="T"),VLOOKUP(A495,'JOGOS BASE'!A:E,5,0),IF(K495=J495,VLOOKUP(J495,Substituicoes!J:R,7,0),IF(L495=J495,VLOOKUP(Escalacao!J495,Substituicoes!K:R,8,0),0)))</f>
        <v>12</v>
      </c>
      <c r="P495" s="28">
        <f t="shared" si="63"/>
        <v>62</v>
      </c>
      <c r="Q495" s="28" t="str">
        <f t="shared" si="64"/>
        <v>132Tuntum - MA</v>
      </c>
      <c r="R495" s="28" t="str">
        <f>VLOOKUP(A495,'JOGOS BASE'!A:H,8)</f>
        <v>29.01.2025 - Tuntum - MA x Moto Club - MA</v>
      </c>
    </row>
    <row r="496" spans="1:18" ht="20.399999999999999">
      <c r="A496" s="15">
        <v>13</v>
      </c>
      <c r="B496" s="46">
        <v>3</v>
      </c>
      <c r="C496" s="45" t="s">
        <v>523</v>
      </c>
      <c r="D496" s="45" t="s">
        <v>524</v>
      </c>
      <c r="E496" s="47" t="s">
        <v>26</v>
      </c>
      <c r="F496" s="47" t="s">
        <v>24</v>
      </c>
      <c r="G496" s="46">
        <v>672694</v>
      </c>
      <c r="H496" s="18" t="s">
        <v>388</v>
      </c>
      <c r="I496" s="26" t="str">
        <f t="shared" si="60"/>
        <v>João Victor</v>
      </c>
      <c r="J496" s="26" t="str">
        <f t="shared" si="61"/>
        <v>13Tuntum - MA3</v>
      </c>
      <c r="K496" s="27" t="str">
        <f>IFERROR(VLOOKUP(J496,Substituicoes!J:J,1,0),"SS")</f>
        <v>SS</v>
      </c>
      <c r="L496" s="27" t="str">
        <f>IFERROR(VLOOKUP(J496,Substituicoes!K:K,1,0),"SS")</f>
        <v>SS</v>
      </c>
      <c r="M496" s="28" t="b">
        <f t="shared" si="62"/>
        <v>1</v>
      </c>
      <c r="N496" s="29">
        <f>IF(AND(K496=L496,LEFT(E496,1)="T"),VLOOKUP(A496,'JOGOS BASE'!A:E,4,0),IF(K496=J496,VLOOKUP(J496,Substituicoes!J:R,6,0),IF(L496=J496,VLOOKUP(Escalacao!J496,Substituicoes!K:R,7,0),0)))</f>
        <v>50</v>
      </c>
      <c r="O496" s="28">
        <f>IF(AND(K496=L496,LEFT(E496,1)="T"),VLOOKUP(A496,'JOGOS BASE'!A:E,5,0),IF(K496=J496,VLOOKUP(J496,Substituicoes!J:R,7,0),IF(L496=J496,VLOOKUP(Escalacao!J496,Substituicoes!K:R,8,0),0)))</f>
        <v>51</v>
      </c>
      <c r="P496" s="28">
        <f t="shared" si="63"/>
        <v>101</v>
      </c>
      <c r="Q496" s="28" t="str">
        <f t="shared" si="64"/>
        <v>133Tuntum - MA</v>
      </c>
      <c r="R496" s="28" t="str">
        <f>VLOOKUP(A496,'JOGOS BASE'!A:H,8)</f>
        <v>29.01.2025 - Tuntum - MA x Moto Club - MA</v>
      </c>
    </row>
    <row r="497" spans="1:18" ht="30.6">
      <c r="A497" s="15">
        <v>13</v>
      </c>
      <c r="B497" s="46">
        <v>4</v>
      </c>
      <c r="C497" s="45" t="s">
        <v>525</v>
      </c>
      <c r="D497" s="45" t="s">
        <v>526</v>
      </c>
      <c r="E497" s="47" t="s">
        <v>26</v>
      </c>
      <c r="F497" s="47" t="s">
        <v>24</v>
      </c>
      <c r="G497" s="46">
        <v>175123</v>
      </c>
      <c r="H497" s="18" t="s">
        <v>388</v>
      </c>
      <c r="I497" s="26" t="str">
        <f t="shared" si="60"/>
        <v>Robinho</v>
      </c>
      <c r="J497" s="26" t="str">
        <f t="shared" si="61"/>
        <v>13Tuntum - MA4</v>
      </c>
      <c r="K497" s="27" t="str">
        <f>IFERROR(VLOOKUP(J497,Substituicoes!J:J,1,0),"SS")</f>
        <v>SS</v>
      </c>
      <c r="L497" s="27" t="str">
        <f>IFERROR(VLOOKUP(J497,Substituicoes!K:K,1,0),"SS")</f>
        <v>SS</v>
      </c>
      <c r="M497" s="28" t="b">
        <f t="shared" si="62"/>
        <v>1</v>
      </c>
      <c r="N497" s="29">
        <f>IF(AND(K497=L497,LEFT(E497,1)="T"),VLOOKUP(A497,'JOGOS BASE'!A:E,4,0),IF(K497=J497,VLOOKUP(J497,Substituicoes!J:R,6,0),IF(L497=J497,VLOOKUP(Escalacao!J497,Substituicoes!K:R,7,0),0)))</f>
        <v>50</v>
      </c>
      <c r="O497" s="28">
        <f>IF(AND(K497=L497,LEFT(E497,1)="T"),VLOOKUP(A497,'JOGOS BASE'!A:E,5,0),IF(K497=J497,VLOOKUP(J497,Substituicoes!J:R,7,0),IF(L497=J497,VLOOKUP(Escalacao!J497,Substituicoes!K:R,8,0),0)))</f>
        <v>51</v>
      </c>
      <c r="P497" s="28">
        <f t="shared" si="63"/>
        <v>101</v>
      </c>
      <c r="Q497" s="28" t="str">
        <f t="shared" si="64"/>
        <v>134Tuntum - MA</v>
      </c>
      <c r="R497" s="28" t="str">
        <f>VLOOKUP(A497,'JOGOS BASE'!A:H,8)</f>
        <v>29.01.2025 - Tuntum - MA x Moto Club - MA</v>
      </c>
    </row>
    <row r="498" spans="1:18" ht="30.6">
      <c r="A498" s="15">
        <v>13</v>
      </c>
      <c r="B498" s="46">
        <v>5</v>
      </c>
      <c r="C498" s="45" t="s">
        <v>527</v>
      </c>
      <c r="D498" s="45" t="s">
        <v>528</v>
      </c>
      <c r="E498" s="47" t="s">
        <v>26</v>
      </c>
      <c r="F498" s="47" t="s">
        <v>24</v>
      </c>
      <c r="G498" s="46">
        <v>692912</v>
      </c>
      <c r="H498" s="18" t="s">
        <v>388</v>
      </c>
      <c r="I498" s="26" t="str">
        <f t="shared" si="60"/>
        <v>LEANDRO</v>
      </c>
      <c r="J498" s="26" t="str">
        <f t="shared" si="61"/>
        <v>13Tuntum - MA5</v>
      </c>
      <c r="K498" s="27" t="str">
        <f>IFERROR(VLOOKUP(J498,Substituicoes!J:J,1,0),"SS")</f>
        <v>SS</v>
      </c>
      <c r="L498" s="27" t="str">
        <f>IFERROR(VLOOKUP(J498,Substituicoes!K:K,1,0),"SS")</f>
        <v>SS</v>
      </c>
      <c r="M498" s="28" t="b">
        <f t="shared" si="62"/>
        <v>1</v>
      </c>
      <c r="N498" s="29">
        <f>IF(AND(K498=L498,LEFT(E498,1)="T"),VLOOKUP(A498,'JOGOS BASE'!A:E,4,0),IF(K498=J498,VLOOKUP(J498,Substituicoes!J:R,6,0),IF(L498=J498,VLOOKUP(Escalacao!J498,Substituicoes!K:R,7,0),0)))</f>
        <v>50</v>
      </c>
      <c r="O498" s="28">
        <f>IF(AND(K498=L498,LEFT(E498,1)="T"),VLOOKUP(A498,'JOGOS BASE'!A:E,5,0),IF(K498=J498,VLOOKUP(J498,Substituicoes!J:R,7,0),IF(L498=J498,VLOOKUP(Escalacao!J498,Substituicoes!K:R,8,0),0)))</f>
        <v>51</v>
      </c>
      <c r="P498" s="28">
        <f t="shared" si="63"/>
        <v>101</v>
      </c>
      <c r="Q498" s="28" t="str">
        <f t="shared" si="64"/>
        <v>135Tuntum - MA</v>
      </c>
      <c r="R498" s="28" t="str">
        <f>VLOOKUP(A498,'JOGOS BASE'!A:H,8)</f>
        <v>29.01.2025 - Tuntum - MA x Moto Club - MA</v>
      </c>
    </row>
    <row r="499" spans="1:18" ht="30.6">
      <c r="A499" s="15">
        <v>13</v>
      </c>
      <c r="B499" s="46">
        <v>6</v>
      </c>
      <c r="C499" s="45" t="s">
        <v>529</v>
      </c>
      <c r="D499" s="45" t="s">
        <v>507</v>
      </c>
      <c r="E499" s="47" t="s">
        <v>26</v>
      </c>
      <c r="F499" s="47" t="s">
        <v>24</v>
      </c>
      <c r="G499" s="46">
        <v>671796</v>
      </c>
      <c r="H499" s="18" t="s">
        <v>388</v>
      </c>
      <c r="I499" s="26" t="str">
        <f t="shared" si="60"/>
        <v>Matheus Lima</v>
      </c>
      <c r="J499" s="26" t="str">
        <f t="shared" si="61"/>
        <v>13Tuntum - MA6</v>
      </c>
      <c r="K499" s="27" t="str">
        <f>IFERROR(VLOOKUP(J499,Substituicoes!J:J,1,0),"SS")</f>
        <v>SS</v>
      </c>
      <c r="L499" s="27" t="str">
        <f>IFERROR(VLOOKUP(J499,Substituicoes!K:K,1,0),"SS")</f>
        <v>SS</v>
      </c>
      <c r="M499" s="28" t="b">
        <f t="shared" si="62"/>
        <v>1</v>
      </c>
      <c r="N499" s="29">
        <f>IF(AND(K499=L499,LEFT(E499,1)="T"),VLOOKUP(A499,'JOGOS BASE'!A:E,4,0),IF(K499=J499,VLOOKUP(J499,Substituicoes!J:R,6,0),IF(L499=J499,VLOOKUP(Escalacao!J499,Substituicoes!K:R,7,0),0)))</f>
        <v>50</v>
      </c>
      <c r="O499" s="28">
        <f>IF(AND(K499=L499,LEFT(E499,1)="T"),VLOOKUP(A499,'JOGOS BASE'!A:E,5,0),IF(K499=J499,VLOOKUP(J499,Substituicoes!J:R,7,0),IF(L499=J499,VLOOKUP(Escalacao!J499,Substituicoes!K:R,8,0),0)))</f>
        <v>51</v>
      </c>
      <c r="P499" s="28">
        <f t="shared" si="63"/>
        <v>101</v>
      </c>
      <c r="Q499" s="28" t="str">
        <f t="shared" si="64"/>
        <v>136Tuntum - MA</v>
      </c>
      <c r="R499" s="28" t="str">
        <f>VLOOKUP(A499,'JOGOS BASE'!A:H,8)</f>
        <v>29.01.2025 - Tuntum - MA x Moto Club - MA</v>
      </c>
    </row>
    <row r="500" spans="1:18" ht="20.399999999999999">
      <c r="A500" s="15">
        <v>13</v>
      </c>
      <c r="B500" s="46">
        <v>7</v>
      </c>
      <c r="C500" s="45" t="s">
        <v>545</v>
      </c>
      <c r="D500" s="45" t="s">
        <v>546</v>
      </c>
      <c r="E500" s="47" t="s">
        <v>26</v>
      </c>
      <c r="F500" s="47" t="s">
        <v>24</v>
      </c>
      <c r="G500" s="46">
        <v>507730</v>
      </c>
      <c r="H500" s="18" t="s">
        <v>388</v>
      </c>
      <c r="I500" s="26" t="str">
        <f t="shared" si="60"/>
        <v>Leal</v>
      </c>
      <c r="J500" s="26" t="str">
        <f t="shared" si="61"/>
        <v>13Tuntum - MA7</v>
      </c>
      <c r="K500" s="27" t="str">
        <f>IFERROR(VLOOKUP(J500,Substituicoes!J:J,1,0),"SS")</f>
        <v>SS</v>
      </c>
      <c r="L500" s="27" t="str">
        <f>IFERROR(VLOOKUP(J500,Substituicoes!K:K,1,0),"SS")</f>
        <v>13Tuntum - MA7</v>
      </c>
      <c r="M500" s="28" t="b">
        <f t="shared" si="62"/>
        <v>0</v>
      </c>
      <c r="N500" s="29">
        <f>IF(AND(K500=L500,LEFT(E500,1)="T"),VLOOKUP(A500,'JOGOS BASE'!A:E,4,0),IF(K500=J500,VLOOKUP(J500,Substituicoes!J:R,6,0),IF(L500=J500,VLOOKUP(Escalacao!J500,Substituicoes!K:R,7,0),0)))</f>
        <v>50</v>
      </c>
      <c r="O500" s="28">
        <f>IF(AND(K500=L500,LEFT(E500,1)="T"),VLOOKUP(A500,'JOGOS BASE'!A:E,5,0),IF(K500=J500,VLOOKUP(J500,Substituicoes!J:R,7,0),IF(L500=J500,VLOOKUP(Escalacao!J500,Substituicoes!K:R,8,0),0)))</f>
        <v>0</v>
      </c>
      <c r="P500" s="28">
        <f t="shared" si="63"/>
        <v>50</v>
      </c>
      <c r="Q500" s="28" t="str">
        <f t="shared" si="64"/>
        <v>137Tuntum - MA</v>
      </c>
      <c r="R500" s="28" t="str">
        <f>VLOOKUP(A500,'JOGOS BASE'!A:H,8)</f>
        <v>29.01.2025 - Tuntum - MA x Moto Club - MA</v>
      </c>
    </row>
    <row r="501" spans="1:18" ht="20.399999999999999">
      <c r="A501" s="15">
        <v>13</v>
      </c>
      <c r="B501" s="46">
        <v>8</v>
      </c>
      <c r="C501" s="45" t="s">
        <v>530</v>
      </c>
      <c r="D501" s="45" t="s">
        <v>531</v>
      </c>
      <c r="E501" s="47" t="s">
        <v>26</v>
      </c>
      <c r="F501" s="47" t="s">
        <v>24</v>
      </c>
      <c r="G501" s="46">
        <v>738478</v>
      </c>
      <c r="H501" s="18" t="s">
        <v>388</v>
      </c>
      <c r="I501" s="26" t="str">
        <f t="shared" si="60"/>
        <v>Neto Maran ...</v>
      </c>
      <c r="J501" s="26" t="str">
        <f t="shared" si="61"/>
        <v>13Tuntum - MA8</v>
      </c>
      <c r="K501" s="27" t="str">
        <f>IFERROR(VLOOKUP(J501,Substituicoes!J:J,1,0),"SS")</f>
        <v>SS</v>
      </c>
      <c r="L501" s="27" t="str">
        <f>IFERROR(VLOOKUP(J501,Substituicoes!K:K,1,0),"SS")</f>
        <v>13Tuntum - MA8</v>
      </c>
      <c r="M501" s="28" t="b">
        <f t="shared" si="62"/>
        <v>0</v>
      </c>
      <c r="N501" s="29">
        <f>IF(AND(K501=L501,LEFT(E501,1)="T"),VLOOKUP(A501,'JOGOS BASE'!A:E,4,0),IF(K501=J501,VLOOKUP(J501,Substituicoes!J:R,6,0),IF(L501=J501,VLOOKUP(Escalacao!J501,Substituicoes!K:R,7,0),0)))</f>
        <v>50</v>
      </c>
      <c r="O501" s="28">
        <f>IF(AND(K501=L501,LEFT(E501,1)="T"),VLOOKUP(A501,'JOGOS BASE'!A:E,5,0),IF(K501=J501,VLOOKUP(J501,Substituicoes!J:R,7,0),IF(L501=J501,VLOOKUP(Escalacao!J501,Substituicoes!K:R,8,0),0)))</f>
        <v>0</v>
      </c>
      <c r="P501" s="28">
        <f t="shared" si="63"/>
        <v>50</v>
      </c>
      <c r="Q501" s="28" t="str">
        <f t="shared" si="64"/>
        <v>138Tuntum - MA</v>
      </c>
      <c r="R501" s="28" t="str">
        <f>VLOOKUP(A501,'JOGOS BASE'!A:H,8)</f>
        <v>29.01.2025 - Tuntum - MA x Moto Club - MA</v>
      </c>
    </row>
    <row r="502" spans="1:18" ht="30.6">
      <c r="A502" s="15">
        <v>13</v>
      </c>
      <c r="B502" s="46">
        <v>9</v>
      </c>
      <c r="C502" s="45" t="s">
        <v>534</v>
      </c>
      <c r="D502" s="45" t="s">
        <v>535</v>
      </c>
      <c r="E502" s="47" t="s">
        <v>26</v>
      </c>
      <c r="F502" s="47" t="s">
        <v>24</v>
      </c>
      <c r="G502" s="46">
        <v>546835</v>
      </c>
      <c r="H502" s="18" t="s">
        <v>388</v>
      </c>
      <c r="I502" s="26" t="str">
        <f t="shared" si="60"/>
        <v>Nycollas</v>
      </c>
      <c r="J502" s="26" t="str">
        <f t="shared" si="61"/>
        <v>13Tuntum - MA9</v>
      </c>
      <c r="K502" s="27" t="str">
        <f>IFERROR(VLOOKUP(J502,Substituicoes!J:J,1,0),"SS")</f>
        <v>SS</v>
      </c>
      <c r="L502" s="27" t="str">
        <f>IFERROR(VLOOKUP(J502,Substituicoes!K:K,1,0),"SS")</f>
        <v>SS</v>
      </c>
      <c r="M502" s="28" t="b">
        <f t="shared" si="62"/>
        <v>1</v>
      </c>
      <c r="N502" s="29">
        <f>IF(AND(K502=L502,LEFT(E502,1)="T"),VLOOKUP(A502,'JOGOS BASE'!A:E,4,0),IF(K502=J502,VLOOKUP(J502,Substituicoes!J:R,6,0),IF(L502=J502,VLOOKUP(Escalacao!J502,Substituicoes!K:R,7,0),0)))</f>
        <v>50</v>
      </c>
      <c r="O502" s="28">
        <f>IF(AND(K502=L502,LEFT(E502,1)="T"),VLOOKUP(A502,'JOGOS BASE'!A:E,5,0),IF(K502=J502,VLOOKUP(J502,Substituicoes!J:R,7,0),IF(L502=J502,VLOOKUP(Escalacao!J502,Substituicoes!K:R,8,0),0)))</f>
        <v>51</v>
      </c>
      <c r="P502" s="28">
        <f t="shared" si="63"/>
        <v>101</v>
      </c>
      <c r="Q502" s="28" t="str">
        <f t="shared" si="64"/>
        <v>139Tuntum - MA</v>
      </c>
      <c r="R502" s="28" t="str">
        <f>VLOOKUP(A502,'JOGOS BASE'!A:H,8)</f>
        <v>29.01.2025 - Tuntum - MA x Moto Club - MA</v>
      </c>
    </row>
    <row r="503" spans="1:18" ht="30.6">
      <c r="A503" s="15">
        <v>13</v>
      </c>
      <c r="B503" s="46">
        <v>10</v>
      </c>
      <c r="C503" s="45" t="s">
        <v>536</v>
      </c>
      <c r="D503" s="45" t="s">
        <v>537</v>
      </c>
      <c r="E503" s="47" t="s">
        <v>26</v>
      </c>
      <c r="F503" s="47" t="s">
        <v>24</v>
      </c>
      <c r="G503" s="46">
        <v>591346</v>
      </c>
      <c r="H503" s="18" t="s">
        <v>388</v>
      </c>
      <c r="I503" s="26" t="str">
        <f t="shared" si="60"/>
        <v>Cassio</v>
      </c>
      <c r="J503" s="26" t="str">
        <f t="shared" si="61"/>
        <v>13Tuntum - MA10</v>
      </c>
      <c r="K503" s="27" t="str">
        <f>IFERROR(VLOOKUP(J503,Substituicoes!J:J,1,0),"SS")</f>
        <v>SS</v>
      </c>
      <c r="L503" s="27" t="str">
        <f>IFERROR(VLOOKUP(J503,Substituicoes!K:K,1,0),"SS")</f>
        <v>13Tuntum - MA10</v>
      </c>
      <c r="M503" s="28" t="b">
        <f t="shared" si="62"/>
        <v>0</v>
      </c>
      <c r="N503" s="29">
        <f>IF(AND(K503=L503,LEFT(E503,1)="T"),VLOOKUP(A503,'JOGOS BASE'!A:E,4,0),IF(K503=J503,VLOOKUP(J503,Substituicoes!J:R,6,0),IF(L503=J503,VLOOKUP(Escalacao!J503,Substituicoes!K:R,7,0),0)))</f>
        <v>50</v>
      </c>
      <c r="O503" s="28">
        <f>IF(AND(K503=L503,LEFT(E503,1)="T"),VLOOKUP(A503,'JOGOS BASE'!A:E,5,0),IF(K503=J503,VLOOKUP(J503,Substituicoes!J:R,7,0),IF(L503=J503,VLOOKUP(Escalacao!J503,Substituicoes!K:R,8,0),0)))</f>
        <v>12</v>
      </c>
      <c r="P503" s="28">
        <f t="shared" si="63"/>
        <v>62</v>
      </c>
      <c r="Q503" s="28" t="str">
        <f t="shared" si="64"/>
        <v>1310Tuntum - MA</v>
      </c>
      <c r="R503" s="28" t="str">
        <f>VLOOKUP(A503,'JOGOS BASE'!A:H,8)</f>
        <v>29.01.2025 - Tuntum - MA x Moto Club - MA</v>
      </c>
    </row>
    <row r="504" spans="1:18" ht="20.399999999999999">
      <c r="A504" s="15">
        <v>13</v>
      </c>
      <c r="B504" s="46">
        <v>11</v>
      </c>
      <c r="C504" s="45" t="s">
        <v>538</v>
      </c>
      <c r="D504" s="45" t="s">
        <v>539</v>
      </c>
      <c r="E504" s="47" t="s">
        <v>26</v>
      </c>
      <c r="F504" s="47" t="s">
        <v>24</v>
      </c>
      <c r="G504" s="46">
        <v>513206</v>
      </c>
      <c r="H504" s="18" t="s">
        <v>388</v>
      </c>
      <c r="I504" s="26" t="str">
        <f t="shared" si="60"/>
        <v>Adrian</v>
      </c>
      <c r="J504" s="26" t="str">
        <f t="shared" si="61"/>
        <v>13Tuntum - MA11</v>
      </c>
      <c r="K504" s="27" t="str">
        <f>IFERROR(VLOOKUP(J504,Substituicoes!J:J,1,0),"SS")</f>
        <v>SS</v>
      </c>
      <c r="L504" s="27" t="str">
        <f>IFERROR(VLOOKUP(J504,Substituicoes!K:K,1,0),"SS")</f>
        <v>SS</v>
      </c>
      <c r="M504" s="28" t="b">
        <f t="shared" si="62"/>
        <v>1</v>
      </c>
      <c r="N504" s="29">
        <f>IF(AND(K504=L504,LEFT(E504,1)="T"),VLOOKUP(A504,'JOGOS BASE'!A:E,4,0),IF(K504=J504,VLOOKUP(J504,Substituicoes!J:R,6,0),IF(L504=J504,VLOOKUP(Escalacao!J504,Substituicoes!K:R,7,0),0)))</f>
        <v>50</v>
      </c>
      <c r="O504" s="28">
        <f>IF(AND(K504=L504,LEFT(E504,1)="T"),VLOOKUP(A504,'JOGOS BASE'!A:E,5,0),IF(K504=J504,VLOOKUP(J504,Substituicoes!J:R,7,0),IF(L504=J504,VLOOKUP(Escalacao!J504,Substituicoes!K:R,8,0),0)))</f>
        <v>51</v>
      </c>
      <c r="P504" s="28">
        <f t="shared" si="63"/>
        <v>101</v>
      </c>
      <c r="Q504" s="28" t="str">
        <f t="shared" si="64"/>
        <v>1311Tuntum - MA</v>
      </c>
      <c r="R504" s="28" t="str">
        <f>VLOOKUP(A504,'JOGOS BASE'!A:H,8)</f>
        <v>29.01.2025 - Tuntum - MA x Moto Club - MA</v>
      </c>
    </row>
    <row r="505" spans="1:18" ht="30.6">
      <c r="A505" s="15">
        <v>13</v>
      </c>
      <c r="B505" s="46">
        <v>23</v>
      </c>
      <c r="C505" s="45" t="s">
        <v>540</v>
      </c>
      <c r="D505" s="45" t="s">
        <v>541</v>
      </c>
      <c r="E505" s="47" t="s">
        <v>40</v>
      </c>
      <c r="F505" s="47" t="s">
        <v>24</v>
      </c>
      <c r="G505" s="46">
        <v>645699</v>
      </c>
      <c r="H505" s="18" t="s">
        <v>388</v>
      </c>
      <c r="I505" s="26" t="str">
        <f t="shared" si="60"/>
        <v>DANIEL MEN</v>
      </c>
      <c r="J505" s="26" t="str">
        <f t="shared" si="61"/>
        <v>13Tuntum - MA23</v>
      </c>
      <c r="K505" s="27" t="str">
        <f>IFERROR(VLOOKUP(J505,Substituicoes!J:J,1,0),"SS")</f>
        <v>SS</v>
      </c>
      <c r="L505" s="27" t="str">
        <f>IFERROR(VLOOKUP(J505,Substituicoes!K:K,1,0),"SS")</f>
        <v>SS</v>
      </c>
      <c r="M505" s="28" t="b">
        <f t="shared" si="62"/>
        <v>1</v>
      </c>
      <c r="N505" s="29">
        <f>IF(AND(K505=L505,LEFT(E505,1)="T"),VLOOKUP(A505,'JOGOS BASE'!A:E,4,0),IF(K505=J505,VLOOKUP(J505,Substituicoes!J:R,6,0),IF(L505=J505,VLOOKUP(Escalacao!J505,Substituicoes!K:R,7,0),0)))</f>
        <v>0</v>
      </c>
      <c r="O505" s="28">
        <f>IF(AND(K505=L505,LEFT(E505,1)="T"),VLOOKUP(A505,'JOGOS BASE'!A:E,5,0),IF(K505=J505,VLOOKUP(J505,Substituicoes!J:R,7,0),IF(L505=J505,VLOOKUP(Escalacao!J505,Substituicoes!K:R,8,0),0)))</f>
        <v>0</v>
      </c>
      <c r="P505" s="28">
        <f t="shared" si="63"/>
        <v>0</v>
      </c>
      <c r="Q505" s="28" t="str">
        <f t="shared" si="64"/>
        <v>1323Tuntum - MA</v>
      </c>
      <c r="R505" s="28" t="str">
        <f>VLOOKUP(A505,'JOGOS BASE'!A:H,8)</f>
        <v>29.01.2025 - Tuntum - MA x Moto Club - MA</v>
      </c>
    </row>
    <row r="506" spans="1:18" ht="30.6">
      <c r="A506" s="15">
        <v>13</v>
      </c>
      <c r="B506" s="46">
        <v>13</v>
      </c>
      <c r="C506" s="45" t="s">
        <v>301</v>
      </c>
      <c r="D506" s="45" t="s">
        <v>544</v>
      </c>
      <c r="E506" s="47" t="s">
        <v>42</v>
      </c>
      <c r="F506" s="47" t="s">
        <v>24</v>
      </c>
      <c r="G506" s="46">
        <v>607578</v>
      </c>
      <c r="H506" s="18" t="s">
        <v>388</v>
      </c>
      <c r="I506" s="26" t="str">
        <f t="shared" si="60"/>
        <v>Mateus</v>
      </c>
      <c r="J506" s="26" t="str">
        <f t="shared" si="61"/>
        <v>13Tuntum - MA13</v>
      </c>
      <c r="K506" s="27" t="str">
        <f>IFERROR(VLOOKUP(J506,Substituicoes!J:J,1,0),"SS")</f>
        <v>SS</v>
      </c>
      <c r="L506" s="27" t="str">
        <f>IFERROR(VLOOKUP(J506,Substituicoes!K:K,1,0),"SS")</f>
        <v>SS</v>
      </c>
      <c r="M506" s="28" t="b">
        <f t="shared" si="62"/>
        <v>1</v>
      </c>
      <c r="N506" s="29">
        <f>IF(AND(K506=L506,LEFT(E506,1)="T"),VLOOKUP(A506,'JOGOS BASE'!A:E,4,0),IF(K506=J506,VLOOKUP(J506,Substituicoes!J:R,6,0),IF(L506=J506,VLOOKUP(Escalacao!J506,Substituicoes!K:R,7,0),0)))</f>
        <v>0</v>
      </c>
      <c r="O506" s="28">
        <f>IF(AND(K506=L506,LEFT(E506,1)="T"),VLOOKUP(A506,'JOGOS BASE'!A:E,5,0),IF(K506=J506,VLOOKUP(J506,Substituicoes!J:R,7,0),IF(L506=J506,VLOOKUP(Escalacao!J506,Substituicoes!K:R,8,0),0)))</f>
        <v>0</v>
      </c>
      <c r="P506" s="28">
        <f t="shared" si="63"/>
        <v>0</v>
      </c>
      <c r="Q506" s="28" t="str">
        <f t="shared" si="64"/>
        <v>1313Tuntum - MA</v>
      </c>
      <c r="R506" s="28" t="str">
        <f>VLOOKUP(A506,'JOGOS BASE'!A:H,8)</f>
        <v>29.01.2025 - Tuntum - MA x Moto Club - MA</v>
      </c>
    </row>
    <row r="507" spans="1:18" ht="20.399999999999999">
      <c r="A507" s="15">
        <v>13</v>
      </c>
      <c r="B507" s="46">
        <v>14</v>
      </c>
      <c r="C507" s="45" t="s">
        <v>542</v>
      </c>
      <c r="D507" s="45" t="s">
        <v>543</v>
      </c>
      <c r="E507" s="47" t="s">
        <v>42</v>
      </c>
      <c r="F507" s="47" t="s">
        <v>24</v>
      </c>
      <c r="G507" s="46">
        <v>673868</v>
      </c>
      <c r="H507" s="18" t="s">
        <v>388</v>
      </c>
      <c r="I507" s="26" t="str">
        <f t="shared" si="60"/>
        <v>PARÁ</v>
      </c>
      <c r="J507" s="26" t="str">
        <f t="shared" si="61"/>
        <v>13Tuntum - MA14</v>
      </c>
      <c r="K507" s="27" t="str">
        <f>IFERROR(VLOOKUP(J507,Substituicoes!J:J,1,0),"SS")</f>
        <v>13Tuntum - MA14</v>
      </c>
      <c r="L507" s="27" t="str">
        <f>IFERROR(VLOOKUP(J507,Substituicoes!K:K,1,0),"SS")</f>
        <v>SS</v>
      </c>
      <c r="M507" s="28" t="b">
        <f t="shared" si="62"/>
        <v>0</v>
      </c>
      <c r="N507" s="29">
        <f>IF(AND(K507=L507,LEFT(E507,1)="T"),VLOOKUP(A507,'JOGOS BASE'!A:E,4,0),IF(K507=J507,VLOOKUP(J507,Substituicoes!J:R,6,0),IF(L507=J507,VLOOKUP(Escalacao!J507,Substituicoes!K:R,7,0),0)))</f>
        <v>0</v>
      </c>
      <c r="O507" s="28">
        <f>IF(AND(K507=L507,LEFT(E507,1)="T"),VLOOKUP(A507,'JOGOS BASE'!A:E,5,0),IF(K507=J507,VLOOKUP(J507,Substituicoes!J:R,7,0),IF(L507=J507,VLOOKUP(Escalacao!J507,Substituicoes!K:R,8,0),0)))</f>
        <v>39</v>
      </c>
      <c r="P507" s="28">
        <f t="shared" si="63"/>
        <v>39</v>
      </c>
      <c r="Q507" s="28" t="str">
        <f t="shared" si="64"/>
        <v>1314Tuntum - MA</v>
      </c>
      <c r="R507" s="28" t="str">
        <f>VLOOKUP(A507,'JOGOS BASE'!A:H,8)</f>
        <v>29.01.2025 - Tuntum - MA x Moto Club - MA</v>
      </c>
    </row>
    <row r="508" spans="1:18" ht="30.6">
      <c r="A508" s="15">
        <v>13</v>
      </c>
      <c r="B508" s="46">
        <v>15</v>
      </c>
      <c r="C508" s="45" t="s">
        <v>647</v>
      </c>
      <c r="D508" s="45" t="s">
        <v>648</v>
      </c>
      <c r="E508" s="47" t="s">
        <v>42</v>
      </c>
      <c r="F508" s="47" t="s">
        <v>24</v>
      </c>
      <c r="G508" s="46">
        <v>588127</v>
      </c>
      <c r="H508" s="18" t="s">
        <v>388</v>
      </c>
      <c r="I508" s="26" t="str">
        <f t="shared" si="60"/>
        <v>Richard</v>
      </c>
      <c r="J508" s="26" t="str">
        <f t="shared" si="61"/>
        <v>13Tuntum - MA15</v>
      </c>
      <c r="K508" s="27" t="str">
        <f>IFERROR(VLOOKUP(J508,Substituicoes!J:J,1,0),"SS")</f>
        <v>SS</v>
      </c>
      <c r="L508" s="27" t="str">
        <f>IFERROR(VLOOKUP(J508,Substituicoes!K:K,1,0),"SS")</f>
        <v>SS</v>
      </c>
      <c r="M508" s="28" t="b">
        <f t="shared" si="62"/>
        <v>1</v>
      </c>
      <c r="N508" s="29">
        <f>IF(AND(K508=L508,LEFT(E508,1)="T"),VLOOKUP(A508,'JOGOS BASE'!A:E,4,0),IF(K508=J508,VLOOKUP(J508,Substituicoes!J:R,6,0),IF(L508=J508,VLOOKUP(Escalacao!J508,Substituicoes!K:R,7,0),0)))</f>
        <v>0</v>
      </c>
      <c r="O508" s="28">
        <f>IF(AND(K508=L508,LEFT(E508,1)="T"),VLOOKUP(A508,'JOGOS BASE'!A:E,5,0),IF(K508=J508,VLOOKUP(J508,Substituicoes!J:R,7,0),IF(L508=J508,VLOOKUP(Escalacao!J508,Substituicoes!K:R,8,0),0)))</f>
        <v>0</v>
      </c>
      <c r="P508" s="28">
        <f t="shared" si="63"/>
        <v>0</v>
      </c>
      <c r="Q508" s="28" t="str">
        <f t="shared" si="64"/>
        <v>1315Tuntum - MA</v>
      </c>
      <c r="R508" s="28" t="str">
        <f>VLOOKUP(A508,'JOGOS BASE'!A:H,8)</f>
        <v>29.01.2025 - Tuntum - MA x Moto Club - MA</v>
      </c>
    </row>
    <row r="509" spans="1:18" ht="30.6">
      <c r="A509" s="15">
        <v>13</v>
      </c>
      <c r="B509" s="46">
        <v>16</v>
      </c>
      <c r="C509" s="45" t="s">
        <v>549</v>
      </c>
      <c r="D509" s="45" t="s">
        <v>550</v>
      </c>
      <c r="E509" s="47" t="s">
        <v>42</v>
      </c>
      <c r="F509" s="47" t="s">
        <v>24</v>
      </c>
      <c r="G509" s="46">
        <v>695765</v>
      </c>
      <c r="H509" s="18" t="s">
        <v>388</v>
      </c>
      <c r="I509" s="26" t="str">
        <f t="shared" si="60"/>
        <v>Remerson</v>
      </c>
      <c r="J509" s="26" t="str">
        <f t="shared" si="61"/>
        <v>13Tuntum - MA16</v>
      </c>
      <c r="K509" s="27" t="str">
        <f>IFERROR(VLOOKUP(J509,Substituicoes!J:J,1,0),"SS")</f>
        <v>SS</v>
      </c>
      <c r="L509" s="27" t="str">
        <f>IFERROR(VLOOKUP(J509,Substituicoes!K:K,1,0),"SS")</f>
        <v>SS</v>
      </c>
      <c r="M509" s="28" t="b">
        <f t="shared" si="62"/>
        <v>1</v>
      </c>
      <c r="N509" s="29">
        <f>IF(AND(K509=L509,LEFT(E509,1)="T"),VLOOKUP(A509,'JOGOS BASE'!A:E,4,0),IF(K509=J509,VLOOKUP(J509,Substituicoes!J:R,6,0),IF(L509=J509,VLOOKUP(Escalacao!J509,Substituicoes!K:R,7,0),0)))</f>
        <v>0</v>
      </c>
      <c r="O509" s="28">
        <f>IF(AND(K509=L509,LEFT(E509,1)="T"),VLOOKUP(A509,'JOGOS BASE'!A:E,5,0),IF(K509=J509,VLOOKUP(J509,Substituicoes!J:R,7,0),IF(L509=J509,VLOOKUP(Escalacao!J509,Substituicoes!K:R,8,0),0)))</f>
        <v>0</v>
      </c>
      <c r="P509" s="28">
        <f t="shared" si="63"/>
        <v>0</v>
      </c>
      <c r="Q509" s="28" t="str">
        <f t="shared" si="64"/>
        <v>1316Tuntum - MA</v>
      </c>
      <c r="R509" s="28" t="str">
        <f>VLOOKUP(A509,'JOGOS BASE'!A:H,8)</f>
        <v>29.01.2025 - Tuntum - MA x Moto Club - MA</v>
      </c>
    </row>
    <row r="510" spans="1:18" ht="20.399999999999999">
      <c r="A510" s="15">
        <v>13</v>
      </c>
      <c r="B510" s="46">
        <v>17</v>
      </c>
      <c r="C510" s="45" t="s">
        <v>547</v>
      </c>
      <c r="D510" s="45" t="s">
        <v>548</v>
      </c>
      <c r="E510" s="47" t="s">
        <v>42</v>
      </c>
      <c r="F510" s="47" t="s">
        <v>24</v>
      </c>
      <c r="G510" s="46">
        <v>699359</v>
      </c>
      <c r="H510" s="18" t="s">
        <v>388</v>
      </c>
      <c r="I510" s="26" t="str">
        <f t="shared" si="60"/>
        <v>GIULIEDSON</v>
      </c>
      <c r="J510" s="26" t="str">
        <f t="shared" si="61"/>
        <v>13Tuntum - MA17</v>
      </c>
      <c r="K510" s="27" t="str">
        <f>IFERROR(VLOOKUP(J510,Substituicoes!J:J,1,0),"SS")</f>
        <v>13Tuntum - MA17</v>
      </c>
      <c r="L510" s="27" t="str">
        <f>IFERROR(VLOOKUP(J510,Substituicoes!K:K,1,0),"SS")</f>
        <v>SS</v>
      </c>
      <c r="M510" s="28" t="b">
        <f t="shared" si="62"/>
        <v>0</v>
      </c>
      <c r="N510" s="29">
        <f>IF(AND(K510=L510,LEFT(E510,1)="T"),VLOOKUP(A510,'JOGOS BASE'!A:E,4,0),IF(K510=J510,VLOOKUP(J510,Substituicoes!J:R,6,0),IF(L510=J510,VLOOKUP(Escalacao!J510,Substituicoes!K:R,7,0),0)))</f>
        <v>0</v>
      </c>
      <c r="O510" s="28">
        <f>IF(AND(K510=L510,LEFT(E510,1)="T"),VLOOKUP(A510,'JOGOS BASE'!A:E,5,0),IF(K510=J510,VLOOKUP(J510,Substituicoes!J:R,7,0),IF(L510=J510,VLOOKUP(Escalacao!J510,Substituicoes!K:R,8,0),0)))</f>
        <v>27</v>
      </c>
      <c r="P510" s="28">
        <f t="shared" si="63"/>
        <v>27</v>
      </c>
      <c r="Q510" s="28" t="str">
        <f t="shared" si="64"/>
        <v>1317Tuntum - MA</v>
      </c>
      <c r="R510" s="28" t="str">
        <f>VLOOKUP(A510,'JOGOS BASE'!A:H,8)</f>
        <v>29.01.2025 - Tuntum - MA x Moto Club - MA</v>
      </c>
    </row>
    <row r="511" spans="1:18" ht="20.399999999999999">
      <c r="A511" s="15">
        <v>13</v>
      </c>
      <c r="B511" s="46">
        <v>18</v>
      </c>
      <c r="C511" s="45" t="s">
        <v>532</v>
      </c>
      <c r="D511" s="45" t="s">
        <v>533</v>
      </c>
      <c r="E511" s="47" t="s">
        <v>42</v>
      </c>
      <c r="F511" s="47" t="s">
        <v>24</v>
      </c>
      <c r="G511" s="46">
        <v>645521</v>
      </c>
      <c r="H511" s="18" t="s">
        <v>388</v>
      </c>
      <c r="I511" s="26" t="str">
        <f t="shared" si="60"/>
        <v>VICTOR</v>
      </c>
      <c r="J511" s="26" t="str">
        <f t="shared" si="61"/>
        <v>13Tuntum - MA18</v>
      </c>
      <c r="K511" s="27" t="str">
        <f>IFERROR(VLOOKUP(J511,Substituicoes!J:J,1,0),"SS")</f>
        <v>13Tuntum - MA18</v>
      </c>
      <c r="L511" s="27" t="str">
        <f>IFERROR(VLOOKUP(J511,Substituicoes!K:K,1,0),"SS")</f>
        <v>SS</v>
      </c>
      <c r="M511" s="28" t="b">
        <f t="shared" si="62"/>
        <v>0</v>
      </c>
      <c r="N511" s="29">
        <f>IF(AND(K511=L511,LEFT(E511,1)="T"),VLOOKUP(A511,'JOGOS BASE'!A:E,4,0),IF(K511=J511,VLOOKUP(J511,Substituicoes!J:R,6,0),IF(L511=J511,VLOOKUP(Escalacao!J511,Substituicoes!K:R,7,0),0)))</f>
        <v>0</v>
      </c>
      <c r="O511" s="28">
        <f>IF(AND(K511=L511,LEFT(E511,1)="T"),VLOOKUP(A511,'JOGOS BASE'!A:E,5,0),IF(K511=J511,VLOOKUP(J511,Substituicoes!J:R,7,0),IF(L511=J511,VLOOKUP(Escalacao!J511,Substituicoes!K:R,8,0),0)))</f>
        <v>51</v>
      </c>
      <c r="P511" s="28">
        <f t="shared" si="63"/>
        <v>51</v>
      </c>
      <c r="Q511" s="28" t="str">
        <f t="shared" si="64"/>
        <v>1318Tuntum - MA</v>
      </c>
      <c r="R511" s="28" t="str">
        <f>VLOOKUP(A511,'JOGOS BASE'!A:H,8)</f>
        <v>29.01.2025 - Tuntum - MA x Moto Club - MA</v>
      </c>
    </row>
    <row r="512" spans="1:18" ht="20.399999999999999">
      <c r="A512" s="15">
        <v>13</v>
      </c>
      <c r="B512" s="46">
        <v>19</v>
      </c>
      <c r="C512" s="45" t="s">
        <v>651</v>
      </c>
      <c r="D512" s="45" t="s">
        <v>652</v>
      </c>
      <c r="E512" s="47" t="s">
        <v>42</v>
      </c>
      <c r="F512" s="47" t="s">
        <v>24</v>
      </c>
      <c r="G512" s="46">
        <v>649106</v>
      </c>
      <c r="H512" s="18" t="s">
        <v>388</v>
      </c>
      <c r="I512" s="26" t="str">
        <f t="shared" si="60"/>
        <v>Igor</v>
      </c>
      <c r="J512" s="26" t="str">
        <f t="shared" si="61"/>
        <v>13Tuntum - MA19</v>
      </c>
      <c r="K512" s="27" t="str">
        <f>IFERROR(VLOOKUP(J512,Substituicoes!J:J,1,0),"SS")</f>
        <v>SS</v>
      </c>
      <c r="L512" s="27" t="str">
        <f>IFERROR(VLOOKUP(J512,Substituicoes!K:K,1,0),"SS")</f>
        <v>SS</v>
      </c>
      <c r="M512" s="28" t="b">
        <f t="shared" si="62"/>
        <v>1</v>
      </c>
      <c r="N512" s="29">
        <f>IF(AND(K512=L512,LEFT(E512,1)="T"),VLOOKUP(A512,'JOGOS BASE'!A:E,4,0),IF(K512=J512,VLOOKUP(J512,Substituicoes!J:R,6,0),IF(L512=J512,VLOOKUP(Escalacao!J512,Substituicoes!K:R,7,0),0)))</f>
        <v>0</v>
      </c>
      <c r="O512" s="28">
        <f>IF(AND(K512=L512,LEFT(E512,1)="T"),VLOOKUP(A512,'JOGOS BASE'!A:E,5,0),IF(K512=J512,VLOOKUP(J512,Substituicoes!J:R,7,0),IF(L512=J512,VLOOKUP(Escalacao!J512,Substituicoes!K:R,8,0),0)))</f>
        <v>0</v>
      </c>
      <c r="P512" s="28">
        <f t="shared" si="63"/>
        <v>0</v>
      </c>
      <c r="Q512" s="28" t="str">
        <f t="shared" si="64"/>
        <v>1319Tuntum - MA</v>
      </c>
      <c r="R512" s="28" t="str">
        <f>VLOOKUP(A512,'JOGOS BASE'!A:H,8)</f>
        <v>29.01.2025 - Tuntum - MA x Moto Club - MA</v>
      </c>
    </row>
    <row r="513" spans="1:18" ht="30.6">
      <c r="A513" s="15">
        <v>13</v>
      </c>
      <c r="B513" s="46">
        <v>20</v>
      </c>
      <c r="C513" s="45" t="s">
        <v>555</v>
      </c>
      <c r="D513" s="45" t="s">
        <v>556</v>
      </c>
      <c r="E513" s="47" t="s">
        <v>42</v>
      </c>
      <c r="F513" s="47" t="s">
        <v>24</v>
      </c>
      <c r="G513" s="46">
        <v>739945</v>
      </c>
      <c r="H513" s="18" t="s">
        <v>388</v>
      </c>
      <c r="I513" s="26" t="str">
        <f t="shared" si="60"/>
        <v>RENAN</v>
      </c>
      <c r="J513" s="26" t="str">
        <f t="shared" si="61"/>
        <v>13Tuntum - MA20</v>
      </c>
      <c r="K513" s="27" t="str">
        <f>IFERROR(VLOOKUP(J513,Substituicoes!J:J,1,0),"SS")</f>
        <v>13Tuntum - MA20</v>
      </c>
      <c r="L513" s="27" t="str">
        <f>IFERROR(VLOOKUP(J513,Substituicoes!K:K,1,0),"SS")</f>
        <v>SS</v>
      </c>
      <c r="M513" s="28" t="b">
        <f t="shared" si="62"/>
        <v>0</v>
      </c>
      <c r="N513" s="29">
        <f>IF(AND(K513=L513,LEFT(E513,1)="T"),VLOOKUP(A513,'JOGOS BASE'!A:E,4,0),IF(K513=J513,VLOOKUP(J513,Substituicoes!J:R,6,0),IF(L513=J513,VLOOKUP(Escalacao!J513,Substituicoes!K:R,7,0),0)))</f>
        <v>0</v>
      </c>
      <c r="O513" s="28">
        <f>IF(AND(K513=L513,LEFT(E513,1)="T"),VLOOKUP(A513,'JOGOS BASE'!A:E,5,0),IF(K513=J513,VLOOKUP(J513,Substituicoes!J:R,7,0),IF(L513=J513,VLOOKUP(Escalacao!J513,Substituicoes!K:R,8,0),0)))</f>
        <v>39</v>
      </c>
      <c r="P513" s="28">
        <f t="shared" si="63"/>
        <v>39</v>
      </c>
      <c r="Q513" s="28" t="str">
        <f t="shared" si="64"/>
        <v>1320Tuntum - MA</v>
      </c>
      <c r="R513" s="28" t="str">
        <f>VLOOKUP(A513,'JOGOS BASE'!A:H,8)</f>
        <v>29.01.2025 - Tuntum - MA x Moto Club - MA</v>
      </c>
    </row>
    <row r="514" spans="1:18" ht="30.6">
      <c r="A514" s="15">
        <v>13</v>
      </c>
      <c r="B514" s="46">
        <v>21</v>
      </c>
      <c r="C514" s="45" t="s">
        <v>655</v>
      </c>
      <c r="D514" s="45" t="s">
        <v>656</v>
      </c>
      <c r="E514" s="47" t="s">
        <v>42</v>
      </c>
      <c r="F514" s="47" t="s">
        <v>24</v>
      </c>
      <c r="G514" s="46">
        <v>648479</v>
      </c>
      <c r="H514" s="18" t="s">
        <v>388</v>
      </c>
      <c r="I514" s="26" t="str">
        <f t="shared" si="60"/>
        <v>MIKINHA</v>
      </c>
      <c r="J514" s="26" t="str">
        <f t="shared" si="61"/>
        <v>13Tuntum - MA21</v>
      </c>
      <c r="K514" s="27" t="str">
        <f>IFERROR(VLOOKUP(J514,Substituicoes!J:J,1,0),"SS")</f>
        <v>13Tuntum - MA21</v>
      </c>
      <c r="L514" s="27" t="str">
        <f>IFERROR(VLOOKUP(J514,Substituicoes!K:K,1,0),"SS")</f>
        <v>13Tuntum - MA21</v>
      </c>
      <c r="M514" s="28" t="b">
        <f t="shared" si="62"/>
        <v>1</v>
      </c>
      <c r="N514" s="29">
        <f>IF(AND(K514=L514,LEFT(E514,1)="T"),VLOOKUP(A514,'JOGOS BASE'!A:E,4,0),IF(K514=J514,VLOOKUP(J514,Substituicoes!J:R,6,0),IF(L514=J514,VLOOKUP(Escalacao!J514,Substituicoes!K:R,7,0),0)))</f>
        <v>0</v>
      </c>
      <c r="O514" s="28">
        <f>IF(AND(K514=L514,LEFT(E514,1)="T"),VLOOKUP(A514,'JOGOS BASE'!A:E,5,0),IF(K514=J514,VLOOKUP(J514,Substituicoes!J:R,7,0),IF(L514=J514,VLOOKUP(Escalacao!J514,Substituicoes!K:R,8,0),0)))</f>
        <v>51</v>
      </c>
      <c r="P514" s="28">
        <f t="shared" si="63"/>
        <v>51</v>
      </c>
      <c r="Q514" s="28" t="str">
        <f t="shared" si="64"/>
        <v>1321Tuntum - MA</v>
      </c>
      <c r="R514" s="28" t="str">
        <f>VLOOKUP(A514,'JOGOS BASE'!A:H,8)</f>
        <v>29.01.2025 - Tuntum - MA x Moto Club - MA</v>
      </c>
    </row>
    <row r="515" spans="1:18" ht="30.6">
      <c r="A515" s="15">
        <v>13</v>
      </c>
      <c r="B515" s="46">
        <v>22</v>
      </c>
      <c r="C515" s="45" t="s">
        <v>653</v>
      </c>
      <c r="D515" s="45" t="s">
        <v>654</v>
      </c>
      <c r="E515" s="47" t="s">
        <v>42</v>
      </c>
      <c r="F515" s="47" t="s">
        <v>24</v>
      </c>
      <c r="G515" s="46">
        <v>632127</v>
      </c>
      <c r="H515" s="18" t="s">
        <v>388</v>
      </c>
      <c r="I515" s="26" t="str">
        <f t="shared" si="60"/>
        <v>Felipe Bahia</v>
      </c>
      <c r="J515" s="26" t="str">
        <f t="shared" si="61"/>
        <v>13Tuntum - MA22</v>
      </c>
      <c r="K515" s="27" t="str">
        <f>IFERROR(VLOOKUP(J515,Substituicoes!J:J,1,0),"SS")</f>
        <v>SS</v>
      </c>
      <c r="L515" s="27" t="str">
        <f>IFERROR(VLOOKUP(J515,Substituicoes!K:K,1,0),"SS")</f>
        <v>SS</v>
      </c>
      <c r="M515" s="28" t="b">
        <f t="shared" si="62"/>
        <v>1</v>
      </c>
      <c r="N515" s="29">
        <f>IF(AND(K515=L515,LEFT(E515,1)="T"),VLOOKUP(A515,'JOGOS BASE'!A:E,4,0),IF(K515=J515,VLOOKUP(J515,Substituicoes!J:R,6,0),IF(L515=J515,VLOOKUP(Escalacao!J515,Substituicoes!K:R,7,0),0)))</f>
        <v>0</v>
      </c>
      <c r="O515" s="28">
        <f>IF(AND(K515=L515,LEFT(E515,1)="T"),VLOOKUP(A515,'JOGOS BASE'!A:E,5,0),IF(K515=J515,VLOOKUP(J515,Substituicoes!J:R,7,0),IF(L515=J515,VLOOKUP(Escalacao!J515,Substituicoes!K:R,8,0),0)))</f>
        <v>0</v>
      </c>
      <c r="P515" s="28">
        <f t="shared" si="63"/>
        <v>0</v>
      </c>
      <c r="Q515" s="28" t="str">
        <f t="shared" si="64"/>
        <v>1322Tuntum - MA</v>
      </c>
      <c r="R515" s="28" t="str">
        <f>VLOOKUP(A515,'JOGOS BASE'!A:H,8)</f>
        <v>29.01.2025 - Tuntum - MA x Moto Club - MA</v>
      </c>
    </row>
    <row r="516" spans="1:18" ht="20.399999999999999">
      <c r="A516" s="15">
        <v>13</v>
      </c>
      <c r="B516" s="46">
        <v>1</v>
      </c>
      <c r="C516" s="45" t="s">
        <v>172</v>
      </c>
      <c r="D516" s="45" t="s">
        <v>173</v>
      </c>
      <c r="E516" s="47" t="s">
        <v>23</v>
      </c>
      <c r="F516" s="47" t="s">
        <v>24</v>
      </c>
      <c r="G516" s="46">
        <v>432643</v>
      </c>
      <c r="H516" s="18" t="s">
        <v>273</v>
      </c>
      <c r="I516" s="26" t="str">
        <f t="shared" si="60"/>
        <v>Allan</v>
      </c>
      <c r="J516" s="26" t="str">
        <f t="shared" si="61"/>
        <v>13Moto Club - MA1</v>
      </c>
      <c r="K516" s="27" t="str">
        <f>IFERROR(VLOOKUP(J516,Substituicoes!J:J,1,0),"SS")</f>
        <v>SS</v>
      </c>
      <c r="L516" s="27" t="str">
        <f>IFERROR(VLOOKUP(J516,Substituicoes!K:K,1,0),"SS")</f>
        <v>SS</v>
      </c>
      <c r="M516" s="28" t="b">
        <f t="shared" si="62"/>
        <v>1</v>
      </c>
      <c r="N516" s="29">
        <f>IF(AND(K516=L516,LEFT(E516,1)="T"),VLOOKUP(A516,'JOGOS BASE'!A:E,4,0),IF(K516=J516,VLOOKUP(J516,Substituicoes!J:R,6,0),IF(L516=J516,VLOOKUP(Escalacao!J516,Substituicoes!K:R,7,0),0)))</f>
        <v>50</v>
      </c>
      <c r="O516" s="28">
        <f>IF(AND(K516=L516,LEFT(E516,1)="T"),VLOOKUP(A516,'JOGOS BASE'!A:E,5,0),IF(K516=J516,VLOOKUP(J516,Substituicoes!J:R,7,0),IF(L516=J516,VLOOKUP(Escalacao!J516,Substituicoes!K:R,8,0),0)))</f>
        <v>51</v>
      </c>
      <c r="P516" s="28">
        <f t="shared" si="63"/>
        <v>101</v>
      </c>
      <c r="Q516" s="28" t="str">
        <f t="shared" si="64"/>
        <v>131Moto Club - MA</v>
      </c>
      <c r="R516" s="28" t="str">
        <f>VLOOKUP(A516,'JOGOS BASE'!A:H,8)</f>
        <v>29.01.2025 - Tuntum - MA x Moto Club - MA</v>
      </c>
    </row>
    <row r="517" spans="1:18" ht="30.6">
      <c r="A517" s="15">
        <v>13</v>
      </c>
      <c r="B517" s="46">
        <v>2</v>
      </c>
      <c r="C517" s="45" t="s">
        <v>202</v>
      </c>
      <c r="D517" s="45" t="s">
        <v>203</v>
      </c>
      <c r="E517" s="47" t="s">
        <v>26</v>
      </c>
      <c r="F517" s="47" t="s">
        <v>24</v>
      </c>
      <c r="G517" s="46">
        <v>408375</v>
      </c>
      <c r="H517" s="18" t="s">
        <v>273</v>
      </c>
      <c r="I517" s="26" t="str">
        <f t="shared" si="60"/>
        <v>Wesley</v>
      </c>
      <c r="J517" s="26" t="str">
        <f t="shared" si="61"/>
        <v>13Moto Club - MA2</v>
      </c>
      <c r="K517" s="27" t="str">
        <f>IFERROR(VLOOKUP(J517,Substituicoes!J:J,1,0),"SS")</f>
        <v>SS</v>
      </c>
      <c r="L517" s="27" t="str">
        <f>IFERROR(VLOOKUP(J517,Substituicoes!K:K,1,0),"SS")</f>
        <v>SS</v>
      </c>
      <c r="M517" s="28" t="b">
        <f t="shared" si="62"/>
        <v>1</v>
      </c>
      <c r="N517" s="29">
        <f>IF(AND(K517=L517,LEFT(E517,1)="T"),VLOOKUP(A517,'JOGOS BASE'!A:E,4,0),IF(K517=J517,VLOOKUP(J517,Substituicoes!J:R,6,0),IF(L517=J517,VLOOKUP(Escalacao!J517,Substituicoes!K:R,7,0),0)))</f>
        <v>50</v>
      </c>
      <c r="O517" s="28">
        <f>IF(AND(K517=L517,LEFT(E517,1)="T"),VLOOKUP(A517,'JOGOS BASE'!A:E,5,0),IF(K517=J517,VLOOKUP(J517,Substituicoes!J:R,7,0),IF(L517=J517,VLOOKUP(Escalacao!J517,Substituicoes!K:R,8,0),0)))</f>
        <v>51</v>
      </c>
      <c r="P517" s="28">
        <f t="shared" si="63"/>
        <v>101</v>
      </c>
      <c r="Q517" s="28" t="str">
        <f t="shared" si="64"/>
        <v>132Moto Club - MA</v>
      </c>
      <c r="R517" s="28" t="str">
        <f>VLOOKUP(A517,'JOGOS BASE'!A:H,8)</f>
        <v>29.01.2025 - Tuntum - MA x Moto Club - MA</v>
      </c>
    </row>
    <row r="518" spans="1:18" ht="20.399999999999999">
      <c r="A518" s="15">
        <v>13</v>
      </c>
      <c r="B518" s="46">
        <v>3</v>
      </c>
      <c r="C518" s="45" t="s">
        <v>176</v>
      </c>
      <c r="D518" s="45" t="s">
        <v>177</v>
      </c>
      <c r="E518" s="47" t="s">
        <v>26</v>
      </c>
      <c r="F518" s="47" t="s">
        <v>24</v>
      </c>
      <c r="G518" s="46">
        <v>552504</v>
      </c>
      <c r="H518" s="18" t="s">
        <v>273</v>
      </c>
      <c r="I518" s="26" t="str">
        <f t="shared" si="60"/>
        <v>Yan</v>
      </c>
      <c r="J518" s="26" t="str">
        <f t="shared" si="61"/>
        <v>13Moto Club - MA3</v>
      </c>
      <c r="K518" s="27" t="str">
        <f>IFERROR(VLOOKUP(J518,Substituicoes!J:J,1,0),"SS")</f>
        <v>SS</v>
      </c>
      <c r="L518" s="27" t="str">
        <f>IFERROR(VLOOKUP(J518,Substituicoes!K:K,1,0),"SS")</f>
        <v>SS</v>
      </c>
      <c r="M518" s="28" t="b">
        <f t="shared" si="62"/>
        <v>1</v>
      </c>
      <c r="N518" s="29">
        <f>IF(AND(K518=L518,LEFT(E518,1)="T"),VLOOKUP(A518,'JOGOS BASE'!A:E,4,0),IF(K518=J518,VLOOKUP(J518,Substituicoes!J:R,6,0),IF(L518=J518,VLOOKUP(Escalacao!J518,Substituicoes!K:R,7,0),0)))</f>
        <v>50</v>
      </c>
      <c r="O518" s="28">
        <f>IF(AND(K518=L518,LEFT(E518,1)="T"),VLOOKUP(A518,'JOGOS BASE'!A:E,5,0),IF(K518=J518,VLOOKUP(J518,Substituicoes!J:R,7,0),IF(L518=J518,VLOOKUP(Escalacao!J518,Substituicoes!K:R,8,0),0)))</f>
        <v>51</v>
      </c>
      <c r="P518" s="28">
        <f t="shared" si="63"/>
        <v>101</v>
      </c>
      <c r="Q518" s="28" t="str">
        <f t="shared" si="64"/>
        <v>133Moto Club - MA</v>
      </c>
      <c r="R518" s="28" t="str">
        <f>VLOOKUP(A518,'JOGOS BASE'!A:H,8)</f>
        <v>29.01.2025 - Tuntum - MA x Moto Club - MA</v>
      </c>
    </row>
    <row r="519" spans="1:18" ht="20.399999999999999">
      <c r="A519" s="15">
        <v>13</v>
      </c>
      <c r="B519" s="46">
        <v>4</v>
      </c>
      <c r="C519" s="45" t="s">
        <v>178</v>
      </c>
      <c r="D519" s="45" t="s">
        <v>179</v>
      </c>
      <c r="E519" s="47" t="s">
        <v>26</v>
      </c>
      <c r="F519" s="47" t="s">
        <v>24</v>
      </c>
      <c r="G519" s="46">
        <v>412439</v>
      </c>
      <c r="H519" s="18" t="s">
        <v>273</v>
      </c>
      <c r="I519" s="26" t="str">
        <f t="shared" si="60"/>
        <v>Mauricio</v>
      </c>
      <c r="J519" s="26" t="str">
        <f t="shared" si="61"/>
        <v>13Moto Club - MA4</v>
      </c>
      <c r="K519" s="27" t="str">
        <f>IFERROR(VLOOKUP(J519,Substituicoes!J:J,1,0),"SS")</f>
        <v>SS</v>
      </c>
      <c r="L519" s="27" t="str">
        <f>IFERROR(VLOOKUP(J519,Substituicoes!K:K,1,0),"SS")</f>
        <v>SS</v>
      </c>
      <c r="M519" s="28" t="b">
        <f t="shared" si="62"/>
        <v>1</v>
      </c>
      <c r="N519" s="29">
        <f>IF(AND(K519=L519,LEFT(E519,1)="T"),VLOOKUP(A519,'JOGOS BASE'!A:E,4,0),IF(K519=J519,VLOOKUP(J519,Substituicoes!J:R,6,0),IF(L519=J519,VLOOKUP(Escalacao!J519,Substituicoes!K:R,7,0),0)))</f>
        <v>50</v>
      </c>
      <c r="O519" s="28">
        <f>IF(AND(K519=L519,LEFT(E519,1)="T"),VLOOKUP(A519,'JOGOS BASE'!A:E,5,0),IF(K519=J519,VLOOKUP(J519,Substituicoes!J:R,7,0),IF(L519=J519,VLOOKUP(Escalacao!J519,Substituicoes!K:R,8,0),0)))</f>
        <v>51</v>
      </c>
      <c r="P519" s="28">
        <f t="shared" si="63"/>
        <v>101</v>
      </c>
      <c r="Q519" s="28" t="str">
        <f t="shared" si="64"/>
        <v>134Moto Club - MA</v>
      </c>
      <c r="R519" s="28" t="str">
        <f>VLOOKUP(A519,'JOGOS BASE'!A:H,8)</f>
        <v>29.01.2025 - Tuntum - MA x Moto Club - MA</v>
      </c>
    </row>
    <row r="520" spans="1:18" ht="30.6">
      <c r="A520" s="15">
        <v>13</v>
      </c>
      <c r="B520" s="46">
        <v>5</v>
      </c>
      <c r="C520" s="45" t="s">
        <v>687</v>
      </c>
      <c r="D520" s="45" t="s">
        <v>688</v>
      </c>
      <c r="E520" s="47" t="s">
        <v>26</v>
      </c>
      <c r="F520" s="47" t="s">
        <v>24</v>
      </c>
      <c r="G520" s="46">
        <v>431934</v>
      </c>
      <c r="H520" s="18" t="s">
        <v>273</v>
      </c>
      <c r="I520" s="26" t="str">
        <f t="shared" si="60"/>
        <v>Orleans</v>
      </c>
      <c r="J520" s="26" t="str">
        <f t="shared" si="61"/>
        <v>13Moto Club - MA5</v>
      </c>
      <c r="K520" s="27" t="str">
        <f>IFERROR(VLOOKUP(J520,Substituicoes!J:J,1,0),"SS")</f>
        <v>SS</v>
      </c>
      <c r="L520" s="27" t="str">
        <f>IFERROR(VLOOKUP(J520,Substituicoes!K:K,1,0),"SS")</f>
        <v>SS</v>
      </c>
      <c r="M520" s="28" t="b">
        <f t="shared" si="62"/>
        <v>1</v>
      </c>
      <c r="N520" s="29">
        <f>IF(AND(K520=L520,LEFT(E520,1)="T"),VLOOKUP(A520,'JOGOS BASE'!A:E,4,0),IF(K520=J520,VLOOKUP(J520,Substituicoes!J:R,6,0),IF(L520=J520,VLOOKUP(Escalacao!J520,Substituicoes!K:R,7,0),0)))</f>
        <v>50</v>
      </c>
      <c r="O520" s="28">
        <f>IF(AND(K520=L520,LEFT(E520,1)="T"),VLOOKUP(A520,'JOGOS BASE'!A:E,5,0),IF(K520=J520,VLOOKUP(J520,Substituicoes!J:R,7,0),IF(L520=J520,VLOOKUP(Escalacao!J520,Substituicoes!K:R,8,0),0)))</f>
        <v>51</v>
      </c>
      <c r="P520" s="28">
        <f t="shared" si="63"/>
        <v>101</v>
      </c>
      <c r="Q520" s="28" t="str">
        <f t="shared" si="64"/>
        <v>135Moto Club - MA</v>
      </c>
      <c r="R520" s="28" t="str">
        <f>VLOOKUP(A520,'JOGOS BASE'!A:H,8)</f>
        <v>29.01.2025 - Tuntum - MA x Moto Club - MA</v>
      </c>
    </row>
    <row r="521" spans="1:18" ht="30.6">
      <c r="A521" s="15">
        <v>13</v>
      </c>
      <c r="B521" s="46">
        <v>6</v>
      </c>
      <c r="C521" s="45" t="s">
        <v>182</v>
      </c>
      <c r="D521" s="45" t="s">
        <v>183</v>
      </c>
      <c r="E521" s="47" t="s">
        <v>26</v>
      </c>
      <c r="F521" s="47" t="s">
        <v>24</v>
      </c>
      <c r="G521" s="46">
        <v>708589</v>
      </c>
      <c r="H521" s="18" t="s">
        <v>273</v>
      </c>
      <c r="I521" s="26" t="str">
        <f t="shared" si="60"/>
        <v>GUSTAVO</v>
      </c>
      <c r="J521" s="26" t="str">
        <f t="shared" si="61"/>
        <v>13Moto Club - MA6</v>
      </c>
      <c r="K521" s="27" t="str">
        <f>IFERROR(VLOOKUP(J521,Substituicoes!J:J,1,0),"SS")</f>
        <v>SS</v>
      </c>
      <c r="L521" s="27" t="str">
        <f>IFERROR(VLOOKUP(J521,Substituicoes!K:K,1,0),"SS")</f>
        <v>13Moto Club - MA6</v>
      </c>
      <c r="M521" s="28" t="b">
        <f t="shared" si="62"/>
        <v>0</v>
      </c>
      <c r="N521" s="29">
        <f>IF(AND(K521=L521,LEFT(E521,1)="T"),VLOOKUP(A521,'JOGOS BASE'!A:E,4,0),IF(K521=J521,VLOOKUP(J521,Substituicoes!J:R,6,0),IF(L521=J521,VLOOKUP(Escalacao!J521,Substituicoes!K:R,7,0),0)))</f>
        <v>50</v>
      </c>
      <c r="O521" s="28">
        <f>IF(AND(K521=L521,LEFT(E521,1)="T"),VLOOKUP(A521,'JOGOS BASE'!A:E,5,0),IF(K521=J521,VLOOKUP(J521,Substituicoes!J:R,7,0),IF(L521=J521,VLOOKUP(Escalacao!J521,Substituicoes!K:R,8,0),0)))</f>
        <v>0</v>
      </c>
      <c r="P521" s="28">
        <f t="shared" si="63"/>
        <v>50</v>
      </c>
      <c r="Q521" s="28" t="str">
        <f t="shared" si="64"/>
        <v>136Moto Club - MA</v>
      </c>
      <c r="R521" s="28" t="str">
        <f>VLOOKUP(A521,'JOGOS BASE'!A:H,8)</f>
        <v>29.01.2025 - Tuntum - MA x Moto Club - MA</v>
      </c>
    </row>
    <row r="522" spans="1:18" ht="20.399999999999999">
      <c r="A522" s="15">
        <v>13</v>
      </c>
      <c r="B522" s="46">
        <v>7</v>
      </c>
      <c r="C522" s="45" t="s">
        <v>693</v>
      </c>
      <c r="D522" s="45" t="s">
        <v>189</v>
      </c>
      <c r="E522" s="47" t="s">
        <v>26</v>
      </c>
      <c r="F522" s="47" t="s">
        <v>24</v>
      </c>
      <c r="G522" s="46">
        <v>595794</v>
      </c>
      <c r="H522" s="18" t="s">
        <v>273</v>
      </c>
      <c r="I522" s="26" t="str">
        <f t="shared" si="60"/>
        <v>wiliam bol ...</v>
      </c>
      <c r="J522" s="26" t="str">
        <f t="shared" si="61"/>
        <v>13Moto Club - MA7</v>
      </c>
      <c r="K522" s="27" t="str">
        <f>IFERROR(VLOOKUP(J522,Substituicoes!J:J,1,0),"SS")</f>
        <v>SS</v>
      </c>
      <c r="L522" s="27" t="str">
        <f>IFERROR(VLOOKUP(J522,Substituicoes!K:K,1,0),"SS")</f>
        <v>13Moto Club - MA7</v>
      </c>
      <c r="M522" s="28" t="b">
        <f t="shared" si="62"/>
        <v>0</v>
      </c>
      <c r="N522" s="29">
        <f>IF(AND(K522=L522,LEFT(E522,1)="T"),VLOOKUP(A522,'JOGOS BASE'!A:E,4,0),IF(K522=J522,VLOOKUP(J522,Substituicoes!J:R,6,0),IF(L522=J522,VLOOKUP(Escalacao!J522,Substituicoes!K:R,7,0),0)))</f>
        <v>50</v>
      </c>
      <c r="O522" s="28">
        <f>IF(AND(K522=L522,LEFT(E522,1)="T"),VLOOKUP(A522,'JOGOS BASE'!A:E,5,0),IF(K522=J522,VLOOKUP(J522,Substituicoes!J:R,7,0),IF(L522=J522,VLOOKUP(Escalacao!J522,Substituicoes!K:R,8,0),0)))</f>
        <v>0</v>
      </c>
      <c r="P522" s="28">
        <f t="shared" si="63"/>
        <v>50</v>
      </c>
      <c r="Q522" s="28" t="str">
        <f t="shared" si="64"/>
        <v>137Moto Club - MA</v>
      </c>
      <c r="R522" s="28" t="str">
        <f>VLOOKUP(A522,'JOGOS BASE'!A:H,8)</f>
        <v>29.01.2025 - Tuntum - MA x Moto Club - MA</v>
      </c>
    </row>
    <row r="523" spans="1:18" ht="30.6">
      <c r="A523" s="15">
        <v>13</v>
      </c>
      <c r="B523" s="46">
        <v>8</v>
      </c>
      <c r="C523" s="45" t="s">
        <v>198</v>
      </c>
      <c r="D523" s="45" t="s">
        <v>199</v>
      </c>
      <c r="E523" s="47" t="s">
        <v>26</v>
      </c>
      <c r="F523" s="47" t="s">
        <v>24</v>
      </c>
      <c r="G523" s="46">
        <v>647538</v>
      </c>
      <c r="H523" s="18" t="s">
        <v>273</v>
      </c>
      <c r="I523" s="26" t="str">
        <f t="shared" si="60"/>
        <v>Mauricio G ...</v>
      </c>
      <c r="J523" s="26" t="str">
        <f t="shared" si="61"/>
        <v>13Moto Club - MA8</v>
      </c>
      <c r="K523" s="27" t="str">
        <f>IFERROR(VLOOKUP(J523,Substituicoes!J:J,1,0),"SS")</f>
        <v>SS</v>
      </c>
      <c r="L523" s="27" t="str">
        <f>IFERROR(VLOOKUP(J523,Substituicoes!K:K,1,0),"SS")</f>
        <v>13Moto Club - MA8</v>
      </c>
      <c r="M523" s="28" t="b">
        <f t="shared" si="62"/>
        <v>0</v>
      </c>
      <c r="N523" s="29">
        <f>IF(AND(K523=L523,LEFT(E523,1)="T"),VLOOKUP(A523,'JOGOS BASE'!A:E,4,0),IF(K523=J523,VLOOKUP(J523,Substituicoes!J:R,6,0),IF(L523=J523,VLOOKUP(Escalacao!J523,Substituicoes!K:R,7,0),0)))</f>
        <v>50</v>
      </c>
      <c r="O523" s="28">
        <f>IF(AND(K523=L523,LEFT(E523,1)="T"),VLOOKUP(A523,'JOGOS BASE'!A:E,5,0),IF(K523=J523,VLOOKUP(J523,Substituicoes!J:R,7,0),IF(L523=J523,VLOOKUP(Escalacao!J523,Substituicoes!K:R,8,0),0)))</f>
        <v>19</v>
      </c>
      <c r="P523" s="28">
        <f t="shared" si="63"/>
        <v>69</v>
      </c>
      <c r="Q523" s="28" t="str">
        <f t="shared" si="64"/>
        <v>138Moto Club - MA</v>
      </c>
      <c r="R523" s="28" t="str">
        <f>VLOOKUP(A523,'JOGOS BASE'!A:H,8)</f>
        <v>29.01.2025 - Tuntum - MA x Moto Club - MA</v>
      </c>
    </row>
    <row r="524" spans="1:18" ht="30.6">
      <c r="A524" s="15">
        <v>13</v>
      </c>
      <c r="B524" s="46">
        <v>9</v>
      </c>
      <c r="C524" s="45" t="s">
        <v>689</v>
      </c>
      <c r="D524" s="45" t="s">
        <v>690</v>
      </c>
      <c r="E524" s="47" t="s">
        <v>26</v>
      </c>
      <c r="F524" s="47" t="s">
        <v>24</v>
      </c>
      <c r="G524" s="46">
        <v>309323</v>
      </c>
      <c r="H524" s="18" t="s">
        <v>273</v>
      </c>
      <c r="I524" s="26" t="str">
        <f t="shared" si="60"/>
        <v>Magno</v>
      </c>
      <c r="J524" s="26" t="str">
        <f t="shared" si="61"/>
        <v>13Moto Club - MA9</v>
      </c>
      <c r="K524" s="27" t="str">
        <f>IFERROR(VLOOKUP(J524,Substituicoes!J:J,1,0),"SS")</f>
        <v>SS</v>
      </c>
      <c r="L524" s="27" t="str">
        <f>IFERROR(VLOOKUP(J524,Substituicoes!K:K,1,0),"SS")</f>
        <v>SS</v>
      </c>
      <c r="M524" s="28" t="b">
        <f t="shared" si="62"/>
        <v>1</v>
      </c>
      <c r="N524" s="29">
        <f>IF(AND(K524=L524,LEFT(E524,1)="T"),VLOOKUP(A524,'JOGOS BASE'!A:E,4,0),IF(K524=J524,VLOOKUP(J524,Substituicoes!J:R,6,0),IF(L524=J524,VLOOKUP(Escalacao!J524,Substituicoes!K:R,7,0),0)))</f>
        <v>50</v>
      </c>
      <c r="O524" s="28">
        <f>IF(AND(K524=L524,LEFT(E524,1)="T"),VLOOKUP(A524,'JOGOS BASE'!A:E,5,0),IF(K524=J524,VLOOKUP(J524,Substituicoes!J:R,7,0),IF(L524=J524,VLOOKUP(Escalacao!J524,Substituicoes!K:R,8,0),0)))</f>
        <v>51</v>
      </c>
      <c r="P524" s="28">
        <f t="shared" si="63"/>
        <v>101</v>
      </c>
      <c r="Q524" s="28" t="str">
        <f t="shared" si="64"/>
        <v>139Moto Club - MA</v>
      </c>
      <c r="R524" s="28" t="str">
        <f>VLOOKUP(A524,'JOGOS BASE'!A:H,8)</f>
        <v>29.01.2025 - Tuntum - MA x Moto Club - MA</v>
      </c>
    </row>
    <row r="525" spans="1:18" ht="30.6">
      <c r="A525" s="15">
        <v>13</v>
      </c>
      <c r="B525" s="46">
        <v>10</v>
      </c>
      <c r="C525" s="45" t="s">
        <v>192</v>
      </c>
      <c r="D525" s="45" t="s">
        <v>193</v>
      </c>
      <c r="E525" s="47" t="s">
        <v>26</v>
      </c>
      <c r="F525" s="47" t="s">
        <v>24</v>
      </c>
      <c r="G525" s="46">
        <v>438976</v>
      </c>
      <c r="H525" s="18" t="s">
        <v>273</v>
      </c>
      <c r="I525" s="26" t="str">
        <f t="shared" si="60"/>
        <v>Danilo</v>
      </c>
      <c r="J525" s="26" t="str">
        <f t="shared" si="61"/>
        <v>13Moto Club - MA10</v>
      </c>
      <c r="K525" s="27" t="str">
        <f>IFERROR(VLOOKUP(J525,Substituicoes!J:J,1,0),"SS")</f>
        <v>SS</v>
      </c>
      <c r="L525" s="27" t="str">
        <f>IFERROR(VLOOKUP(J525,Substituicoes!K:K,1,0),"SS")</f>
        <v>13Moto Club - MA10</v>
      </c>
      <c r="M525" s="28" t="b">
        <f t="shared" si="62"/>
        <v>0</v>
      </c>
      <c r="N525" s="29">
        <f>IF(AND(K525=L525,LEFT(E525,1)="T"),VLOOKUP(A525,'JOGOS BASE'!A:E,4,0),IF(K525=J525,VLOOKUP(J525,Substituicoes!J:R,6,0),IF(L525=J525,VLOOKUP(Escalacao!J525,Substituicoes!K:R,7,0),0)))</f>
        <v>50</v>
      </c>
      <c r="O525" s="28">
        <f>IF(AND(K525=L525,LEFT(E525,1)="T"),VLOOKUP(A525,'JOGOS BASE'!A:E,5,0),IF(K525=J525,VLOOKUP(J525,Substituicoes!J:R,7,0),IF(L525=J525,VLOOKUP(Escalacao!J525,Substituicoes!K:R,8,0),0)))</f>
        <v>0</v>
      </c>
      <c r="P525" s="28">
        <f t="shared" si="63"/>
        <v>50</v>
      </c>
      <c r="Q525" s="28" t="str">
        <f t="shared" si="64"/>
        <v>1310Moto Club - MA</v>
      </c>
      <c r="R525" s="28" t="str">
        <f>VLOOKUP(A525,'JOGOS BASE'!A:H,8)</f>
        <v>29.01.2025 - Tuntum - MA x Moto Club - MA</v>
      </c>
    </row>
    <row r="526" spans="1:18" ht="30.6">
      <c r="A526" s="15">
        <v>13</v>
      </c>
      <c r="B526" s="46">
        <v>11</v>
      </c>
      <c r="C526" s="45" t="s">
        <v>184</v>
      </c>
      <c r="D526" s="45" t="s">
        <v>185</v>
      </c>
      <c r="E526" s="47" t="s">
        <v>26</v>
      </c>
      <c r="F526" s="47" t="s">
        <v>24</v>
      </c>
      <c r="G526" s="46">
        <v>562612</v>
      </c>
      <c r="H526" s="18" t="s">
        <v>273</v>
      </c>
      <c r="I526" s="26" t="str">
        <f t="shared" si="60"/>
        <v>Gustavo</v>
      </c>
      <c r="J526" s="26" t="str">
        <f t="shared" si="61"/>
        <v>13Moto Club - MA11</v>
      </c>
      <c r="K526" s="27" t="str">
        <f>IFERROR(VLOOKUP(J526,Substituicoes!J:J,1,0),"SS")</f>
        <v>SS</v>
      </c>
      <c r="L526" s="27" t="str">
        <f>IFERROR(VLOOKUP(J526,Substituicoes!K:K,1,0),"SS")</f>
        <v>13Moto Club - MA11</v>
      </c>
      <c r="M526" s="28" t="b">
        <f t="shared" si="62"/>
        <v>0</v>
      </c>
      <c r="N526" s="29">
        <f>IF(AND(K526=L526,LEFT(E526,1)="T"),VLOOKUP(A526,'JOGOS BASE'!A:E,4,0),IF(K526=J526,VLOOKUP(J526,Substituicoes!J:R,6,0),IF(L526=J526,VLOOKUP(Escalacao!J526,Substituicoes!K:R,7,0),0)))</f>
        <v>50</v>
      </c>
      <c r="O526" s="28">
        <f>IF(AND(K526=L526,LEFT(E526,1)="T"),VLOOKUP(A526,'JOGOS BASE'!A:E,5,0),IF(K526=J526,VLOOKUP(J526,Substituicoes!J:R,7,0),IF(L526=J526,VLOOKUP(Escalacao!J526,Substituicoes!K:R,8,0),0)))</f>
        <v>24</v>
      </c>
      <c r="P526" s="28">
        <f t="shared" si="63"/>
        <v>74</v>
      </c>
      <c r="Q526" s="28" t="str">
        <f t="shared" si="64"/>
        <v>1311Moto Club - MA</v>
      </c>
      <c r="R526" s="28" t="str">
        <f>VLOOKUP(A526,'JOGOS BASE'!A:H,8)</f>
        <v>29.01.2025 - Tuntum - MA x Moto Club - MA</v>
      </c>
    </row>
    <row r="527" spans="1:18" ht="30.6">
      <c r="A527" s="15">
        <v>13</v>
      </c>
      <c r="B527" s="46">
        <v>12</v>
      </c>
      <c r="C527" s="45" t="s">
        <v>194</v>
      </c>
      <c r="D527" s="45" t="s">
        <v>195</v>
      </c>
      <c r="E527" s="47" t="s">
        <v>40</v>
      </c>
      <c r="F527" s="47" t="s">
        <v>24</v>
      </c>
      <c r="G527" s="46">
        <v>307298</v>
      </c>
      <c r="H527" s="18" t="s">
        <v>273</v>
      </c>
      <c r="I527" s="26" t="str">
        <f t="shared" si="60"/>
        <v>Douglas</v>
      </c>
      <c r="J527" s="26" t="str">
        <f t="shared" si="61"/>
        <v>13Moto Club - MA12</v>
      </c>
      <c r="K527" s="27" t="str">
        <f>IFERROR(VLOOKUP(J527,Substituicoes!J:J,1,0),"SS")</f>
        <v>SS</v>
      </c>
      <c r="L527" s="27" t="str">
        <f>IFERROR(VLOOKUP(J527,Substituicoes!K:K,1,0),"SS")</f>
        <v>SS</v>
      </c>
      <c r="M527" s="28" t="b">
        <f t="shared" si="62"/>
        <v>1</v>
      </c>
      <c r="N527" s="29">
        <f>IF(AND(K527=L527,LEFT(E527,1)="T"),VLOOKUP(A527,'JOGOS BASE'!A:E,4,0),IF(K527=J527,VLOOKUP(J527,Substituicoes!J:R,6,0),IF(L527=J527,VLOOKUP(Escalacao!J527,Substituicoes!K:R,7,0),0)))</f>
        <v>0</v>
      </c>
      <c r="O527" s="28">
        <f>IF(AND(K527=L527,LEFT(E527,1)="T"),VLOOKUP(A527,'JOGOS BASE'!A:E,5,0),IF(K527=J527,VLOOKUP(J527,Substituicoes!J:R,7,0),IF(L527=J527,VLOOKUP(Escalacao!J527,Substituicoes!K:R,8,0),0)))</f>
        <v>0</v>
      </c>
      <c r="P527" s="28">
        <f t="shared" si="63"/>
        <v>0</v>
      </c>
      <c r="Q527" s="28" t="str">
        <f t="shared" si="64"/>
        <v>1312Moto Club - MA</v>
      </c>
      <c r="R527" s="28" t="str">
        <f>VLOOKUP(A527,'JOGOS BASE'!A:H,8)</f>
        <v>29.01.2025 - Tuntum - MA x Moto Club - MA</v>
      </c>
    </row>
    <row r="528" spans="1:18" ht="30.6">
      <c r="A528" s="15">
        <v>13</v>
      </c>
      <c r="B528" s="46">
        <v>13</v>
      </c>
      <c r="C528" s="45" t="s">
        <v>691</v>
      </c>
      <c r="D528" s="45" t="s">
        <v>692</v>
      </c>
      <c r="E528" s="47" t="s">
        <v>42</v>
      </c>
      <c r="F528" s="47" t="s">
        <v>24</v>
      </c>
      <c r="G528" s="46">
        <v>646632</v>
      </c>
      <c r="H528" s="18" t="s">
        <v>273</v>
      </c>
      <c r="I528" s="26" t="str">
        <f t="shared" si="60"/>
        <v>FERNANDO</v>
      </c>
      <c r="J528" s="26" t="str">
        <f t="shared" si="61"/>
        <v>13Moto Club - MA13</v>
      </c>
      <c r="K528" s="27" t="str">
        <f>IFERROR(VLOOKUP(J528,Substituicoes!J:J,1,0),"SS")</f>
        <v>SS</v>
      </c>
      <c r="L528" s="27" t="str">
        <f>IFERROR(VLOOKUP(J528,Substituicoes!K:K,1,0),"SS")</f>
        <v>SS</v>
      </c>
      <c r="M528" s="28" t="b">
        <f t="shared" si="62"/>
        <v>1</v>
      </c>
      <c r="N528" s="29">
        <f>IF(AND(K528=L528,LEFT(E528,1)="T"),VLOOKUP(A528,'JOGOS BASE'!A:E,4,0),IF(K528=J528,VLOOKUP(J528,Substituicoes!J:R,6,0),IF(L528=J528,VLOOKUP(Escalacao!J528,Substituicoes!K:R,7,0),0)))</f>
        <v>0</v>
      </c>
      <c r="O528" s="28">
        <f>IF(AND(K528=L528,LEFT(E528,1)="T"),VLOOKUP(A528,'JOGOS BASE'!A:E,5,0),IF(K528=J528,VLOOKUP(J528,Substituicoes!J:R,7,0),IF(L528=J528,VLOOKUP(Escalacao!J528,Substituicoes!K:R,8,0),0)))</f>
        <v>0</v>
      </c>
      <c r="P528" s="28">
        <f t="shared" si="63"/>
        <v>0</v>
      </c>
      <c r="Q528" s="28" t="str">
        <f t="shared" si="64"/>
        <v>1313Moto Club - MA</v>
      </c>
      <c r="R528" s="28" t="str">
        <f>VLOOKUP(A528,'JOGOS BASE'!A:H,8)</f>
        <v>29.01.2025 - Tuntum - MA x Moto Club - MA</v>
      </c>
    </row>
    <row r="529" spans="1:18" ht="40.799999999999997">
      <c r="A529" s="15">
        <v>13</v>
      </c>
      <c r="B529" s="46">
        <v>14</v>
      </c>
      <c r="C529" s="45" t="s">
        <v>685</v>
      </c>
      <c r="D529" s="45" t="s">
        <v>686</v>
      </c>
      <c r="E529" s="47" t="s">
        <v>42</v>
      </c>
      <c r="F529" s="47" t="s">
        <v>24</v>
      </c>
      <c r="G529" s="46">
        <v>314288</v>
      </c>
      <c r="H529" s="18" t="s">
        <v>273</v>
      </c>
      <c r="I529" s="26" t="str">
        <f t="shared" si="60"/>
        <v>Yago</v>
      </c>
      <c r="J529" s="26" t="str">
        <f t="shared" si="61"/>
        <v>13Moto Club - MA14</v>
      </c>
      <c r="K529" s="27" t="str">
        <f>IFERROR(VLOOKUP(J529,Substituicoes!J:J,1,0),"SS")</f>
        <v>SS</v>
      </c>
      <c r="L529" s="27" t="str">
        <f>IFERROR(VLOOKUP(J529,Substituicoes!K:K,1,0),"SS")</f>
        <v>SS</v>
      </c>
      <c r="M529" s="28" t="b">
        <f t="shared" si="62"/>
        <v>1</v>
      </c>
      <c r="N529" s="29">
        <f>IF(AND(K529=L529,LEFT(E529,1)="T"),VLOOKUP(A529,'JOGOS BASE'!A:E,4,0),IF(K529=J529,VLOOKUP(J529,Substituicoes!J:R,6,0),IF(L529=J529,VLOOKUP(Escalacao!J529,Substituicoes!K:R,7,0),0)))</f>
        <v>0</v>
      </c>
      <c r="O529" s="28">
        <f>IF(AND(K529=L529,LEFT(E529,1)="T"),VLOOKUP(A529,'JOGOS BASE'!A:E,5,0),IF(K529=J529,VLOOKUP(J529,Substituicoes!J:R,7,0),IF(L529=J529,VLOOKUP(Escalacao!J529,Substituicoes!K:R,8,0),0)))</f>
        <v>0</v>
      </c>
      <c r="P529" s="28">
        <f t="shared" si="63"/>
        <v>0</v>
      </c>
      <c r="Q529" s="28" t="str">
        <f t="shared" si="64"/>
        <v>1314Moto Club - MA</v>
      </c>
      <c r="R529" s="28" t="str">
        <f>VLOOKUP(A529,'JOGOS BASE'!A:H,8)</f>
        <v>29.01.2025 - Tuntum - MA x Moto Club - MA</v>
      </c>
    </row>
    <row r="530" spans="1:18" ht="20.399999999999999">
      <c r="A530" s="15">
        <v>13</v>
      </c>
      <c r="B530" s="46">
        <v>15</v>
      </c>
      <c r="C530" s="45" t="s">
        <v>180</v>
      </c>
      <c r="D530" s="45" t="s">
        <v>181</v>
      </c>
      <c r="E530" s="47" t="s">
        <v>42</v>
      </c>
      <c r="F530" s="47" t="s">
        <v>24</v>
      </c>
      <c r="G530" s="46">
        <v>343511</v>
      </c>
      <c r="H530" s="18" t="s">
        <v>273</v>
      </c>
      <c r="I530" s="26" t="str">
        <f t="shared" si="60"/>
        <v>Felipe Dias</v>
      </c>
      <c r="J530" s="26" t="str">
        <f t="shared" si="61"/>
        <v>13Moto Club - MA15</v>
      </c>
      <c r="K530" s="27" t="str">
        <f>IFERROR(VLOOKUP(J530,Substituicoes!J:J,1,0),"SS")</f>
        <v>13Moto Club - MA15</v>
      </c>
      <c r="L530" s="27" t="str">
        <f>IFERROR(VLOOKUP(J530,Substituicoes!K:K,1,0),"SS")</f>
        <v>SS</v>
      </c>
      <c r="M530" s="28" t="b">
        <f t="shared" si="62"/>
        <v>0</v>
      </c>
      <c r="N530" s="29">
        <f>IF(AND(K530=L530,LEFT(E530,1)="T"),VLOOKUP(A530,'JOGOS BASE'!A:E,4,0),IF(K530=J530,VLOOKUP(J530,Substituicoes!J:R,6,0),IF(L530=J530,VLOOKUP(Escalacao!J530,Substituicoes!K:R,7,0),0)))</f>
        <v>0</v>
      </c>
      <c r="O530" s="28">
        <f>IF(AND(K530=L530,LEFT(E530,1)="T"),VLOOKUP(A530,'JOGOS BASE'!A:E,5,0),IF(K530=J530,VLOOKUP(J530,Substituicoes!J:R,7,0),IF(L530=J530,VLOOKUP(Escalacao!J530,Substituicoes!K:R,8,0),0)))</f>
        <v>32</v>
      </c>
      <c r="P530" s="28">
        <f t="shared" si="63"/>
        <v>32</v>
      </c>
      <c r="Q530" s="28" t="str">
        <f t="shared" si="64"/>
        <v>1315Moto Club - MA</v>
      </c>
      <c r="R530" s="28" t="str">
        <f>VLOOKUP(A530,'JOGOS BASE'!A:H,8)</f>
        <v>29.01.2025 - Tuntum - MA x Moto Club - MA</v>
      </c>
    </row>
    <row r="531" spans="1:18" ht="30.6">
      <c r="A531" s="15">
        <v>13</v>
      </c>
      <c r="B531" s="46">
        <v>16</v>
      </c>
      <c r="C531" s="45" t="s">
        <v>200</v>
      </c>
      <c r="D531" s="45" t="s">
        <v>201</v>
      </c>
      <c r="E531" s="47" t="s">
        <v>42</v>
      </c>
      <c r="F531" s="47" t="s">
        <v>24</v>
      </c>
      <c r="G531" s="46">
        <v>500772</v>
      </c>
      <c r="H531" s="18" t="s">
        <v>273</v>
      </c>
      <c r="I531" s="26" t="str">
        <f t="shared" si="60"/>
        <v>Matheus Silva</v>
      </c>
      <c r="J531" s="26" t="str">
        <f t="shared" si="61"/>
        <v>13Moto Club - MA16</v>
      </c>
      <c r="K531" s="27" t="str">
        <f>IFERROR(VLOOKUP(J531,Substituicoes!J:J,1,0),"SS")</f>
        <v>13Moto Club - MA16</v>
      </c>
      <c r="L531" s="27" t="str">
        <f>IFERROR(VLOOKUP(J531,Substituicoes!K:K,1,0),"SS")</f>
        <v>SS</v>
      </c>
      <c r="M531" s="28" t="b">
        <f t="shared" si="62"/>
        <v>0</v>
      </c>
      <c r="N531" s="29">
        <f>IF(AND(K531=L531,LEFT(E531,1)="T"),VLOOKUP(A531,'JOGOS BASE'!A:E,4,0),IF(K531=J531,VLOOKUP(J531,Substituicoes!J:R,6,0),IF(L531=J531,VLOOKUP(Escalacao!J531,Substituicoes!K:R,7,0),0)))</f>
        <v>0</v>
      </c>
      <c r="O531" s="28">
        <f>IF(AND(K531=L531,LEFT(E531,1)="T"),VLOOKUP(A531,'JOGOS BASE'!A:E,5,0),IF(K531=J531,VLOOKUP(J531,Substituicoes!J:R,7,0),IF(L531=J531,VLOOKUP(Escalacao!J531,Substituicoes!K:R,8,0),0)))</f>
        <v>51</v>
      </c>
      <c r="P531" s="28">
        <f t="shared" si="63"/>
        <v>51</v>
      </c>
      <c r="Q531" s="28" t="str">
        <f t="shared" si="64"/>
        <v>1316Moto Club - MA</v>
      </c>
      <c r="R531" s="28" t="str">
        <f>VLOOKUP(A531,'JOGOS BASE'!A:H,8)</f>
        <v>29.01.2025 - Tuntum - MA x Moto Club - MA</v>
      </c>
    </row>
    <row r="532" spans="1:18" ht="20.399999999999999">
      <c r="A532" s="15">
        <v>13</v>
      </c>
      <c r="B532" s="46">
        <v>17</v>
      </c>
      <c r="C532" s="45" t="s">
        <v>190</v>
      </c>
      <c r="D532" s="45" t="s">
        <v>191</v>
      </c>
      <c r="E532" s="47" t="s">
        <v>42</v>
      </c>
      <c r="F532" s="47" t="s">
        <v>24</v>
      </c>
      <c r="G532" s="46">
        <v>302560</v>
      </c>
      <c r="H532" s="18" t="s">
        <v>273</v>
      </c>
      <c r="I532" s="26" t="str">
        <f t="shared" si="60"/>
        <v>DANILO PIRE</v>
      </c>
      <c r="J532" s="26" t="str">
        <f t="shared" si="61"/>
        <v>13Moto Club - MA17</v>
      </c>
      <c r="K532" s="27" t="str">
        <f>IFERROR(VLOOKUP(J532,Substituicoes!J:J,1,0),"SS")</f>
        <v>13Moto Club - MA17</v>
      </c>
      <c r="L532" s="27" t="str">
        <f>IFERROR(VLOOKUP(J532,Substituicoes!K:K,1,0),"SS")</f>
        <v>SS</v>
      </c>
      <c r="M532" s="28" t="b">
        <f t="shared" si="62"/>
        <v>0</v>
      </c>
      <c r="N532" s="29">
        <f>IF(AND(K532=L532,LEFT(E532,1)="T"),VLOOKUP(A532,'JOGOS BASE'!A:E,4,0),IF(K532=J532,VLOOKUP(J532,Substituicoes!J:R,6,0),IF(L532=J532,VLOOKUP(Escalacao!J532,Substituicoes!K:R,7,0),0)))</f>
        <v>0</v>
      </c>
      <c r="O532" s="28">
        <f>IF(AND(K532=L532,LEFT(E532,1)="T"),VLOOKUP(A532,'JOGOS BASE'!A:E,5,0),IF(K532=J532,VLOOKUP(J532,Substituicoes!J:R,7,0),IF(L532=J532,VLOOKUP(Escalacao!J532,Substituicoes!K:R,8,0),0)))</f>
        <v>51</v>
      </c>
      <c r="P532" s="28">
        <f t="shared" si="63"/>
        <v>51</v>
      </c>
      <c r="Q532" s="28" t="str">
        <f t="shared" si="64"/>
        <v>1317Moto Club - MA</v>
      </c>
      <c r="R532" s="28" t="str">
        <f>VLOOKUP(A532,'JOGOS BASE'!A:H,8)</f>
        <v>29.01.2025 - Tuntum - MA x Moto Club - MA</v>
      </c>
    </row>
    <row r="533" spans="1:18" ht="20.399999999999999">
      <c r="A533" s="15">
        <v>13</v>
      </c>
      <c r="B533" s="46">
        <v>18</v>
      </c>
      <c r="C533" s="45" t="s">
        <v>204</v>
      </c>
      <c r="D533" s="45" t="s">
        <v>205</v>
      </c>
      <c r="E533" s="47" t="s">
        <v>42</v>
      </c>
      <c r="F533" s="47" t="s">
        <v>56</v>
      </c>
      <c r="G533" s="46">
        <v>790091</v>
      </c>
      <c r="H533" s="18" t="s">
        <v>273</v>
      </c>
      <c r="I533" s="26" t="str">
        <f t="shared" si="60"/>
        <v>LEANDERSO</v>
      </c>
      <c r="J533" s="26" t="str">
        <f t="shared" si="61"/>
        <v>13Moto Club - MA18</v>
      </c>
      <c r="K533" s="27" t="str">
        <f>IFERROR(VLOOKUP(J533,Substituicoes!J:J,1,0),"SS")</f>
        <v>SS</v>
      </c>
      <c r="L533" s="27" t="str">
        <f>IFERROR(VLOOKUP(J533,Substituicoes!K:K,1,0),"SS")</f>
        <v>SS</v>
      </c>
      <c r="M533" s="28" t="b">
        <f t="shared" si="62"/>
        <v>1</v>
      </c>
      <c r="N533" s="29">
        <f>IF(AND(K533=L533,LEFT(E533,1)="T"),VLOOKUP(A533,'JOGOS BASE'!A:E,4,0),IF(K533=J533,VLOOKUP(J533,Substituicoes!J:R,6,0),IF(L533=J533,VLOOKUP(Escalacao!J533,Substituicoes!K:R,7,0),0)))</f>
        <v>0</v>
      </c>
      <c r="O533" s="28">
        <f>IF(AND(K533=L533,LEFT(E533,1)="T"),VLOOKUP(A533,'JOGOS BASE'!A:E,5,0),IF(K533=J533,VLOOKUP(J533,Substituicoes!J:R,7,0),IF(L533=J533,VLOOKUP(Escalacao!J533,Substituicoes!K:R,8,0),0)))</f>
        <v>0</v>
      </c>
      <c r="P533" s="28">
        <f t="shared" si="63"/>
        <v>0</v>
      </c>
      <c r="Q533" s="28" t="str">
        <f t="shared" si="64"/>
        <v>1318Moto Club - MA</v>
      </c>
      <c r="R533" s="28" t="str">
        <f>VLOOKUP(A533,'JOGOS BASE'!A:H,8)</f>
        <v>29.01.2025 - Tuntum - MA x Moto Club - MA</v>
      </c>
    </row>
    <row r="534" spans="1:18" ht="30.6">
      <c r="A534" s="15">
        <v>13</v>
      </c>
      <c r="B534" s="46">
        <v>19</v>
      </c>
      <c r="C534" s="45" t="s">
        <v>206</v>
      </c>
      <c r="D534" s="45" t="s">
        <v>207</v>
      </c>
      <c r="E534" s="47" t="s">
        <v>42</v>
      </c>
      <c r="F534" s="47" t="s">
        <v>24</v>
      </c>
      <c r="G534" s="46">
        <v>597469</v>
      </c>
      <c r="H534" s="18" t="s">
        <v>273</v>
      </c>
      <c r="I534" s="26" t="str">
        <f t="shared" si="60"/>
        <v>Warllem</v>
      </c>
      <c r="J534" s="26" t="str">
        <f t="shared" si="61"/>
        <v>13Moto Club - MA19</v>
      </c>
      <c r="K534" s="27" t="str">
        <f>IFERROR(VLOOKUP(J534,Substituicoes!J:J,1,0),"SS")</f>
        <v>13Moto Club - MA19</v>
      </c>
      <c r="L534" s="27" t="str">
        <f>IFERROR(VLOOKUP(J534,Substituicoes!K:K,1,0),"SS")</f>
        <v>SS</v>
      </c>
      <c r="M534" s="28" t="b">
        <f t="shared" si="62"/>
        <v>0</v>
      </c>
      <c r="N534" s="29">
        <f>IF(AND(K534=L534,LEFT(E534,1)="T"),VLOOKUP(A534,'JOGOS BASE'!A:E,4,0),IF(K534=J534,VLOOKUP(J534,Substituicoes!J:R,6,0),IF(L534=J534,VLOOKUP(Escalacao!J534,Substituicoes!K:R,7,0),0)))</f>
        <v>0</v>
      </c>
      <c r="O534" s="28">
        <f>IF(AND(K534=L534,LEFT(E534,1)="T"),VLOOKUP(A534,'JOGOS BASE'!A:E,5,0),IF(K534=J534,VLOOKUP(J534,Substituicoes!J:R,7,0),IF(L534=J534,VLOOKUP(Escalacao!J534,Substituicoes!K:R,8,0),0)))</f>
        <v>27</v>
      </c>
      <c r="P534" s="28">
        <f t="shared" si="63"/>
        <v>27</v>
      </c>
      <c r="Q534" s="28" t="str">
        <f t="shared" si="64"/>
        <v>1319Moto Club - MA</v>
      </c>
      <c r="R534" s="28" t="str">
        <f>VLOOKUP(A534,'JOGOS BASE'!A:H,8)</f>
        <v>29.01.2025 - Tuntum - MA x Moto Club - MA</v>
      </c>
    </row>
    <row r="535" spans="1:18" ht="20.399999999999999">
      <c r="A535" s="15">
        <v>13</v>
      </c>
      <c r="B535" s="46">
        <v>20</v>
      </c>
      <c r="C535" s="45" t="s">
        <v>683</v>
      </c>
      <c r="D535" s="45" t="s">
        <v>684</v>
      </c>
      <c r="E535" s="47" t="s">
        <v>42</v>
      </c>
      <c r="F535" s="47" t="s">
        <v>56</v>
      </c>
      <c r="G535" s="46">
        <v>784057</v>
      </c>
      <c r="H535" s="18" t="s">
        <v>273</v>
      </c>
      <c r="I535" s="26" t="str">
        <f t="shared" si="60"/>
        <v>Ian</v>
      </c>
      <c r="J535" s="26" t="str">
        <f t="shared" si="61"/>
        <v>13Moto Club - MA20</v>
      </c>
      <c r="K535" s="27" t="str">
        <f>IFERROR(VLOOKUP(J535,Substituicoes!J:J,1,0),"SS")</f>
        <v>SS</v>
      </c>
      <c r="L535" s="27" t="str">
        <f>IFERROR(VLOOKUP(J535,Substituicoes!K:K,1,0),"SS")</f>
        <v>SS</v>
      </c>
      <c r="M535" s="28" t="b">
        <f t="shared" si="62"/>
        <v>1</v>
      </c>
      <c r="N535" s="29">
        <f>IF(AND(K535=L535,LEFT(E535,1)="T"),VLOOKUP(A535,'JOGOS BASE'!A:E,4,0),IF(K535=J535,VLOOKUP(J535,Substituicoes!J:R,6,0),IF(L535=J535,VLOOKUP(Escalacao!J535,Substituicoes!K:R,7,0),0)))</f>
        <v>0</v>
      </c>
      <c r="O535" s="28">
        <f>IF(AND(K535=L535,LEFT(E535,1)="T"),VLOOKUP(A535,'JOGOS BASE'!A:E,5,0),IF(K535=J535,VLOOKUP(J535,Substituicoes!J:R,7,0),IF(L535=J535,VLOOKUP(Escalacao!J535,Substituicoes!K:R,8,0),0)))</f>
        <v>0</v>
      </c>
      <c r="P535" s="28">
        <f t="shared" si="63"/>
        <v>0</v>
      </c>
      <c r="Q535" s="28" t="str">
        <f t="shared" si="64"/>
        <v>1320Moto Club - MA</v>
      </c>
      <c r="R535" s="28" t="str">
        <f>VLOOKUP(A535,'JOGOS BASE'!A:H,8)</f>
        <v>29.01.2025 - Tuntum - MA x Moto Club - MA</v>
      </c>
    </row>
    <row r="536" spans="1:18" ht="30.6">
      <c r="A536" s="15">
        <v>13</v>
      </c>
      <c r="B536" s="46">
        <v>21</v>
      </c>
      <c r="C536" s="45" t="s">
        <v>208</v>
      </c>
      <c r="D536" s="45" t="s">
        <v>209</v>
      </c>
      <c r="E536" s="47" t="s">
        <v>42</v>
      </c>
      <c r="F536" s="47" t="s">
        <v>24</v>
      </c>
      <c r="G536" s="46">
        <v>610535</v>
      </c>
      <c r="H536" s="18" t="s">
        <v>273</v>
      </c>
      <c r="I536" s="26" t="str">
        <f t="shared" si="60"/>
        <v>Paulo Renato</v>
      </c>
      <c r="J536" s="26" t="str">
        <f t="shared" si="61"/>
        <v>13Moto Club - MA21</v>
      </c>
      <c r="K536" s="27" t="str">
        <f>IFERROR(VLOOKUP(J536,Substituicoes!J:J,1,0),"SS")</f>
        <v>13Moto Club - MA21</v>
      </c>
      <c r="L536" s="27" t="str">
        <f>IFERROR(VLOOKUP(J536,Substituicoes!K:K,1,0),"SS")</f>
        <v>SS</v>
      </c>
      <c r="M536" s="28" t="b">
        <f t="shared" si="62"/>
        <v>0</v>
      </c>
      <c r="N536" s="29">
        <f>IF(AND(K536=L536,LEFT(E536,1)="T"),VLOOKUP(A536,'JOGOS BASE'!A:E,4,0),IF(K536=J536,VLOOKUP(J536,Substituicoes!J:R,6,0),IF(L536=J536,VLOOKUP(Escalacao!J536,Substituicoes!K:R,7,0),0)))</f>
        <v>0</v>
      </c>
      <c r="O536" s="28">
        <f>IF(AND(K536=L536,LEFT(E536,1)="T"),VLOOKUP(A536,'JOGOS BASE'!A:E,5,0),IF(K536=J536,VLOOKUP(J536,Substituicoes!J:R,7,0),IF(L536=J536,VLOOKUP(Escalacao!J536,Substituicoes!K:R,8,0),0)))</f>
        <v>51</v>
      </c>
      <c r="P536" s="28">
        <f t="shared" si="63"/>
        <v>51</v>
      </c>
      <c r="Q536" s="28" t="str">
        <f t="shared" si="64"/>
        <v>1321Moto Club - MA</v>
      </c>
      <c r="R536" s="28" t="str">
        <f>VLOOKUP(A536,'JOGOS BASE'!A:H,8)</f>
        <v>29.01.2025 - Tuntum - MA x Moto Club - MA</v>
      </c>
    </row>
    <row r="537" spans="1:18" ht="20.399999999999999">
      <c r="A537" s="15">
        <v>14</v>
      </c>
      <c r="B537" s="46">
        <v>1</v>
      </c>
      <c r="C537" s="45" t="s">
        <v>59</v>
      </c>
      <c r="D537" s="45" t="s">
        <v>60</v>
      </c>
      <c r="E537" s="47" t="s">
        <v>23</v>
      </c>
      <c r="F537" s="47" t="s">
        <v>24</v>
      </c>
      <c r="G537" s="46">
        <v>639922</v>
      </c>
      <c r="H537" s="18" t="s">
        <v>122</v>
      </c>
      <c r="I537" s="26" t="str">
        <f t="shared" ref="I537:I579" si="65">C537</f>
        <v>ALAN</v>
      </c>
      <c r="J537" s="26" t="str">
        <f t="shared" ref="J537:J579" si="66">A537&amp;H537&amp;B537</f>
        <v>14Sampaio Corrêa - MA1</v>
      </c>
      <c r="K537" s="27" t="str">
        <f>IFERROR(VLOOKUP(J537,Substituicoes!J:J,1,0),"SS")</f>
        <v>SS</v>
      </c>
      <c r="L537" s="27" t="str">
        <f>IFERROR(VLOOKUP(J537,Substituicoes!K:K,1,0),"SS")</f>
        <v>SS</v>
      </c>
      <c r="M537" s="28" t="b">
        <f t="shared" ref="M537:M579" si="67">K537=L537</f>
        <v>1</v>
      </c>
      <c r="N537" s="29">
        <f>IF(AND(K537=L537,LEFT(E537,1)="T"),VLOOKUP(A537,'JOGOS BASE'!A:E,4,0),IF(K537=J537,VLOOKUP(J537,Substituicoes!J:R,6,0),IF(L537=J537,VLOOKUP(Escalacao!J537,Substituicoes!K:R,7,0),0)))</f>
        <v>48</v>
      </c>
      <c r="O537" s="28">
        <f>IF(AND(K537=L537,LEFT(E537,1)="T"),VLOOKUP(A537,'JOGOS BASE'!A:E,5,0),IF(K537=J537,VLOOKUP(J537,Substituicoes!J:R,7,0),IF(L537=J537,VLOOKUP(Escalacao!J537,Substituicoes!K:R,8,0),0)))</f>
        <v>49</v>
      </c>
      <c r="P537" s="28">
        <f t="shared" ref="P537:P579" si="68">N537+O537</f>
        <v>97</v>
      </c>
      <c r="Q537" s="28" t="str">
        <f t="shared" ref="Q537:Q579" si="69">A537&amp;B537&amp;H537</f>
        <v>141Sampaio Corrêa - MA</v>
      </c>
      <c r="R537" s="28" t="str">
        <f>VLOOKUP(A537,'JOGOS BASE'!A:H,8)</f>
        <v>29.01.2025 - Sampaio Corrêa - MA x Pinheiro - MA</v>
      </c>
    </row>
    <row r="538" spans="1:18" ht="30.6">
      <c r="A538" s="15">
        <v>14</v>
      </c>
      <c r="B538" s="46">
        <v>2</v>
      </c>
      <c r="C538" s="45" t="s">
        <v>61</v>
      </c>
      <c r="D538" s="45" t="s">
        <v>62</v>
      </c>
      <c r="E538" s="47" t="s">
        <v>26</v>
      </c>
      <c r="F538" s="47" t="s">
        <v>24</v>
      </c>
      <c r="G538" s="46">
        <v>400878</v>
      </c>
      <c r="H538" s="18" t="s">
        <v>122</v>
      </c>
      <c r="I538" s="26" t="str">
        <f t="shared" si="65"/>
        <v>JÔ</v>
      </c>
      <c r="J538" s="26" t="str">
        <f t="shared" si="66"/>
        <v>14Sampaio Corrêa - MA2</v>
      </c>
      <c r="K538" s="27" t="str">
        <f>IFERROR(VLOOKUP(J538,Substituicoes!J:J,1,0),"SS")</f>
        <v>SS</v>
      </c>
      <c r="L538" s="27" t="str">
        <f>IFERROR(VLOOKUP(J538,Substituicoes!K:K,1,0),"SS")</f>
        <v>SS</v>
      </c>
      <c r="M538" s="28" t="b">
        <f t="shared" si="67"/>
        <v>1</v>
      </c>
      <c r="N538" s="29">
        <f>IF(AND(K538=L538,LEFT(E538,1)="T"),VLOOKUP(A538,'JOGOS BASE'!A:E,4,0),IF(K538=J538,VLOOKUP(J538,Substituicoes!J:R,6,0),IF(L538=J538,VLOOKUP(Escalacao!J538,Substituicoes!K:R,7,0),0)))</f>
        <v>48</v>
      </c>
      <c r="O538" s="28">
        <f>IF(AND(K538=L538,LEFT(E538,1)="T"),VLOOKUP(A538,'JOGOS BASE'!A:E,5,0),IF(K538=J538,VLOOKUP(J538,Substituicoes!J:R,7,0),IF(L538=J538,VLOOKUP(Escalacao!J538,Substituicoes!K:R,8,0),0)))</f>
        <v>49</v>
      </c>
      <c r="P538" s="28">
        <f t="shared" si="68"/>
        <v>97</v>
      </c>
      <c r="Q538" s="28" t="str">
        <f t="shared" si="69"/>
        <v>142Sampaio Corrêa - MA</v>
      </c>
      <c r="R538" s="28" t="str">
        <f>VLOOKUP(A538,'JOGOS BASE'!A:H,8)</f>
        <v>29.01.2025 - Sampaio Corrêa - MA x Pinheiro - MA</v>
      </c>
    </row>
    <row r="539" spans="1:18" ht="30.6">
      <c r="A539" s="15">
        <v>14</v>
      </c>
      <c r="B539" s="46">
        <v>3</v>
      </c>
      <c r="C539" s="45" t="s">
        <v>80</v>
      </c>
      <c r="D539" s="45" t="s">
        <v>81</v>
      </c>
      <c r="E539" s="47" t="s">
        <v>26</v>
      </c>
      <c r="F539" s="47" t="s">
        <v>24</v>
      </c>
      <c r="G539" s="46">
        <v>590518</v>
      </c>
      <c r="H539" s="18" t="s">
        <v>122</v>
      </c>
      <c r="I539" s="26" t="str">
        <f t="shared" si="65"/>
        <v>GALVÃO</v>
      </c>
      <c r="J539" s="26" t="str">
        <f t="shared" si="66"/>
        <v>14Sampaio Corrêa - MA3</v>
      </c>
      <c r="K539" s="27" t="str">
        <f>IFERROR(VLOOKUP(J539,Substituicoes!J:J,1,0),"SS")</f>
        <v>SS</v>
      </c>
      <c r="L539" s="27" t="str">
        <f>IFERROR(VLOOKUP(J539,Substituicoes!K:K,1,0),"SS")</f>
        <v>14Sampaio Corrêa - MA3</v>
      </c>
      <c r="M539" s="28" t="b">
        <f t="shared" si="67"/>
        <v>0</v>
      </c>
      <c r="N539" s="29">
        <f>IF(AND(K539=L539,LEFT(E539,1)="T"),VLOOKUP(A539,'JOGOS BASE'!A:E,4,0),IF(K539=J539,VLOOKUP(J539,Substituicoes!J:R,6,0),IF(L539=J539,VLOOKUP(Escalacao!J539,Substituicoes!K:R,7,0),0)))</f>
        <v>48</v>
      </c>
      <c r="O539" s="28">
        <f>IF(AND(K539=L539,LEFT(E539,1)="T"),VLOOKUP(A539,'JOGOS BASE'!A:E,5,0),IF(K539=J539,VLOOKUP(J539,Substituicoes!J:R,7,0),IF(L539=J539,VLOOKUP(Escalacao!J539,Substituicoes!K:R,8,0),0)))</f>
        <v>0</v>
      </c>
      <c r="P539" s="28">
        <f t="shared" si="68"/>
        <v>48</v>
      </c>
      <c r="Q539" s="28" t="str">
        <f t="shared" si="69"/>
        <v>143Sampaio Corrêa - MA</v>
      </c>
      <c r="R539" s="28" t="str">
        <f>VLOOKUP(A539,'JOGOS BASE'!A:H,8)</f>
        <v>29.01.2025 - Sampaio Corrêa - MA x Pinheiro - MA</v>
      </c>
    </row>
    <row r="540" spans="1:18" ht="20.399999999999999">
      <c r="A540" s="15">
        <v>14</v>
      </c>
      <c r="B540" s="46">
        <v>4</v>
      </c>
      <c r="C540" s="45" t="s">
        <v>14</v>
      </c>
      <c r="D540" s="45" t="s">
        <v>64</v>
      </c>
      <c r="E540" s="47" t="s">
        <v>26</v>
      </c>
      <c r="F540" s="47" t="s">
        <v>24</v>
      </c>
      <c r="G540" s="46">
        <v>298371</v>
      </c>
      <c r="H540" s="18" t="s">
        <v>122</v>
      </c>
      <c r="I540" s="26" t="str">
        <f t="shared" si="65"/>
        <v>Fabio</v>
      </c>
      <c r="J540" s="26" t="str">
        <f t="shared" si="66"/>
        <v>14Sampaio Corrêa - MA4</v>
      </c>
      <c r="K540" s="27" t="str">
        <f>IFERROR(VLOOKUP(J540,Substituicoes!J:J,1,0),"SS")</f>
        <v>SS</v>
      </c>
      <c r="L540" s="27" t="str">
        <f>IFERROR(VLOOKUP(J540,Substituicoes!K:K,1,0),"SS")</f>
        <v>SS</v>
      </c>
      <c r="M540" s="28" t="b">
        <f t="shared" si="67"/>
        <v>1</v>
      </c>
      <c r="N540" s="29">
        <f>IF(AND(K540=L540,LEFT(E540,1)="T"),VLOOKUP(A540,'JOGOS BASE'!A:E,4,0),IF(K540=J540,VLOOKUP(J540,Substituicoes!J:R,6,0),IF(L540=J540,VLOOKUP(Escalacao!J540,Substituicoes!K:R,7,0),0)))</f>
        <v>48</v>
      </c>
      <c r="O540" s="28">
        <f>IF(AND(K540=L540,LEFT(E540,1)="T"),VLOOKUP(A540,'JOGOS BASE'!A:E,5,0),IF(K540=J540,VLOOKUP(J540,Substituicoes!J:R,7,0),IF(L540=J540,VLOOKUP(Escalacao!J540,Substituicoes!K:R,8,0),0)))</f>
        <v>49</v>
      </c>
      <c r="P540" s="28">
        <f t="shared" si="68"/>
        <v>97</v>
      </c>
      <c r="Q540" s="28" t="str">
        <f t="shared" si="69"/>
        <v>144Sampaio Corrêa - MA</v>
      </c>
      <c r="R540" s="28" t="str">
        <f>VLOOKUP(A540,'JOGOS BASE'!A:H,8)</f>
        <v>29.01.2025 - Sampaio Corrêa - MA x Pinheiro - MA</v>
      </c>
    </row>
    <row r="541" spans="1:18" ht="30.6">
      <c r="A541" s="15">
        <v>14</v>
      </c>
      <c r="B541" s="46">
        <v>5</v>
      </c>
      <c r="C541" s="45" t="s">
        <v>15</v>
      </c>
      <c r="D541" s="45" t="s">
        <v>65</v>
      </c>
      <c r="E541" s="47" t="s">
        <v>26</v>
      </c>
      <c r="F541" s="47" t="s">
        <v>24</v>
      </c>
      <c r="G541" s="46">
        <v>509723</v>
      </c>
      <c r="H541" s="18" t="s">
        <v>122</v>
      </c>
      <c r="I541" s="26" t="str">
        <f t="shared" si="65"/>
        <v>Cavi</v>
      </c>
      <c r="J541" s="26" t="str">
        <f t="shared" si="66"/>
        <v>14Sampaio Corrêa - MA5</v>
      </c>
      <c r="K541" s="27" t="str">
        <f>IFERROR(VLOOKUP(J541,Substituicoes!J:J,1,0),"SS")</f>
        <v>SS</v>
      </c>
      <c r="L541" s="27" t="str">
        <f>IFERROR(VLOOKUP(J541,Substituicoes!K:K,1,0),"SS")</f>
        <v>SS</v>
      </c>
      <c r="M541" s="28" t="b">
        <f t="shared" si="67"/>
        <v>1</v>
      </c>
      <c r="N541" s="29">
        <f>IF(AND(K541=L541,LEFT(E541,1)="T"),VLOOKUP(A541,'JOGOS BASE'!A:E,4,0),IF(K541=J541,VLOOKUP(J541,Substituicoes!J:R,6,0),IF(L541=J541,VLOOKUP(Escalacao!J541,Substituicoes!K:R,7,0),0)))</f>
        <v>48</v>
      </c>
      <c r="O541" s="28">
        <f>IF(AND(K541=L541,LEFT(E541,1)="T"),VLOOKUP(A541,'JOGOS BASE'!A:E,5,0),IF(K541=J541,VLOOKUP(J541,Substituicoes!J:R,7,0),IF(L541=J541,VLOOKUP(Escalacao!J541,Substituicoes!K:R,8,0),0)))</f>
        <v>49</v>
      </c>
      <c r="P541" s="28">
        <f t="shared" si="68"/>
        <v>97</v>
      </c>
      <c r="Q541" s="28" t="str">
        <f t="shared" si="69"/>
        <v>145Sampaio Corrêa - MA</v>
      </c>
      <c r="R541" s="28" t="str">
        <f>VLOOKUP(A541,'JOGOS BASE'!A:H,8)</f>
        <v>29.01.2025 - Sampaio Corrêa - MA x Pinheiro - MA</v>
      </c>
    </row>
    <row r="542" spans="1:18" ht="20.399999999999999">
      <c r="A542" s="15">
        <v>14</v>
      </c>
      <c r="B542" s="46">
        <v>6</v>
      </c>
      <c r="C542" s="45" t="s">
        <v>66</v>
      </c>
      <c r="D542" s="45" t="s">
        <v>67</v>
      </c>
      <c r="E542" s="47" t="s">
        <v>26</v>
      </c>
      <c r="F542" s="47" t="s">
        <v>24</v>
      </c>
      <c r="G542" s="46">
        <v>520878</v>
      </c>
      <c r="H542" s="18" t="s">
        <v>122</v>
      </c>
      <c r="I542" s="26" t="str">
        <f t="shared" si="65"/>
        <v>Thiago Rosa</v>
      </c>
      <c r="J542" s="26" t="str">
        <f t="shared" si="66"/>
        <v>14Sampaio Corrêa - MA6</v>
      </c>
      <c r="K542" s="27" t="str">
        <f>IFERROR(VLOOKUP(J542,Substituicoes!J:J,1,0),"SS")</f>
        <v>SS</v>
      </c>
      <c r="L542" s="27" t="str">
        <f>IFERROR(VLOOKUP(J542,Substituicoes!K:K,1,0),"SS")</f>
        <v>SS</v>
      </c>
      <c r="M542" s="28" t="b">
        <f t="shared" si="67"/>
        <v>1</v>
      </c>
      <c r="N542" s="29">
        <f>IF(AND(K542=L542,LEFT(E542,1)="T"),VLOOKUP(A542,'JOGOS BASE'!A:E,4,0),IF(K542=J542,VLOOKUP(J542,Substituicoes!J:R,6,0),IF(L542=J542,VLOOKUP(Escalacao!J542,Substituicoes!K:R,7,0),0)))</f>
        <v>48</v>
      </c>
      <c r="O542" s="28">
        <f>IF(AND(K542=L542,LEFT(E542,1)="T"),VLOOKUP(A542,'JOGOS BASE'!A:E,5,0),IF(K542=J542,VLOOKUP(J542,Substituicoes!J:R,7,0),IF(L542=J542,VLOOKUP(Escalacao!J542,Substituicoes!K:R,8,0),0)))</f>
        <v>49</v>
      </c>
      <c r="P542" s="28">
        <f t="shared" si="68"/>
        <v>97</v>
      </c>
      <c r="Q542" s="28" t="str">
        <f t="shared" si="69"/>
        <v>146Sampaio Corrêa - MA</v>
      </c>
      <c r="R542" s="28" t="str">
        <f>VLOOKUP(A542,'JOGOS BASE'!A:H,8)</f>
        <v>29.01.2025 - Sampaio Corrêa - MA x Pinheiro - MA</v>
      </c>
    </row>
    <row r="543" spans="1:18" ht="20.399999999999999">
      <c r="A543" s="15">
        <v>14</v>
      </c>
      <c r="B543" s="46">
        <v>8</v>
      </c>
      <c r="C543" s="45" t="s">
        <v>84</v>
      </c>
      <c r="D543" s="45" t="s">
        <v>85</v>
      </c>
      <c r="E543" s="47" t="s">
        <v>26</v>
      </c>
      <c r="F543" s="47" t="s">
        <v>24</v>
      </c>
      <c r="G543" s="46">
        <v>523681</v>
      </c>
      <c r="H543" s="18" t="s">
        <v>122</v>
      </c>
      <c r="I543" s="26" t="str">
        <f t="shared" si="65"/>
        <v>Jairzinho</v>
      </c>
      <c r="J543" s="26" t="str">
        <f t="shared" si="66"/>
        <v>14Sampaio Corrêa - MA8</v>
      </c>
      <c r="K543" s="27" t="str">
        <f>IFERROR(VLOOKUP(J543,Substituicoes!J:J,1,0),"SS")</f>
        <v>SS</v>
      </c>
      <c r="L543" s="27" t="str">
        <f>IFERROR(VLOOKUP(J543,Substituicoes!K:K,1,0),"SS")</f>
        <v>14Sampaio Corrêa - MA8</v>
      </c>
      <c r="M543" s="28" t="b">
        <f t="shared" si="67"/>
        <v>0</v>
      </c>
      <c r="N543" s="29">
        <f>IF(AND(K543=L543,LEFT(E543,1)="T"),VLOOKUP(A543,'JOGOS BASE'!A:E,4,0),IF(K543=J543,VLOOKUP(J543,Substituicoes!J:R,6,0),IF(L543=J543,VLOOKUP(Escalacao!J543,Substituicoes!K:R,7,0),0)))</f>
        <v>48</v>
      </c>
      <c r="O543" s="28">
        <f>IF(AND(K543=L543,LEFT(E543,1)="T"),VLOOKUP(A543,'JOGOS BASE'!A:E,5,0),IF(K543=J543,VLOOKUP(J543,Substituicoes!J:R,7,0),IF(L543=J543,VLOOKUP(Escalacao!J543,Substituicoes!K:R,8,0),0)))</f>
        <v>39</v>
      </c>
      <c r="P543" s="28">
        <f t="shared" si="68"/>
        <v>87</v>
      </c>
      <c r="Q543" s="28" t="str">
        <f t="shared" si="69"/>
        <v>148Sampaio Corrêa - MA</v>
      </c>
      <c r="R543" s="28" t="str">
        <f>VLOOKUP(A543,'JOGOS BASE'!A:H,8)</f>
        <v>29.01.2025 - Sampaio Corrêa - MA x Pinheiro - MA</v>
      </c>
    </row>
    <row r="544" spans="1:18" ht="20.399999999999999">
      <c r="A544" s="15">
        <v>14</v>
      </c>
      <c r="B544" s="46">
        <v>9</v>
      </c>
      <c r="C544" s="45" t="s">
        <v>72</v>
      </c>
      <c r="D544" s="45" t="s">
        <v>73</v>
      </c>
      <c r="E544" s="47" t="s">
        <v>26</v>
      </c>
      <c r="F544" s="47" t="s">
        <v>24</v>
      </c>
      <c r="G544" s="46">
        <v>436356</v>
      </c>
      <c r="H544" s="18" t="s">
        <v>122</v>
      </c>
      <c r="I544" s="26" t="str">
        <f t="shared" si="65"/>
        <v>Alan James</v>
      </c>
      <c r="J544" s="26" t="str">
        <f t="shared" si="66"/>
        <v>14Sampaio Corrêa - MA9</v>
      </c>
      <c r="K544" s="27" t="str">
        <f>IFERROR(VLOOKUP(J544,Substituicoes!J:J,1,0),"SS")</f>
        <v>SS</v>
      </c>
      <c r="L544" s="27" t="str">
        <f>IFERROR(VLOOKUP(J544,Substituicoes!K:K,1,0),"SS")</f>
        <v>SS</v>
      </c>
      <c r="M544" s="28" t="b">
        <f t="shared" si="67"/>
        <v>1</v>
      </c>
      <c r="N544" s="29">
        <f>IF(AND(K544=L544,LEFT(E544,1)="T"),VLOOKUP(A544,'JOGOS BASE'!A:E,4,0),IF(K544=J544,VLOOKUP(J544,Substituicoes!J:R,6,0),IF(L544=J544,VLOOKUP(Escalacao!J544,Substituicoes!K:R,7,0),0)))</f>
        <v>48</v>
      </c>
      <c r="O544" s="28">
        <f>IF(AND(K544=L544,LEFT(E544,1)="T"),VLOOKUP(A544,'JOGOS BASE'!A:E,5,0),IF(K544=J544,VLOOKUP(J544,Substituicoes!J:R,7,0),IF(L544=J544,VLOOKUP(Escalacao!J544,Substituicoes!K:R,8,0),0)))</f>
        <v>49</v>
      </c>
      <c r="P544" s="28">
        <f t="shared" si="68"/>
        <v>97</v>
      </c>
      <c r="Q544" s="28" t="str">
        <f t="shared" si="69"/>
        <v>149Sampaio Corrêa - MA</v>
      </c>
      <c r="R544" s="28" t="str">
        <f>VLOOKUP(A544,'JOGOS BASE'!A:H,8)</f>
        <v>29.01.2025 - Sampaio Corrêa - MA x Pinheiro - MA</v>
      </c>
    </row>
    <row r="545" spans="1:18" ht="20.399999999999999">
      <c r="A545" s="15">
        <v>14</v>
      </c>
      <c r="B545" s="46">
        <v>10</v>
      </c>
      <c r="C545" s="45" t="s">
        <v>96</v>
      </c>
      <c r="D545" s="45" t="s">
        <v>97</v>
      </c>
      <c r="E545" s="47" t="s">
        <v>26</v>
      </c>
      <c r="F545" s="47" t="s">
        <v>24</v>
      </c>
      <c r="G545" s="46">
        <v>748572</v>
      </c>
      <c r="H545" s="18" t="s">
        <v>122</v>
      </c>
      <c r="I545" s="26" t="str">
        <f t="shared" si="65"/>
        <v>ADRIANO</v>
      </c>
      <c r="J545" s="26" t="str">
        <f t="shared" si="66"/>
        <v>14Sampaio Corrêa - MA10</v>
      </c>
      <c r="K545" s="27" t="str">
        <f>IFERROR(VLOOKUP(J545,Substituicoes!J:J,1,0),"SS")</f>
        <v>SS</v>
      </c>
      <c r="L545" s="27" t="str">
        <f>IFERROR(VLOOKUP(J545,Substituicoes!K:K,1,0),"SS")</f>
        <v>14Sampaio Corrêa - MA10</v>
      </c>
      <c r="M545" s="28" t="b">
        <f t="shared" si="67"/>
        <v>0</v>
      </c>
      <c r="N545" s="29">
        <f>IF(AND(K545=L545,LEFT(E545,1)="T"),VLOOKUP(A545,'JOGOS BASE'!A:E,4,0),IF(K545=J545,VLOOKUP(J545,Substituicoes!J:R,6,0),IF(L545=J545,VLOOKUP(Escalacao!J545,Substituicoes!K:R,7,0),0)))</f>
        <v>48</v>
      </c>
      <c r="O545" s="28">
        <f>IF(AND(K545=L545,LEFT(E545,1)="T"),VLOOKUP(A545,'JOGOS BASE'!A:E,5,0),IF(K545=J545,VLOOKUP(J545,Substituicoes!J:R,7,0),IF(L545=J545,VLOOKUP(Escalacao!J545,Substituicoes!K:R,8,0),0)))</f>
        <v>28</v>
      </c>
      <c r="P545" s="28">
        <f t="shared" si="68"/>
        <v>76</v>
      </c>
      <c r="Q545" s="28" t="str">
        <f t="shared" si="69"/>
        <v>1410Sampaio Corrêa - MA</v>
      </c>
      <c r="R545" s="28" t="str">
        <f>VLOOKUP(A545,'JOGOS BASE'!A:H,8)</f>
        <v>29.01.2025 - Sampaio Corrêa - MA x Pinheiro - MA</v>
      </c>
    </row>
    <row r="546" spans="1:18" ht="30.6">
      <c r="A546" s="15">
        <v>14</v>
      </c>
      <c r="B546" s="46">
        <v>11</v>
      </c>
      <c r="C546" s="45" t="s">
        <v>476</v>
      </c>
      <c r="D546" s="45" t="s">
        <v>477</v>
      </c>
      <c r="E546" s="47" t="s">
        <v>26</v>
      </c>
      <c r="F546" s="47" t="s">
        <v>24</v>
      </c>
      <c r="G546" s="46">
        <v>183546</v>
      </c>
      <c r="H546" s="18" t="s">
        <v>122</v>
      </c>
      <c r="I546" s="26" t="str">
        <f t="shared" si="65"/>
        <v>Pimentinha</v>
      </c>
      <c r="J546" s="26" t="str">
        <f t="shared" si="66"/>
        <v>14Sampaio Corrêa - MA11</v>
      </c>
      <c r="K546" s="27" t="str">
        <f>IFERROR(VLOOKUP(J546,Substituicoes!J:J,1,0),"SS")</f>
        <v>SS</v>
      </c>
      <c r="L546" s="27" t="str">
        <f>IFERROR(VLOOKUP(J546,Substituicoes!K:K,1,0),"SS")</f>
        <v>14Sampaio Corrêa - MA11</v>
      </c>
      <c r="M546" s="28" t="b">
        <f t="shared" si="67"/>
        <v>0</v>
      </c>
      <c r="N546" s="29">
        <f>IF(AND(K546=L546,LEFT(E546,1)="T"),VLOOKUP(A546,'JOGOS BASE'!A:E,4,0),IF(K546=J546,VLOOKUP(J546,Substituicoes!J:R,6,0),IF(L546=J546,VLOOKUP(Escalacao!J546,Substituicoes!K:R,7,0),0)))</f>
        <v>48</v>
      </c>
      <c r="O546" s="28">
        <f>IF(AND(K546=L546,LEFT(E546,1)="T"),VLOOKUP(A546,'JOGOS BASE'!A:E,5,0),IF(K546=J546,VLOOKUP(J546,Substituicoes!J:R,7,0),IF(L546=J546,VLOOKUP(Escalacao!J546,Substituicoes!K:R,8,0),0)))</f>
        <v>16</v>
      </c>
      <c r="P546" s="28">
        <f t="shared" si="68"/>
        <v>64</v>
      </c>
      <c r="Q546" s="28" t="str">
        <f t="shared" si="69"/>
        <v>1411Sampaio Corrêa - MA</v>
      </c>
      <c r="R546" s="28" t="str">
        <f>VLOOKUP(A546,'JOGOS BASE'!A:H,8)</f>
        <v>29.01.2025 - Sampaio Corrêa - MA x Pinheiro - MA</v>
      </c>
    </row>
    <row r="547" spans="1:18" ht="20.399999999999999">
      <c r="A547" s="15">
        <v>14</v>
      </c>
      <c r="B547" s="46">
        <v>15</v>
      </c>
      <c r="C547" s="45" t="s">
        <v>480</v>
      </c>
      <c r="D547" s="45" t="s">
        <v>481</v>
      </c>
      <c r="E547" s="47" t="s">
        <v>26</v>
      </c>
      <c r="F547" s="47" t="s">
        <v>24</v>
      </c>
      <c r="G547" s="46">
        <v>724360</v>
      </c>
      <c r="H547" s="18" t="s">
        <v>122</v>
      </c>
      <c r="I547" s="26" t="str">
        <f t="shared" si="65"/>
        <v>BACURAU</v>
      </c>
      <c r="J547" s="26" t="str">
        <f t="shared" si="66"/>
        <v>14Sampaio Corrêa - MA15</v>
      </c>
      <c r="K547" s="27" t="str">
        <f>IFERROR(VLOOKUP(J547,Substituicoes!J:J,1,0),"SS")</f>
        <v>SS</v>
      </c>
      <c r="L547" s="27" t="str">
        <f>IFERROR(VLOOKUP(J547,Substituicoes!K:K,1,0),"SS")</f>
        <v>14Sampaio Corrêa - MA15</v>
      </c>
      <c r="M547" s="28" t="b">
        <f t="shared" si="67"/>
        <v>0</v>
      </c>
      <c r="N547" s="29">
        <f>IF(AND(K547=L547,LEFT(E547,1)="T"),VLOOKUP(A547,'JOGOS BASE'!A:E,4,0),IF(K547=J547,VLOOKUP(J547,Substituicoes!J:R,6,0),IF(L547=J547,VLOOKUP(Escalacao!J547,Substituicoes!K:R,7,0),0)))</f>
        <v>48</v>
      </c>
      <c r="O547" s="28">
        <f>IF(AND(K547=L547,LEFT(E547,1)="T"),VLOOKUP(A547,'JOGOS BASE'!A:E,5,0),IF(K547=J547,VLOOKUP(J547,Substituicoes!J:R,7,0),IF(L547=J547,VLOOKUP(Escalacao!J547,Substituicoes!K:R,8,0),0)))</f>
        <v>16</v>
      </c>
      <c r="P547" s="28">
        <f t="shared" si="68"/>
        <v>64</v>
      </c>
      <c r="Q547" s="28" t="str">
        <f t="shared" si="69"/>
        <v>1415Sampaio Corrêa - MA</v>
      </c>
      <c r="R547" s="28" t="str">
        <f>VLOOKUP(A547,'JOGOS BASE'!A:H,8)</f>
        <v>29.01.2025 - Sampaio Corrêa - MA x Pinheiro - MA</v>
      </c>
    </row>
    <row r="548" spans="1:18" ht="30.6">
      <c r="A548" s="15">
        <v>14</v>
      </c>
      <c r="B548" s="46">
        <v>32</v>
      </c>
      <c r="C548" s="45" t="s">
        <v>78</v>
      </c>
      <c r="D548" s="45" t="s">
        <v>79</v>
      </c>
      <c r="E548" s="47" t="s">
        <v>40</v>
      </c>
      <c r="F548" s="47" t="s">
        <v>24</v>
      </c>
      <c r="G548" s="46">
        <v>387319</v>
      </c>
      <c r="H548" s="18" t="s">
        <v>122</v>
      </c>
      <c r="I548" s="26" t="str">
        <f t="shared" si="65"/>
        <v>Rhuan</v>
      </c>
      <c r="J548" s="26" t="str">
        <f t="shared" si="66"/>
        <v>14Sampaio Corrêa - MA32</v>
      </c>
      <c r="K548" s="27" t="str">
        <f>IFERROR(VLOOKUP(J548,Substituicoes!J:J,1,0),"SS")</f>
        <v>SS</v>
      </c>
      <c r="L548" s="27" t="str">
        <f>IFERROR(VLOOKUP(J548,Substituicoes!K:K,1,0),"SS")</f>
        <v>SS</v>
      </c>
      <c r="M548" s="28" t="b">
        <f t="shared" si="67"/>
        <v>1</v>
      </c>
      <c r="N548" s="29">
        <f>IF(AND(K548=L548,LEFT(E548,1)="T"),VLOOKUP(A548,'JOGOS BASE'!A:E,4,0),IF(K548=J548,VLOOKUP(J548,Substituicoes!J:R,6,0),IF(L548=J548,VLOOKUP(Escalacao!J548,Substituicoes!K:R,7,0),0)))</f>
        <v>0</v>
      </c>
      <c r="O548" s="28">
        <f>IF(AND(K548=L548,LEFT(E548,1)="T"),VLOOKUP(A548,'JOGOS BASE'!A:E,5,0),IF(K548=J548,VLOOKUP(J548,Substituicoes!J:R,7,0),IF(L548=J548,VLOOKUP(Escalacao!J548,Substituicoes!K:R,8,0),0)))</f>
        <v>0</v>
      </c>
      <c r="P548" s="28">
        <f t="shared" si="68"/>
        <v>0</v>
      </c>
      <c r="Q548" s="28" t="str">
        <f t="shared" si="69"/>
        <v>1432Sampaio Corrêa - MA</v>
      </c>
      <c r="R548" s="28" t="str">
        <f>VLOOKUP(A548,'JOGOS BASE'!A:H,8)</f>
        <v>29.01.2025 - Sampaio Corrêa - MA x Pinheiro - MA</v>
      </c>
    </row>
    <row r="549" spans="1:18" ht="30.6">
      <c r="A549" s="15">
        <v>14</v>
      </c>
      <c r="B549" s="46">
        <v>12</v>
      </c>
      <c r="C549" s="45" t="s">
        <v>13</v>
      </c>
      <c r="D549" s="45" t="s">
        <v>755</v>
      </c>
      <c r="E549" s="47" t="s">
        <v>42</v>
      </c>
      <c r="F549" s="47" t="s">
        <v>24</v>
      </c>
      <c r="G549" s="46">
        <v>567457</v>
      </c>
      <c r="H549" s="18" t="s">
        <v>122</v>
      </c>
      <c r="I549" s="26" t="str">
        <f t="shared" si="65"/>
        <v>Eduardo</v>
      </c>
      <c r="J549" s="26" t="str">
        <f t="shared" si="66"/>
        <v>14Sampaio Corrêa - MA12</v>
      </c>
      <c r="K549" s="27" t="str">
        <f>IFERROR(VLOOKUP(J549,Substituicoes!J:J,1,0),"SS")</f>
        <v>SS</v>
      </c>
      <c r="L549" s="27" t="str">
        <f>IFERROR(VLOOKUP(J549,Substituicoes!K:K,1,0),"SS")</f>
        <v>SS</v>
      </c>
      <c r="M549" s="28" t="b">
        <f t="shared" si="67"/>
        <v>1</v>
      </c>
      <c r="N549" s="29">
        <f>IF(AND(K549=L549,LEFT(E549,1)="T"),VLOOKUP(A549,'JOGOS BASE'!A:E,4,0),IF(K549=J549,VLOOKUP(J549,Substituicoes!J:R,6,0),IF(L549=J549,VLOOKUP(Escalacao!J549,Substituicoes!K:R,7,0),0)))</f>
        <v>0</v>
      </c>
      <c r="O549" s="28">
        <f>IF(AND(K549=L549,LEFT(E549,1)="T"),VLOOKUP(A549,'JOGOS BASE'!A:E,5,0),IF(K549=J549,VLOOKUP(J549,Substituicoes!J:R,7,0),IF(L549=J549,VLOOKUP(Escalacao!J549,Substituicoes!K:R,8,0),0)))</f>
        <v>0</v>
      </c>
      <c r="P549" s="28">
        <f t="shared" si="68"/>
        <v>0</v>
      </c>
      <c r="Q549" s="28" t="str">
        <f t="shared" si="69"/>
        <v>1412Sampaio Corrêa - MA</v>
      </c>
      <c r="R549" s="28" t="str">
        <f>VLOOKUP(A549,'JOGOS BASE'!A:H,8)</f>
        <v>29.01.2025 - Sampaio Corrêa - MA x Pinheiro - MA</v>
      </c>
    </row>
    <row r="550" spans="1:18" ht="20.399999999999999">
      <c r="A550" s="15">
        <v>14</v>
      </c>
      <c r="B550" s="46">
        <v>13</v>
      </c>
      <c r="C550" s="45" t="s">
        <v>657</v>
      </c>
      <c r="D550" s="45" t="s">
        <v>658</v>
      </c>
      <c r="E550" s="47" t="s">
        <v>42</v>
      </c>
      <c r="F550" s="47" t="s">
        <v>24</v>
      </c>
      <c r="G550" s="46">
        <v>747292</v>
      </c>
      <c r="H550" s="18" t="s">
        <v>122</v>
      </c>
      <c r="I550" s="26" t="str">
        <f t="shared" si="65"/>
        <v>Felipe Caua</v>
      </c>
      <c r="J550" s="26" t="str">
        <f t="shared" si="66"/>
        <v>14Sampaio Corrêa - MA13</v>
      </c>
      <c r="K550" s="27" t="str">
        <f>IFERROR(VLOOKUP(J550,Substituicoes!J:J,1,0),"SS")</f>
        <v>14Sampaio Corrêa - MA13</v>
      </c>
      <c r="L550" s="27" t="str">
        <f>IFERROR(VLOOKUP(J550,Substituicoes!K:K,1,0),"SS")</f>
        <v>SS</v>
      </c>
      <c r="M550" s="28" t="b">
        <f t="shared" si="67"/>
        <v>0</v>
      </c>
      <c r="N550" s="29">
        <f>IF(AND(K550=L550,LEFT(E550,1)="T"),VLOOKUP(A550,'JOGOS BASE'!A:E,4,0),IF(K550=J550,VLOOKUP(J550,Substituicoes!J:R,6,0),IF(L550=J550,VLOOKUP(Escalacao!J550,Substituicoes!K:R,7,0),0)))</f>
        <v>0</v>
      </c>
      <c r="O550" s="28">
        <f>IF(AND(K550=L550,LEFT(E550,1)="T"),VLOOKUP(A550,'JOGOS BASE'!A:E,5,0),IF(K550=J550,VLOOKUP(J550,Substituicoes!J:R,7,0),IF(L550=J550,VLOOKUP(Escalacao!J550,Substituicoes!K:R,8,0),0)))</f>
        <v>49</v>
      </c>
      <c r="P550" s="28">
        <f t="shared" si="68"/>
        <v>49</v>
      </c>
      <c r="Q550" s="28" t="str">
        <f t="shared" si="69"/>
        <v>1413Sampaio Corrêa - MA</v>
      </c>
      <c r="R550" s="28" t="str">
        <f>VLOOKUP(A550,'JOGOS BASE'!A:H,8)</f>
        <v>29.01.2025 - Sampaio Corrêa - MA x Pinheiro - MA</v>
      </c>
    </row>
    <row r="551" spans="1:18" ht="30.6">
      <c r="A551" s="15">
        <v>14</v>
      </c>
      <c r="B551" s="46">
        <v>14</v>
      </c>
      <c r="C551" s="45" t="s">
        <v>659</v>
      </c>
      <c r="D551" s="45" t="s">
        <v>660</v>
      </c>
      <c r="E551" s="47" t="s">
        <v>42</v>
      </c>
      <c r="F551" s="47" t="s">
        <v>24</v>
      </c>
      <c r="G551" s="46">
        <v>568451</v>
      </c>
      <c r="H551" s="18" t="s">
        <v>122</v>
      </c>
      <c r="I551" s="26" t="str">
        <f t="shared" si="65"/>
        <v>Lucas Kawan</v>
      </c>
      <c r="J551" s="26" t="str">
        <f t="shared" si="66"/>
        <v>14Sampaio Corrêa - MA14</v>
      </c>
      <c r="K551" s="27" t="str">
        <f>IFERROR(VLOOKUP(J551,Substituicoes!J:J,1,0),"SS")</f>
        <v>SS</v>
      </c>
      <c r="L551" s="27" t="str">
        <f>IFERROR(VLOOKUP(J551,Substituicoes!K:K,1,0),"SS")</f>
        <v>SS</v>
      </c>
      <c r="M551" s="28" t="b">
        <f t="shared" si="67"/>
        <v>1</v>
      </c>
      <c r="N551" s="29">
        <f>IF(AND(K551=L551,LEFT(E551,1)="T"),VLOOKUP(A551,'JOGOS BASE'!A:E,4,0),IF(K551=J551,VLOOKUP(J551,Substituicoes!J:R,6,0),IF(L551=J551,VLOOKUP(Escalacao!J551,Substituicoes!K:R,7,0),0)))</f>
        <v>0</v>
      </c>
      <c r="O551" s="28">
        <f>IF(AND(K551=L551,LEFT(E551,1)="T"),VLOOKUP(A551,'JOGOS BASE'!A:E,5,0),IF(K551=J551,VLOOKUP(J551,Substituicoes!J:R,7,0),IF(L551=J551,VLOOKUP(Escalacao!J551,Substituicoes!K:R,8,0),0)))</f>
        <v>0</v>
      </c>
      <c r="P551" s="28">
        <f t="shared" si="68"/>
        <v>0</v>
      </c>
      <c r="Q551" s="28" t="str">
        <f t="shared" si="69"/>
        <v>1414Sampaio Corrêa - MA</v>
      </c>
      <c r="R551" s="28" t="str">
        <f>VLOOKUP(A551,'JOGOS BASE'!A:H,8)</f>
        <v>29.01.2025 - Sampaio Corrêa - MA x Pinheiro - MA</v>
      </c>
    </row>
    <row r="552" spans="1:18" ht="30.6">
      <c r="A552" s="15">
        <v>14</v>
      </c>
      <c r="B552" s="46">
        <v>16</v>
      </c>
      <c r="C552" s="45" t="s">
        <v>86</v>
      </c>
      <c r="D552" s="45" t="s">
        <v>87</v>
      </c>
      <c r="E552" s="47" t="s">
        <v>42</v>
      </c>
      <c r="F552" s="47" t="s">
        <v>24</v>
      </c>
      <c r="G552" s="46">
        <v>709331</v>
      </c>
      <c r="H552" s="18" t="s">
        <v>122</v>
      </c>
      <c r="I552" s="26" t="str">
        <f t="shared" si="65"/>
        <v>Dimas</v>
      </c>
      <c r="J552" s="26" t="str">
        <f t="shared" si="66"/>
        <v>14Sampaio Corrêa - MA16</v>
      </c>
      <c r="K552" s="27" t="str">
        <f>IFERROR(VLOOKUP(J552,Substituicoes!J:J,1,0),"SS")</f>
        <v>14Sampaio Corrêa - MA16</v>
      </c>
      <c r="L552" s="27" t="str">
        <f>IFERROR(VLOOKUP(J552,Substituicoes!K:K,1,0),"SS")</f>
        <v>SS</v>
      </c>
      <c r="M552" s="28" t="b">
        <f t="shared" si="67"/>
        <v>0</v>
      </c>
      <c r="N552" s="29">
        <f>IF(AND(K552=L552,LEFT(E552,1)="T"),VLOOKUP(A552,'JOGOS BASE'!A:E,4,0),IF(K552=J552,VLOOKUP(J552,Substituicoes!J:R,6,0),IF(L552=J552,VLOOKUP(Escalacao!J552,Substituicoes!K:R,7,0),0)))</f>
        <v>0</v>
      </c>
      <c r="O552" s="28">
        <f>IF(AND(K552=L552,LEFT(E552,1)="T"),VLOOKUP(A552,'JOGOS BASE'!A:E,5,0),IF(K552=J552,VLOOKUP(J552,Substituicoes!J:R,7,0),IF(L552=J552,VLOOKUP(Escalacao!J552,Substituicoes!K:R,8,0),0)))</f>
        <v>33</v>
      </c>
      <c r="P552" s="28">
        <f t="shared" si="68"/>
        <v>33</v>
      </c>
      <c r="Q552" s="28" t="str">
        <f t="shared" si="69"/>
        <v>1416Sampaio Corrêa - MA</v>
      </c>
      <c r="R552" s="28" t="str">
        <f>VLOOKUP(A552,'JOGOS BASE'!A:H,8)</f>
        <v>29.01.2025 - Sampaio Corrêa - MA x Pinheiro - MA</v>
      </c>
    </row>
    <row r="553" spans="1:18" ht="30.6">
      <c r="A553" s="15">
        <v>14</v>
      </c>
      <c r="B553" s="46">
        <v>17</v>
      </c>
      <c r="C553" s="45" t="s">
        <v>76</v>
      </c>
      <c r="D553" s="45" t="s">
        <v>77</v>
      </c>
      <c r="E553" s="47" t="s">
        <v>42</v>
      </c>
      <c r="F553" s="47" t="s">
        <v>24</v>
      </c>
      <c r="G553" s="46">
        <v>612220</v>
      </c>
      <c r="H553" s="18" t="s">
        <v>122</v>
      </c>
      <c r="I553" s="26" t="str">
        <f t="shared" si="65"/>
        <v>Wendell</v>
      </c>
      <c r="J553" s="26" t="str">
        <f t="shared" si="66"/>
        <v>14Sampaio Corrêa - MA17</v>
      </c>
      <c r="K553" s="27" t="str">
        <f>IFERROR(VLOOKUP(J553,Substituicoes!J:J,1,0),"SS")</f>
        <v>14Sampaio Corrêa - MA17</v>
      </c>
      <c r="L553" s="27" t="str">
        <f>IFERROR(VLOOKUP(J553,Substituicoes!K:K,1,0),"SS")</f>
        <v>SS</v>
      </c>
      <c r="M553" s="28" t="b">
        <f t="shared" si="67"/>
        <v>0</v>
      </c>
      <c r="N553" s="29">
        <f>IF(AND(K553=L553,LEFT(E553,1)="T"),VLOOKUP(A553,'JOGOS BASE'!A:E,4,0),IF(K553=J553,VLOOKUP(J553,Substituicoes!J:R,6,0),IF(L553=J553,VLOOKUP(Escalacao!J553,Substituicoes!K:R,7,0),0)))</f>
        <v>0</v>
      </c>
      <c r="O553" s="28">
        <f>IF(AND(K553=L553,LEFT(E553,1)="T"),VLOOKUP(A553,'JOGOS BASE'!A:E,5,0),IF(K553=J553,VLOOKUP(J553,Substituicoes!J:R,7,0),IF(L553=J553,VLOOKUP(Escalacao!J553,Substituicoes!K:R,8,0),0)))</f>
        <v>33</v>
      </c>
      <c r="P553" s="28">
        <f t="shared" si="68"/>
        <v>33</v>
      </c>
      <c r="Q553" s="28" t="str">
        <f t="shared" si="69"/>
        <v>1417Sampaio Corrêa - MA</v>
      </c>
      <c r="R553" s="28" t="str">
        <f>VLOOKUP(A553,'JOGOS BASE'!A:H,8)</f>
        <v>29.01.2025 - Sampaio Corrêa - MA x Pinheiro - MA</v>
      </c>
    </row>
    <row r="554" spans="1:18" ht="30.6">
      <c r="A554" s="15">
        <v>14</v>
      </c>
      <c r="B554" s="46">
        <v>18</v>
      </c>
      <c r="C554" s="45" t="s">
        <v>88</v>
      </c>
      <c r="D554" s="45" t="s">
        <v>89</v>
      </c>
      <c r="E554" s="47" t="s">
        <v>42</v>
      </c>
      <c r="F554" s="47" t="s">
        <v>24</v>
      </c>
      <c r="G554" s="46">
        <v>673834</v>
      </c>
      <c r="H554" s="18" t="s">
        <v>122</v>
      </c>
      <c r="I554" s="26" t="str">
        <f t="shared" si="65"/>
        <v>L7</v>
      </c>
      <c r="J554" s="26" t="str">
        <f t="shared" si="66"/>
        <v>14Sampaio Corrêa - MA18</v>
      </c>
      <c r="K554" s="27" t="str">
        <f>IFERROR(VLOOKUP(J554,Substituicoes!J:J,1,0),"SS")</f>
        <v>14Sampaio Corrêa - MA18</v>
      </c>
      <c r="L554" s="27" t="str">
        <f>IFERROR(VLOOKUP(J554,Substituicoes!K:K,1,0),"SS")</f>
        <v>SS</v>
      </c>
      <c r="M554" s="28" t="b">
        <f t="shared" si="67"/>
        <v>0</v>
      </c>
      <c r="N554" s="29">
        <f>IF(AND(K554=L554,LEFT(E554,1)="T"),VLOOKUP(A554,'JOGOS BASE'!A:E,4,0),IF(K554=J554,VLOOKUP(J554,Substituicoes!J:R,6,0),IF(L554=J554,VLOOKUP(Escalacao!J554,Substituicoes!K:R,7,0),0)))</f>
        <v>0</v>
      </c>
      <c r="O554" s="28">
        <f>IF(AND(K554=L554,LEFT(E554,1)="T"),VLOOKUP(A554,'JOGOS BASE'!A:E,5,0),IF(K554=J554,VLOOKUP(J554,Substituicoes!J:R,7,0),IF(L554=J554,VLOOKUP(Escalacao!J554,Substituicoes!K:R,8,0),0)))</f>
        <v>21</v>
      </c>
      <c r="P554" s="28">
        <f t="shared" si="68"/>
        <v>21</v>
      </c>
      <c r="Q554" s="28" t="str">
        <f t="shared" si="69"/>
        <v>1418Sampaio Corrêa - MA</v>
      </c>
      <c r="R554" s="28" t="str">
        <f>VLOOKUP(A554,'JOGOS BASE'!A:H,8)</f>
        <v>29.01.2025 - Sampaio Corrêa - MA x Pinheiro - MA</v>
      </c>
    </row>
    <row r="555" spans="1:18" ht="30.6">
      <c r="A555" s="15">
        <v>14</v>
      </c>
      <c r="B555" s="46">
        <v>19</v>
      </c>
      <c r="C555" s="45" t="s">
        <v>68</v>
      </c>
      <c r="D555" s="45" t="s">
        <v>69</v>
      </c>
      <c r="E555" s="47" t="s">
        <v>42</v>
      </c>
      <c r="F555" s="47" t="s">
        <v>24</v>
      </c>
      <c r="G555" s="46">
        <v>725771</v>
      </c>
      <c r="H555" s="18" t="s">
        <v>122</v>
      </c>
      <c r="I555" s="26" t="str">
        <f t="shared" si="65"/>
        <v>JOÃO LENGE</v>
      </c>
      <c r="J555" s="26" t="str">
        <f t="shared" si="66"/>
        <v>14Sampaio Corrêa - MA19</v>
      </c>
      <c r="K555" s="27" t="str">
        <f>IFERROR(VLOOKUP(J555,Substituicoes!J:J,1,0),"SS")</f>
        <v>SS</v>
      </c>
      <c r="L555" s="27" t="str">
        <f>IFERROR(VLOOKUP(J555,Substituicoes!K:K,1,0),"SS")</f>
        <v>SS</v>
      </c>
      <c r="M555" s="28" t="b">
        <f t="shared" si="67"/>
        <v>1</v>
      </c>
      <c r="N555" s="29">
        <f>IF(AND(K555=L555,LEFT(E555,1)="T"),VLOOKUP(A555,'JOGOS BASE'!A:E,4,0),IF(K555=J555,VLOOKUP(J555,Substituicoes!J:R,6,0),IF(L555=J555,VLOOKUP(Escalacao!J555,Substituicoes!K:R,7,0),0)))</f>
        <v>0</v>
      </c>
      <c r="O555" s="28">
        <f>IF(AND(K555=L555,LEFT(E555,1)="T"),VLOOKUP(A555,'JOGOS BASE'!A:E,5,0),IF(K555=J555,VLOOKUP(J555,Substituicoes!J:R,7,0),IF(L555=J555,VLOOKUP(Escalacao!J555,Substituicoes!K:R,8,0),0)))</f>
        <v>0</v>
      </c>
      <c r="P555" s="28">
        <f t="shared" si="68"/>
        <v>0</v>
      </c>
      <c r="Q555" s="28" t="str">
        <f t="shared" si="69"/>
        <v>1419Sampaio Corrêa - MA</v>
      </c>
      <c r="R555" s="28" t="str">
        <f>VLOOKUP(A555,'JOGOS BASE'!A:H,8)</f>
        <v>29.01.2025 - Sampaio Corrêa - MA x Pinheiro - MA</v>
      </c>
    </row>
    <row r="556" spans="1:18" ht="30.6">
      <c r="A556" s="15">
        <v>14</v>
      </c>
      <c r="B556" s="46">
        <v>20</v>
      </c>
      <c r="C556" s="45" t="s">
        <v>94</v>
      </c>
      <c r="D556" s="45" t="s">
        <v>95</v>
      </c>
      <c r="E556" s="47" t="s">
        <v>42</v>
      </c>
      <c r="F556" s="47" t="s">
        <v>24</v>
      </c>
      <c r="G556" s="46">
        <v>757475</v>
      </c>
      <c r="H556" s="18" t="s">
        <v>122</v>
      </c>
      <c r="I556" s="26" t="str">
        <f t="shared" si="65"/>
        <v>JARDSON</v>
      </c>
      <c r="J556" s="26" t="str">
        <f t="shared" si="66"/>
        <v>14Sampaio Corrêa - MA20</v>
      </c>
      <c r="K556" s="27" t="str">
        <f>IFERROR(VLOOKUP(J556,Substituicoes!J:J,1,0),"SS")</f>
        <v>14Sampaio Corrêa - MA20</v>
      </c>
      <c r="L556" s="27" t="str">
        <f>IFERROR(VLOOKUP(J556,Substituicoes!K:K,1,0),"SS")</f>
        <v>SS</v>
      </c>
      <c r="M556" s="28" t="b">
        <f t="shared" si="67"/>
        <v>0</v>
      </c>
      <c r="N556" s="29">
        <f>IF(AND(K556=L556,LEFT(E556,1)="T"),VLOOKUP(A556,'JOGOS BASE'!A:E,4,0),IF(K556=J556,VLOOKUP(J556,Substituicoes!J:R,6,0),IF(L556=J556,VLOOKUP(Escalacao!J556,Substituicoes!K:R,7,0),0)))</f>
        <v>0</v>
      </c>
      <c r="O556" s="28">
        <f>IF(AND(K556=L556,LEFT(E556,1)="T"),VLOOKUP(A556,'JOGOS BASE'!A:E,5,0),IF(K556=J556,VLOOKUP(J556,Substituicoes!J:R,7,0),IF(L556=J556,VLOOKUP(Escalacao!J556,Substituicoes!K:R,8,0),0)))</f>
        <v>10</v>
      </c>
      <c r="P556" s="28">
        <f t="shared" si="68"/>
        <v>10</v>
      </c>
      <c r="Q556" s="28" t="str">
        <f t="shared" si="69"/>
        <v>1420Sampaio Corrêa - MA</v>
      </c>
      <c r="R556" s="28" t="str">
        <f>VLOOKUP(A556,'JOGOS BASE'!A:H,8)</f>
        <v>29.01.2025 - Sampaio Corrêa - MA x Pinheiro - MA</v>
      </c>
    </row>
    <row r="557" spans="1:18" ht="30.6">
      <c r="A557" s="15">
        <v>14</v>
      </c>
      <c r="B557" s="46">
        <v>21</v>
      </c>
      <c r="C557" s="45" t="s">
        <v>478</v>
      </c>
      <c r="D557" s="45" t="s">
        <v>479</v>
      </c>
      <c r="E557" s="47" t="s">
        <v>42</v>
      </c>
      <c r="F557" s="47" t="s">
        <v>24</v>
      </c>
      <c r="G557" s="46">
        <v>636795</v>
      </c>
      <c r="H557" s="18" t="s">
        <v>122</v>
      </c>
      <c r="I557" s="26" t="str">
        <f t="shared" si="65"/>
        <v>Elivelton</v>
      </c>
      <c r="J557" s="26" t="str">
        <f t="shared" si="66"/>
        <v>14Sampaio Corrêa - MA21</v>
      </c>
      <c r="K557" s="27" t="str">
        <f>IFERROR(VLOOKUP(J557,Substituicoes!J:J,1,0),"SS")</f>
        <v>SS</v>
      </c>
      <c r="L557" s="27" t="str">
        <f>IFERROR(VLOOKUP(J557,Substituicoes!K:K,1,0),"SS")</f>
        <v>SS</v>
      </c>
      <c r="M557" s="28" t="b">
        <f t="shared" si="67"/>
        <v>1</v>
      </c>
      <c r="N557" s="29">
        <f>IF(AND(K557=L557,LEFT(E557,1)="T"),VLOOKUP(A557,'JOGOS BASE'!A:E,4,0),IF(K557=J557,VLOOKUP(J557,Substituicoes!J:R,6,0),IF(L557=J557,VLOOKUP(Escalacao!J557,Substituicoes!K:R,7,0),0)))</f>
        <v>0</v>
      </c>
      <c r="O557" s="28">
        <f>IF(AND(K557=L557,LEFT(E557,1)="T"),VLOOKUP(A557,'JOGOS BASE'!A:E,5,0),IF(K557=J557,VLOOKUP(J557,Substituicoes!J:R,7,0),IF(L557=J557,VLOOKUP(Escalacao!J557,Substituicoes!K:R,8,0),0)))</f>
        <v>0</v>
      </c>
      <c r="P557" s="28">
        <f t="shared" si="68"/>
        <v>0</v>
      </c>
      <c r="Q557" s="28" t="str">
        <f t="shared" si="69"/>
        <v>1421Sampaio Corrêa - MA</v>
      </c>
      <c r="R557" s="28" t="str">
        <f>VLOOKUP(A557,'JOGOS BASE'!A:H,8)</f>
        <v>29.01.2025 - Sampaio Corrêa - MA x Pinheiro - MA</v>
      </c>
    </row>
    <row r="558" spans="1:18" ht="30.6">
      <c r="A558" s="15">
        <v>14</v>
      </c>
      <c r="B558" s="46">
        <v>22</v>
      </c>
      <c r="C558" s="45" t="s">
        <v>617</v>
      </c>
      <c r="D558" s="45" t="s">
        <v>618</v>
      </c>
      <c r="E558" s="47" t="s">
        <v>42</v>
      </c>
      <c r="F558" s="47" t="s">
        <v>24</v>
      </c>
      <c r="G558" s="46">
        <v>451946</v>
      </c>
      <c r="H558" s="18" t="s">
        <v>122</v>
      </c>
      <c r="I558" s="26" t="str">
        <f t="shared" si="65"/>
        <v>Rodolfo</v>
      </c>
      <c r="J558" s="26" t="str">
        <f t="shared" si="66"/>
        <v>14Sampaio Corrêa - MA22</v>
      </c>
      <c r="K558" s="27" t="str">
        <f>IFERROR(VLOOKUP(J558,Substituicoes!J:J,1,0),"SS")</f>
        <v>SS</v>
      </c>
      <c r="L558" s="27" t="str">
        <f>IFERROR(VLOOKUP(J558,Substituicoes!K:K,1,0),"SS")</f>
        <v>SS</v>
      </c>
      <c r="M558" s="28" t="b">
        <f t="shared" si="67"/>
        <v>1</v>
      </c>
      <c r="N558" s="29">
        <f>IF(AND(K558=L558,LEFT(E558,1)="T"),VLOOKUP(A558,'JOGOS BASE'!A:E,4,0),IF(K558=J558,VLOOKUP(J558,Substituicoes!J:R,6,0),IF(L558=J558,VLOOKUP(Escalacao!J558,Substituicoes!K:R,7,0),0)))</f>
        <v>0</v>
      </c>
      <c r="O558" s="28">
        <f>IF(AND(K558=L558,LEFT(E558,1)="T"),VLOOKUP(A558,'JOGOS BASE'!A:E,5,0),IF(K558=J558,VLOOKUP(J558,Substituicoes!J:R,7,0),IF(L558=J558,VLOOKUP(Escalacao!J558,Substituicoes!K:R,8,0),0)))</f>
        <v>0</v>
      </c>
      <c r="P558" s="28">
        <f t="shared" si="68"/>
        <v>0</v>
      </c>
      <c r="Q558" s="28" t="str">
        <f t="shared" si="69"/>
        <v>1422Sampaio Corrêa - MA</v>
      </c>
      <c r="R558" s="28" t="str">
        <f>VLOOKUP(A558,'JOGOS BASE'!A:H,8)</f>
        <v>29.01.2025 - Sampaio Corrêa - MA x Pinheiro - MA</v>
      </c>
    </row>
    <row r="559" spans="1:18" ht="20.399999999999999">
      <c r="A559" s="15">
        <v>14</v>
      </c>
      <c r="B559" s="46">
        <v>23</v>
      </c>
      <c r="C559" s="45" t="s">
        <v>756</v>
      </c>
      <c r="D559" s="45" t="s">
        <v>757</v>
      </c>
      <c r="E559" s="47" t="s">
        <v>42</v>
      </c>
      <c r="F559" s="47" t="s">
        <v>24</v>
      </c>
      <c r="G559" s="46">
        <v>795908</v>
      </c>
      <c r="H559" s="18" t="s">
        <v>122</v>
      </c>
      <c r="I559" s="26" t="str">
        <f t="shared" si="65"/>
        <v>Fonseca</v>
      </c>
      <c r="J559" s="26" t="str">
        <f t="shared" si="66"/>
        <v>14Sampaio Corrêa - MA23</v>
      </c>
      <c r="K559" s="27" t="str">
        <f>IFERROR(VLOOKUP(J559,Substituicoes!J:J,1,0),"SS")</f>
        <v>SS</v>
      </c>
      <c r="L559" s="27" t="str">
        <f>IFERROR(VLOOKUP(J559,Substituicoes!K:K,1,0),"SS")</f>
        <v>SS</v>
      </c>
      <c r="M559" s="28" t="b">
        <f t="shared" si="67"/>
        <v>1</v>
      </c>
      <c r="N559" s="29">
        <f>IF(AND(K559=L559,LEFT(E559,1)="T"),VLOOKUP(A559,'JOGOS BASE'!A:E,4,0),IF(K559=J559,VLOOKUP(J559,Substituicoes!J:R,6,0),IF(L559=J559,VLOOKUP(Escalacao!J559,Substituicoes!K:R,7,0),0)))</f>
        <v>0</v>
      </c>
      <c r="O559" s="28">
        <f>IF(AND(K559=L559,LEFT(E559,1)="T"),VLOOKUP(A559,'JOGOS BASE'!A:E,5,0),IF(K559=J559,VLOOKUP(J559,Substituicoes!J:R,7,0),IF(L559=J559,VLOOKUP(Escalacao!J559,Substituicoes!K:R,8,0),0)))</f>
        <v>0</v>
      </c>
      <c r="P559" s="28">
        <f t="shared" si="68"/>
        <v>0</v>
      </c>
      <c r="Q559" s="28" t="str">
        <f t="shared" si="69"/>
        <v>1423Sampaio Corrêa - MA</v>
      </c>
      <c r="R559" s="28" t="str">
        <f>VLOOKUP(A559,'JOGOS BASE'!A:H,8)</f>
        <v>29.01.2025 - Sampaio Corrêa - MA x Pinheiro - MA</v>
      </c>
    </row>
    <row r="560" spans="1:18" ht="30.6">
      <c r="A560" s="15">
        <v>14</v>
      </c>
      <c r="B560" s="46">
        <v>1</v>
      </c>
      <c r="C560" s="45" t="s">
        <v>301</v>
      </c>
      <c r="D560" s="45" t="s">
        <v>302</v>
      </c>
      <c r="E560" s="47" t="s">
        <v>23</v>
      </c>
      <c r="F560" s="47" t="s">
        <v>24</v>
      </c>
      <c r="G560" s="46">
        <v>530809</v>
      </c>
      <c r="H560" s="18" t="s">
        <v>368</v>
      </c>
      <c r="I560" s="26" t="str">
        <f t="shared" si="65"/>
        <v>Mateus</v>
      </c>
      <c r="J560" s="26" t="str">
        <f t="shared" si="66"/>
        <v>14Pinheiro - MA1</v>
      </c>
      <c r="K560" s="27" t="str">
        <f>IFERROR(VLOOKUP(J560,Substituicoes!J:J,1,0),"SS")</f>
        <v>SS</v>
      </c>
      <c r="L560" s="27" t="str">
        <f>IFERROR(VLOOKUP(J560,Substituicoes!K:K,1,0),"SS")</f>
        <v>SS</v>
      </c>
      <c r="M560" s="28" t="b">
        <f t="shared" si="67"/>
        <v>1</v>
      </c>
      <c r="N560" s="29">
        <f>IF(AND(K560=L560,LEFT(E560,1)="T"),VLOOKUP(A560,'JOGOS BASE'!A:E,4,0),IF(K560=J560,VLOOKUP(J560,Substituicoes!J:R,6,0),IF(L560=J560,VLOOKUP(Escalacao!J560,Substituicoes!K:R,7,0),0)))</f>
        <v>48</v>
      </c>
      <c r="O560" s="28">
        <f>IF(AND(K560=L560,LEFT(E560,1)="T"),VLOOKUP(A560,'JOGOS BASE'!A:E,5,0),IF(K560=J560,VLOOKUP(J560,Substituicoes!J:R,7,0),IF(L560=J560,VLOOKUP(Escalacao!J560,Substituicoes!K:R,8,0),0)))</f>
        <v>49</v>
      </c>
      <c r="P560" s="28">
        <f t="shared" si="68"/>
        <v>97</v>
      </c>
      <c r="Q560" s="28" t="str">
        <f t="shared" si="69"/>
        <v>141Pinheiro - MA</v>
      </c>
      <c r="R560" s="28" t="str">
        <f>VLOOKUP(A560,'JOGOS BASE'!A:H,8)</f>
        <v>29.01.2025 - Sampaio Corrêa - MA x Pinheiro - MA</v>
      </c>
    </row>
    <row r="561" spans="1:18" ht="20.399999999999999">
      <c r="A561" s="15">
        <v>14</v>
      </c>
      <c r="B561" s="46">
        <v>2</v>
      </c>
      <c r="C561" s="45" t="s">
        <v>303</v>
      </c>
      <c r="D561" s="45" t="s">
        <v>304</v>
      </c>
      <c r="E561" s="47" t="s">
        <v>26</v>
      </c>
      <c r="F561" s="47" t="s">
        <v>56</v>
      </c>
      <c r="G561" s="46">
        <v>748495</v>
      </c>
      <c r="H561" s="18" t="s">
        <v>368</v>
      </c>
      <c r="I561" s="26" t="str">
        <f t="shared" si="65"/>
        <v>Italo</v>
      </c>
      <c r="J561" s="26" t="str">
        <f t="shared" si="66"/>
        <v>14Pinheiro - MA2</v>
      </c>
      <c r="K561" s="27" t="str">
        <f>IFERROR(VLOOKUP(J561,Substituicoes!J:J,1,0),"SS")</f>
        <v>SS</v>
      </c>
      <c r="L561" s="27" t="str">
        <f>IFERROR(VLOOKUP(J561,Substituicoes!K:K,1,0),"SS")</f>
        <v>14Pinheiro - MA2</v>
      </c>
      <c r="M561" s="28" t="b">
        <f t="shared" si="67"/>
        <v>0</v>
      </c>
      <c r="N561" s="29">
        <f>IF(AND(K561=L561,LEFT(E561,1)="T"),VLOOKUP(A561,'JOGOS BASE'!A:E,4,0),IF(K561=J561,VLOOKUP(J561,Substituicoes!J:R,6,0),IF(L561=J561,VLOOKUP(Escalacao!J561,Substituicoes!K:R,7,0),0)))</f>
        <v>48</v>
      </c>
      <c r="O561" s="28">
        <f>IF(AND(K561=L561,LEFT(E561,1)="T"),VLOOKUP(A561,'JOGOS BASE'!A:E,5,0),IF(K561=J561,VLOOKUP(J561,Substituicoes!J:R,7,0),IF(L561=J561,VLOOKUP(Escalacao!J561,Substituicoes!K:R,8,0),0)))</f>
        <v>0</v>
      </c>
      <c r="P561" s="28">
        <f t="shared" si="68"/>
        <v>48</v>
      </c>
      <c r="Q561" s="28" t="str">
        <f t="shared" si="69"/>
        <v>142Pinheiro - MA</v>
      </c>
      <c r="R561" s="28" t="str">
        <f>VLOOKUP(A561,'JOGOS BASE'!A:H,8)</f>
        <v>29.01.2025 - Sampaio Corrêa - MA x Pinheiro - MA</v>
      </c>
    </row>
    <row r="562" spans="1:18" ht="30.6">
      <c r="A562" s="15">
        <v>14</v>
      </c>
      <c r="B562" s="46">
        <v>3</v>
      </c>
      <c r="C562" s="45" t="s">
        <v>305</v>
      </c>
      <c r="D562" s="45" t="s">
        <v>306</v>
      </c>
      <c r="E562" s="47" t="s">
        <v>26</v>
      </c>
      <c r="F562" s="47" t="s">
        <v>24</v>
      </c>
      <c r="G562" s="46">
        <v>619339</v>
      </c>
      <c r="H562" s="18" t="s">
        <v>368</v>
      </c>
      <c r="I562" s="26" t="str">
        <f t="shared" si="65"/>
        <v>Henrique</v>
      </c>
      <c r="J562" s="26" t="str">
        <f t="shared" si="66"/>
        <v>14Pinheiro - MA3</v>
      </c>
      <c r="K562" s="27" t="str">
        <f>IFERROR(VLOOKUP(J562,Substituicoes!J:J,1,0),"SS")</f>
        <v>SS</v>
      </c>
      <c r="L562" s="27" t="str">
        <f>IFERROR(VLOOKUP(J562,Substituicoes!K:K,1,0),"SS")</f>
        <v>SS</v>
      </c>
      <c r="M562" s="28" t="b">
        <f t="shared" si="67"/>
        <v>1</v>
      </c>
      <c r="N562" s="29">
        <f>IF(AND(K562=L562,LEFT(E562,1)="T"),VLOOKUP(A562,'JOGOS BASE'!A:E,4,0),IF(K562=J562,VLOOKUP(J562,Substituicoes!J:R,6,0),IF(L562=J562,VLOOKUP(Escalacao!J562,Substituicoes!K:R,7,0),0)))</f>
        <v>48</v>
      </c>
      <c r="O562" s="28">
        <f>IF(AND(K562=L562,LEFT(E562,1)="T"),VLOOKUP(A562,'JOGOS BASE'!A:E,5,0),IF(K562=J562,VLOOKUP(J562,Substituicoes!J:R,7,0),IF(L562=J562,VLOOKUP(Escalacao!J562,Substituicoes!K:R,8,0),0)))</f>
        <v>49</v>
      </c>
      <c r="P562" s="28">
        <f t="shared" si="68"/>
        <v>97</v>
      </c>
      <c r="Q562" s="28" t="str">
        <f t="shared" si="69"/>
        <v>143Pinheiro - MA</v>
      </c>
      <c r="R562" s="28" t="str">
        <f>VLOOKUP(A562,'JOGOS BASE'!A:H,8)</f>
        <v>29.01.2025 - Sampaio Corrêa - MA x Pinheiro - MA</v>
      </c>
    </row>
    <row r="563" spans="1:18" ht="30.6">
      <c r="A563" s="15">
        <v>14</v>
      </c>
      <c r="B563" s="46">
        <v>4</v>
      </c>
      <c r="C563" s="45" t="s">
        <v>307</v>
      </c>
      <c r="D563" s="45" t="s">
        <v>308</v>
      </c>
      <c r="E563" s="47" t="s">
        <v>26</v>
      </c>
      <c r="F563" s="47" t="s">
        <v>24</v>
      </c>
      <c r="G563" s="46">
        <v>710616</v>
      </c>
      <c r="H563" s="18" t="s">
        <v>368</v>
      </c>
      <c r="I563" s="26" t="str">
        <f t="shared" si="65"/>
        <v>Rikelmmer</v>
      </c>
      <c r="J563" s="26" t="str">
        <f t="shared" si="66"/>
        <v>14Pinheiro - MA4</v>
      </c>
      <c r="K563" s="27" t="str">
        <f>IFERROR(VLOOKUP(J563,Substituicoes!J:J,1,0),"SS")</f>
        <v>SS</v>
      </c>
      <c r="L563" s="27" t="str">
        <f>IFERROR(VLOOKUP(J563,Substituicoes!K:K,1,0),"SS")</f>
        <v>SS</v>
      </c>
      <c r="M563" s="28" t="b">
        <f t="shared" si="67"/>
        <v>1</v>
      </c>
      <c r="N563" s="29">
        <f>IF(AND(K563=L563,LEFT(E563,1)="T"),VLOOKUP(A563,'JOGOS BASE'!A:E,4,0),IF(K563=J563,VLOOKUP(J563,Substituicoes!J:R,6,0),IF(L563=J563,VLOOKUP(Escalacao!J563,Substituicoes!K:R,7,0),0)))</f>
        <v>48</v>
      </c>
      <c r="O563" s="28">
        <f>IF(AND(K563=L563,LEFT(E563,1)="T"),VLOOKUP(A563,'JOGOS BASE'!A:E,5,0),IF(K563=J563,VLOOKUP(J563,Substituicoes!J:R,7,0),IF(L563=J563,VLOOKUP(Escalacao!J563,Substituicoes!K:R,8,0),0)))</f>
        <v>49</v>
      </c>
      <c r="P563" s="28">
        <f t="shared" si="68"/>
        <v>97</v>
      </c>
      <c r="Q563" s="28" t="str">
        <f t="shared" si="69"/>
        <v>144Pinheiro - MA</v>
      </c>
      <c r="R563" s="28" t="str">
        <f>VLOOKUP(A563,'JOGOS BASE'!A:H,8)</f>
        <v>29.01.2025 - Sampaio Corrêa - MA x Pinheiro - MA</v>
      </c>
    </row>
    <row r="564" spans="1:18" ht="20.399999999999999">
      <c r="A564" s="15">
        <v>14</v>
      </c>
      <c r="B564" s="46">
        <v>5</v>
      </c>
      <c r="C564" s="45" t="s">
        <v>309</v>
      </c>
      <c r="D564" s="45" t="s">
        <v>310</v>
      </c>
      <c r="E564" s="47" t="s">
        <v>26</v>
      </c>
      <c r="F564" s="47" t="s">
        <v>24</v>
      </c>
      <c r="G564" s="46">
        <v>537343</v>
      </c>
      <c r="H564" s="18" t="s">
        <v>368</v>
      </c>
      <c r="I564" s="26" t="str">
        <f t="shared" si="65"/>
        <v>Rayandeson</v>
      </c>
      <c r="J564" s="26" t="str">
        <f t="shared" si="66"/>
        <v>14Pinheiro - MA5</v>
      </c>
      <c r="K564" s="27" t="str">
        <f>IFERROR(VLOOKUP(J564,Substituicoes!J:J,1,0),"SS")</f>
        <v>SS</v>
      </c>
      <c r="L564" s="27" t="str">
        <f>IFERROR(VLOOKUP(J564,Substituicoes!K:K,1,0),"SS")</f>
        <v>SS</v>
      </c>
      <c r="M564" s="28" t="b">
        <f t="shared" si="67"/>
        <v>1</v>
      </c>
      <c r="N564" s="29">
        <f>IF(AND(K564=L564,LEFT(E564,1)="T"),VLOOKUP(A564,'JOGOS BASE'!A:E,4,0),IF(K564=J564,VLOOKUP(J564,Substituicoes!J:R,6,0),IF(L564=J564,VLOOKUP(Escalacao!J564,Substituicoes!K:R,7,0),0)))</f>
        <v>48</v>
      </c>
      <c r="O564" s="28">
        <f>IF(AND(K564=L564,LEFT(E564,1)="T"),VLOOKUP(A564,'JOGOS BASE'!A:E,5,0),IF(K564=J564,VLOOKUP(J564,Substituicoes!J:R,7,0),IF(L564=J564,VLOOKUP(Escalacao!J564,Substituicoes!K:R,8,0),0)))</f>
        <v>49</v>
      </c>
      <c r="P564" s="28">
        <f t="shared" si="68"/>
        <v>97</v>
      </c>
      <c r="Q564" s="28" t="str">
        <f t="shared" si="69"/>
        <v>145Pinheiro - MA</v>
      </c>
      <c r="R564" s="28" t="str">
        <f>VLOOKUP(A564,'JOGOS BASE'!A:H,8)</f>
        <v>29.01.2025 - Sampaio Corrêa - MA x Pinheiro - MA</v>
      </c>
    </row>
    <row r="565" spans="1:18" ht="20.399999999999999">
      <c r="A565" s="15">
        <v>14</v>
      </c>
      <c r="B565" s="46">
        <v>6</v>
      </c>
      <c r="C565" s="45" t="s">
        <v>246</v>
      </c>
      <c r="D565" s="45" t="s">
        <v>311</v>
      </c>
      <c r="E565" s="47" t="s">
        <v>26</v>
      </c>
      <c r="F565" s="47" t="s">
        <v>24</v>
      </c>
      <c r="G565" s="46">
        <v>637743</v>
      </c>
      <c r="H565" s="18" t="s">
        <v>368</v>
      </c>
      <c r="I565" s="26" t="str">
        <f t="shared" si="65"/>
        <v>Gabriel</v>
      </c>
      <c r="J565" s="26" t="str">
        <f t="shared" si="66"/>
        <v>14Pinheiro - MA6</v>
      </c>
      <c r="K565" s="27" t="str">
        <f>IFERROR(VLOOKUP(J565,Substituicoes!J:J,1,0),"SS")</f>
        <v>SS</v>
      </c>
      <c r="L565" s="27" t="str">
        <f>IFERROR(VLOOKUP(J565,Substituicoes!K:K,1,0),"SS")</f>
        <v>14Pinheiro - MA6</v>
      </c>
      <c r="M565" s="28" t="b">
        <f t="shared" si="67"/>
        <v>0</v>
      </c>
      <c r="N565" s="29">
        <f>IF(AND(K565=L565,LEFT(E565,1)="T"),VLOOKUP(A565,'JOGOS BASE'!A:E,4,0),IF(K565=J565,VLOOKUP(J565,Substituicoes!J:R,6,0),IF(L565=J565,VLOOKUP(Escalacao!J565,Substituicoes!K:R,7,0),0)))</f>
        <v>48</v>
      </c>
      <c r="O565" s="28">
        <f>IF(AND(K565=L565,LEFT(E565,1)="T"),VLOOKUP(A565,'JOGOS BASE'!A:E,5,0),IF(K565=J565,VLOOKUP(J565,Substituicoes!J:R,7,0),IF(L565=J565,VLOOKUP(Escalacao!J565,Substituicoes!K:R,8,0),0)))</f>
        <v>0</v>
      </c>
      <c r="P565" s="28">
        <f t="shared" si="68"/>
        <v>48</v>
      </c>
      <c r="Q565" s="28" t="str">
        <f t="shared" si="69"/>
        <v>146Pinheiro - MA</v>
      </c>
      <c r="R565" s="28" t="str">
        <f>VLOOKUP(A565,'JOGOS BASE'!A:H,8)</f>
        <v>29.01.2025 - Sampaio Corrêa - MA x Pinheiro - MA</v>
      </c>
    </row>
    <row r="566" spans="1:18" ht="20.399999999999999">
      <c r="A566" s="15">
        <v>14</v>
      </c>
      <c r="B566" s="46">
        <v>7</v>
      </c>
      <c r="C566" s="45" t="s">
        <v>312</v>
      </c>
      <c r="D566" s="45" t="s">
        <v>313</v>
      </c>
      <c r="E566" s="47" t="s">
        <v>26</v>
      </c>
      <c r="F566" s="47" t="s">
        <v>24</v>
      </c>
      <c r="G566" s="46">
        <v>738325</v>
      </c>
      <c r="H566" s="18" t="s">
        <v>368</v>
      </c>
      <c r="I566" s="26" t="str">
        <f t="shared" si="65"/>
        <v>FRANCISCO</v>
      </c>
      <c r="J566" s="26" t="str">
        <f t="shared" si="66"/>
        <v>14Pinheiro - MA7</v>
      </c>
      <c r="K566" s="27" t="str">
        <f>IFERROR(VLOOKUP(J566,Substituicoes!J:J,1,0),"SS")</f>
        <v>SS</v>
      </c>
      <c r="L566" s="27" t="str">
        <f>IFERROR(VLOOKUP(J566,Substituicoes!K:K,1,0),"SS")</f>
        <v>14Pinheiro - MA7</v>
      </c>
      <c r="M566" s="28" t="b">
        <f t="shared" si="67"/>
        <v>0</v>
      </c>
      <c r="N566" s="29">
        <f>IF(AND(K566=L566,LEFT(E566,1)="T"),VLOOKUP(A566,'JOGOS BASE'!A:E,4,0),IF(K566=J566,VLOOKUP(J566,Substituicoes!J:R,6,0),IF(L566=J566,VLOOKUP(Escalacao!J566,Substituicoes!K:R,7,0),0)))</f>
        <v>48</v>
      </c>
      <c r="O566" s="28">
        <f>IF(AND(K566=L566,LEFT(E566,1)="T"),VLOOKUP(A566,'JOGOS BASE'!A:E,5,0),IF(K566=J566,VLOOKUP(J566,Substituicoes!J:R,7,0),IF(L566=J566,VLOOKUP(Escalacao!J566,Substituicoes!K:R,8,0),0)))</f>
        <v>29</v>
      </c>
      <c r="P566" s="28">
        <f t="shared" si="68"/>
        <v>77</v>
      </c>
      <c r="Q566" s="28" t="str">
        <f t="shared" si="69"/>
        <v>147Pinheiro - MA</v>
      </c>
      <c r="R566" s="28" t="str">
        <f>VLOOKUP(A566,'JOGOS BASE'!A:H,8)</f>
        <v>29.01.2025 - Sampaio Corrêa - MA x Pinheiro - MA</v>
      </c>
    </row>
    <row r="567" spans="1:18" ht="20.399999999999999">
      <c r="A567" s="15">
        <v>14</v>
      </c>
      <c r="B567" s="46">
        <v>8</v>
      </c>
      <c r="C567" s="45" t="s">
        <v>314</v>
      </c>
      <c r="D567" s="45" t="s">
        <v>315</v>
      </c>
      <c r="E567" s="47" t="s">
        <v>26</v>
      </c>
      <c r="F567" s="47" t="s">
        <v>24</v>
      </c>
      <c r="G567" s="46">
        <v>552300</v>
      </c>
      <c r="H567" s="18" t="s">
        <v>368</v>
      </c>
      <c r="I567" s="26" t="str">
        <f t="shared" si="65"/>
        <v>Tulio</v>
      </c>
      <c r="J567" s="26" t="str">
        <f t="shared" si="66"/>
        <v>14Pinheiro - MA8</v>
      </c>
      <c r="K567" s="27" t="str">
        <f>IFERROR(VLOOKUP(J567,Substituicoes!J:J,1,0),"SS")</f>
        <v>SS</v>
      </c>
      <c r="L567" s="27" t="str">
        <f>IFERROR(VLOOKUP(J567,Substituicoes!K:K,1,0),"SS")</f>
        <v>14Pinheiro - MA8</v>
      </c>
      <c r="M567" s="28" t="b">
        <f t="shared" si="67"/>
        <v>0</v>
      </c>
      <c r="N567" s="29">
        <f>IF(AND(K567=L567,LEFT(E567,1)="T"),VLOOKUP(A567,'JOGOS BASE'!A:E,4,0),IF(K567=J567,VLOOKUP(J567,Substituicoes!J:R,6,0),IF(L567=J567,VLOOKUP(Escalacao!J567,Substituicoes!K:R,7,0),0)))</f>
        <v>48</v>
      </c>
      <c r="O567" s="28">
        <f>IF(AND(K567=L567,LEFT(E567,1)="T"),VLOOKUP(A567,'JOGOS BASE'!A:E,5,0),IF(K567=J567,VLOOKUP(J567,Substituicoes!J:R,7,0),IF(L567=J567,VLOOKUP(Escalacao!J567,Substituicoes!K:R,8,0),0)))</f>
        <v>29</v>
      </c>
      <c r="P567" s="28">
        <f t="shared" si="68"/>
        <v>77</v>
      </c>
      <c r="Q567" s="28" t="str">
        <f t="shared" si="69"/>
        <v>148Pinheiro - MA</v>
      </c>
      <c r="R567" s="28" t="str">
        <f>VLOOKUP(A567,'JOGOS BASE'!A:H,8)</f>
        <v>29.01.2025 - Sampaio Corrêa - MA x Pinheiro - MA</v>
      </c>
    </row>
    <row r="568" spans="1:18" ht="30.6">
      <c r="A568" s="15">
        <v>14</v>
      </c>
      <c r="B568" s="46">
        <v>9</v>
      </c>
      <c r="C568" s="45" t="s">
        <v>316</v>
      </c>
      <c r="D568" s="45" t="s">
        <v>317</v>
      </c>
      <c r="E568" s="47" t="s">
        <v>26</v>
      </c>
      <c r="F568" s="47" t="s">
        <v>24</v>
      </c>
      <c r="G568" s="46">
        <v>464141</v>
      </c>
      <c r="H568" s="18" t="s">
        <v>368</v>
      </c>
      <c r="I568" s="26" t="str">
        <f t="shared" si="65"/>
        <v>Cleber</v>
      </c>
      <c r="J568" s="26" t="str">
        <f t="shared" si="66"/>
        <v>14Pinheiro - MA9</v>
      </c>
      <c r="K568" s="27" t="str">
        <f>IFERROR(VLOOKUP(J568,Substituicoes!J:J,1,0),"SS")</f>
        <v>SS</v>
      </c>
      <c r="L568" s="27" t="str">
        <f>IFERROR(VLOOKUP(J568,Substituicoes!K:K,1,0),"SS")</f>
        <v>14Pinheiro - MA9</v>
      </c>
      <c r="M568" s="28" t="b">
        <f t="shared" si="67"/>
        <v>0</v>
      </c>
      <c r="N568" s="29">
        <f>IF(AND(K568=L568,LEFT(E568,1)="T"),VLOOKUP(A568,'JOGOS BASE'!A:E,4,0),IF(K568=J568,VLOOKUP(J568,Substituicoes!J:R,6,0),IF(L568=J568,VLOOKUP(Escalacao!J568,Substituicoes!K:R,7,0),0)))</f>
        <v>48</v>
      </c>
      <c r="O568" s="28">
        <f>IF(AND(K568=L568,LEFT(E568,1)="T"),VLOOKUP(A568,'JOGOS BASE'!A:E,5,0),IF(K568=J568,VLOOKUP(J568,Substituicoes!J:R,7,0),IF(L568=J568,VLOOKUP(Escalacao!J568,Substituicoes!K:R,8,0),0)))</f>
        <v>24</v>
      </c>
      <c r="P568" s="28">
        <f t="shared" si="68"/>
        <v>72</v>
      </c>
      <c r="Q568" s="28" t="str">
        <f t="shared" si="69"/>
        <v>149Pinheiro - MA</v>
      </c>
      <c r="R568" s="28" t="str">
        <f>VLOOKUP(A568,'JOGOS BASE'!A:H,8)</f>
        <v>29.01.2025 - Sampaio Corrêa - MA x Pinheiro - MA</v>
      </c>
    </row>
    <row r="569" spans="1:18" ht="20.399999999999999">
      <c r="A569" s="15">
        <v>14</v>
      </c>
      <c r="B569" s="46">
        <v>10</v>
      </c>
      <c r="C569" s="45" t="s">
        <v>318</v>
      </c>
      <c r="D569" s="45" t="s">
        <v>319</v>
      </c>
      <c r="E569" s="47" t="s">
        <v>26</v>
      </c>
      <c r="F569" s="47" t="s">
        <v>24</v>
      </c>
      <c r="G569" s="46">
        <v>554277</v>
      </c>
      <c r="H569" s="18" t="s">
        <v>368</v>
      </c>
      <c r="I569" s="26" t="str">
        <f t="shared" si="65"/>
        <v>Neto</v>
      </c>
      <c r="J569" s="26" t="str">
        <f t="shared" si="66"/>
        <v>14Pinheiro - MA10</v>
      </c>
      <c r="K569" s="27" t="str">
        <f>IFERROR(VLOOKUP(J569,Substituicoes!J:J,1,0),"SS")</f>
        <v>SS</v>
      </c>
      <c r="L569" s="27" t="str">
        <f>IFERROR(VLOOKUP(J569,Substituicoes!K:K,1,0),"SS")</f>
        <v>SS</v>
      </c>
      <c r="M569" s="28" t="b">
        <f t="shared" si="67"/>
        <v>1</v>
      </c>
      <c r="N569" s="29">
        <f>IF(AND(K569=L569,LEFT(E569,1)="T"),VLOOKUP(A569,'JOGOS BASE'!A:E,4,0),IF(K569=J569,VLOOKUP(J569,Substituicoes!J:R,6,0),IF(L569=J569,VLOOKUP(Escalacao!J569,Substituicoes!K:R,7,0),0)))</f>
        <v>48</v>
      </c>
      <c r="O569" s="28">
        <f>IF(AND(K569=L569,LEFT(E569,1)="T"),VLOOKUP(A569,'JOGOS BASE'!A:E,5,0),IF(K569=J569,VLOOKUP(J569,Substituicoes!J:R,7,0),IF(L569=J569,VLOOKUP(Escalacao!J569,Substituicoes!K:R,8,0),0)))</f>
        <v>49</v>
      </c>
      <c r="P569" s="28">
        <f t="shared" si="68"/>
        <v>97</v>
      </c>
      <c r="Q569" s="28" t="str">
        <f t="shared" si="69"/>
        <v>1410Pinheiro - MA</v>
      </c>
      <c r="R569" s="28" t="str">
        <f>VLOOKUP(A569,'JOGOS BASE'!A:H,8)</f>
        <v>29.01.2025 - Sampaio Corrêa - MA x Pinheiro - MA</v>
      </c>
    </row>
    <row r="570" spans="1:18" ht="30.6">
      <c r="A570" s="15">
        <v>14</v>
      </c>
      <c r="B570" s="46">
        <v>11</v>
      </c>
      <c r="C570" s="45" t="s">
        <v>320</v>
      </c>
      <c r="D570" s="45" t="s">
        <v>581</v>
      </c>
      <c r="E570" s="47" t="s">
        <v>26</v>
      </c>
      <c r="F570" s="47" t="s">
        <v>24</v>
      </c>
      <c r="G570" s="46">
        <v>612866</v>
      </c>
      <c r="H570" s="18" t="s">
        <v>368</v>
      </c>
      <c r="I570" s="26" t="str">
        <f t="shared" si="65"/>
        <v>Joao Pedro</v>
      </c>
      <c r="J570" s="26" t="str">
        <f t="shared" si="66"/>
        <v>14Pinheiro - MA11</v>
      </c>
      <c r="K570" s="27" t="str">
        <f>IFERROR(VLOOKUP(J570,Substituicoes!J:J,1,0),"SS")</f>
        <v>SS</v>
      </c>
      <c r="L570" s="27" t="str">
        <f>IFERROR(VLOOKUP(J570,Substituicoes!K:K,1,0),"SS")</f>
        <v>SS</v>
      </c>
      <c r="M570" s="28" t="b">
        <f t="shared" si="67"/>
        <v>1</v>
      </c>
      <c r="N570" s="29">
        <f>IF(AND(K570=L570,LEFT(E570,1)="T"),VLOOKUP(A570,'JOGOS BASE'!A:E,4,0),IF(K570=J570,VLOOKUP(J570,Substituicoes!J:R,6,0),IF(L570=J570,VLOOKUP(Escalacao!J570,Substituicoes!K:R,7,0),0)))</f>
        <v>48</v>
      </c>
      <c r="O570" s="28">
        <f>IF(AND(K570=L570,LEFT(E570,1)="T"),VLOOKUP(A570,'JOGOS BASE'!A:E,5,0),IF(K570=J570,VLOOKUP(J570,Substituicoes!J:R,7,0),IF(L570=J570,VLOOKUP(Escalacao!J570,Substituicoes!K:R,8,0),0)))</f>
        <v>49</v>
      </c>
      <c r="P570" s="28">
        <f t="shared" si="68"/>
        <v>97</v>
      </c>
      <c r="Q570" s="28" t="str">
        <f t="shared" si="69"/>
        <v>1411Pinheiro - MA</v>
      </c>
      <c r="R570" s="28" t="str">
        <f>VLOOKUP(A570,'JOGOS BASE'!A:H,8)</f>
        <v>29.01.2025 - Sampaio Corrêa - MA x Pinheiro - MA</v>
      </c>
    </row>
    <row r="571" spans="1:18" ht="20.399999999999999">
      <c r="A571" s="15">
        <v>14</v>
      </c>
      <c r="B571" s="46">
        <v>12</v>
      </c>
      <c r="C571" s="45" t="s">
        <v>322</v>
      </c>
      <c r="D571" s="45" t="s">
        <v>323</v>
      </c>
      <c r="E571" s="47" t="s">
        <v>40</v>
      </c>
      <c r="F571" s="47" t="s">
        <v>24</v>
      </c>
      <c r="G571" s="46">
        <v>637255</v>
      </c>
      <c r="H571" s="18" t="s">
        <v>368</v>
      </c>
      <c r="I571" s="26" t="str">
        <f t="shared" si="65"/>
        <v>LUAN</v>
      </c>
      <c r="J571" s="26" t="str">
        <f t="shared" si="66"/>
        <v>14Pinheiro - MA12</v>
      </c>
      <c r="K571" s="27" t="str">
        <f>IFERROR(VLOOKUP(J571,Substituicoes!J:J,1,0),"SS")</f>
        <v>SS</v>
      </c>
      <c r="L571" s="27" t="str">
        <f>IFERROR(VLOOKUP(J571,Substituicoes!K:K,1,0),"SS")</f>
        <v>SS</v>
      </c>
      <c r="M571" s="28" t="b">
        <f t="shared" si="67"/>
        <v>1</v>
      </c>
      <c r="N571" s="29">
        <f>IF(AND(K571=L571,LEFT(E571,1)="T"),VLOOKUP(A571,'JOGOS BASE'!A:E,4,0),IF(K571=J571,VLOOKUP(J571,Substituicoes!J:R,6,0),IF(L571=J571,VLOOKUP(Escalacao!J571,Substituicoes!K:R,7,0),0)))</f>
        <v>0</v>
      </c>
      <c r="O571" s="28">
        <f>IF(AND(K571=L571,LEFT(E571,1)="T"),VLOOKUP(A571,'JOGOS BASE'!A:E,5,0),IF(K571=J571,VLOOKUP(J571,Substituicoes!J:R,7,0),IF(L571=J571,VLOOKUP(Escalacao!J571,Substituicoes!K:R,8,0),0)))</f>
        <v>0</v>
      </c>
      <c r="P571" s="28">
        <f t="shared" si="68"/>
        <v>0</v>
      </c>
      <c r="Q571" s="28" t="str">
        <f t="shared" si="69"/>
        <v>1412Pinheiro - MA</v>
      </c>
      <c r="R571" s="28" t="str">
        <f>VLOOKUP(A571,'JOGOS BASE'!A:H,8)</f>
        <v>29.01.2025 - Sampaio Corrêa - MA x Pinheiro - MA</v>
      </c>
    </row>
    <row r="572" spans="1:18" ht="30.6">
      <c r="A572" s="15">
        <v>14</v>
      </c>
      <c r="B572" s="46">
        <v>13</v>
      </c>
      <c r="C572" s="45" t="s">
        <v>324</v>
      </c>
      <c r="D572" s="45" t="s">
        <v>325</v>
      </c>
      <c r="E572" s="47" t="s">
        <v>42</v>
      </c>
      <c r="F572" s="47" t="s">
        <v>24</v>
      </c>
      <c r="G572" s="46">
        <v>554265</v>
      </c>
      <c r="H572" s="18" t="s">
        <v>368</v>
      </c>
      <c r="I572" s="26" t="str">
        <f t="shared" si="65"/>
        <v>Aldomir</v>
      </c>
      <c r="J572" s="26" t="str">
        <f t="shared" si="66"/>
        <v>14Pinheiro - MA13</v>
      </c>
      <c r="K572" s="27" t="str">
        <f>IFERROR(VLOOKUP(J572,Substituicoes!J:J,1,0),"SS")</f>
        <v>14Pinheiro - MA13</v>
      </c>
      <c r="L572" s="27" t="str">
        <f>IFERROR(VLOOKUP(J572,Substituicoes!K:K,1,0),"SS")</f>
        <v>SS</v>
      </c>
      <c r="M572" s="28" t="b">
        <f t="shared" si="67"/>
        <v>0</v>
      </c>
      <c r="N572" s="29">
        <f>IF(AND(K572=L572,LEFT(E572,1)="T"),VLOOKUP(A572,'JOGOS BASE'!A:E,4,0),IF(K572=J572,VLOOKUP(J572,Substituicoes!J:R,6,0),IF(L572=J572,VLOOKUP(Escalacao!J572,Substituicoes!K:R,7,0),0)))</f>
        <v>0</v>
      </c>
      <c r="O572" s="28">
        <f>IF(AND(K572=L572,LEFT(E572,1)="T"),VLOOKUP(A572,'JOGOS BASE'!A:E,5,0),IF(K572=J572,VLOOKUP(J572,Substituicoes!J:R,7,0),IF(L572=J572,VLOOKUP(Escalacao!J572,Substituicoes!K:R,8,0),0)))</f>
        <v>49</v>
      </c>
      <c r="P572" s="28">
        <f t="shared" si="68"/>
        <v>49</v>
      </c>
      <c r="Q572" s="28" t="str">
        <f t="shared" si="69"/>
        <v>1413Pinheiro - MA</v>
      </c>
      <c r="R572" s="28" t="str">
        <f>VLOOKUP(A572,'JOGOS BASE'!A:H,8)</f>
        <v>29.01.2025 - Sampaio Corrêa - MA x Pinheiro - MA</v>
      </c>
    </row>
    <row r="573" spans="1:18" ht="20.399999999999999">
      <c r="A573" s="15">
        <v>14</v>
      </c>
      <c r="B573" s="46">
        <v>14</v>
      </c>
      <c r="C573" s="45" t="s">
        <v>326</v>
      </c>
      <c r="D573" s="45" t="s">
        <v>327</v>
      </c>
      <c r="E573" s="47" t="s">
        <v>42</v>
      </c>
      <c r="F573" s="47" t="s">
        <v>56</v>
      </c>
      <c r="G573" s="46">
        <v>804398</v>
      </c>
      <c r="H573" s="18" t="s">
        <v>368</v>
      </c>
      <c r="I573" s="26" t="str">
        <f t="shared" si="65"/>
        <v>Igor Mineiro</v>
      </c>
      <c r="J573" s="26" t="str">
        <f t="shared" si="66"/>
        <v>14Pinheiro - MA14</v>
      </c>
      <c r="K573" s="27" t="str">
        <f>IFERROR(VLOOKUP(J573,Substituicoes!J:J,1,0),"SS")</f>
        <v>SS</v>
      </c>
      <c r="L573" s="27" t="str">
        <f>IFERROR(VLOOKUP(J573,Substituicoes!K:K,1,0),"SS")</f>
        <v>SS</v>
      </c>
      <c r="M573" s="28" t="b">
        <f t="shared" si="67"/>
        <v>1</v>
      </c>
      <c r="N573" s="29">
        <f>IF(AND(K573=L573,LEFT(E573,1)="T"),VLOOKUP(A573,'JOGOS BASE'!A:E,4,0),IF(K573=J573,VLOOKUP(J573,Substituicoes!J:R,6,0),IF(L573=J573,VLOOKUP(Escalacao!J573,Substituicoes!K:R,7,0),0)))</f>
        <v>0</v>
      </c>
      <c r="O573" s="28">
        <f>IF(AND(K573=L573,LEFT(E573,1)="T"),VLOOKUP(A573,'JOGOS BASE'!A:E,5,0),IF(K573=J573,VLOOKUP(J573,Substituicoes!J:R,7,0),IF(L573=J573,VLOOKUP(Escalacao!J573,Substituicoes!K:R,8,0),0)))</f>
        <v>0</v>
      </c>
      <c r="P573" s="28">
        <f t="shared" si="68"/>
        <v>0</v>
      </c>
      <c r="Q573" s="28" t="str">
        <f t="shared" si="69"/>
        <v>1414Pinheiro - MA</v>
      </c>
      <c r="R573" s="28" t="str">
        <f>VLOOKUP(A573,'JOGOS BASE'!A:H,8)</f>
        <v>29.01.2025 - Sampaio Corrêa - MA x Pinheiro - MA</v>
      </c>
    </row>
    <row r="574" spans="1:18" ht="30.6">
      <c r="A574" s="15">
        <v>14</v>
      </c>
      <c r="B574" s="46">
        <v>15</v>
      </c>
      <c r="C574" s="45" t="s">
        <v>681</v>
      </c>
      <c r="D574" s="45" t="s">
        <v>682</v>
      </c>
      <c r="E574" s="47" t="s">
        <v>42</v>
      </c>
      <c r="F574" s="47" t="s">
        <v>24</v>
      </c>
      <c r="G574" s="46">
        <v>593208</v>
      </c>
      <c r="H574" s="18" t="s">
        <v>368</v>
      </c>
      <c r="I574" s="26" t="str">
        <f t="shared" si="65"/>
        <v>ALEXANDRE</v>
      </c>
      <c r="J574" s="26" t="str">
        <f t="shared" si="66"/>
        <v>14Pinheiro - MA15</v>
      </c>
      <c r="K574" s="27" t="str">
        <f>IFERROR(VLOOKUP(J574,Substituicoes!J:J,1,0),"SS")</f>
        <v>SS</v>
      </c>
      <c r="L574" s="27" t="str">
        <f>IFERROR(VLOOKUP(J574,Substituicoes!K:K,1,0),"SS")</f>
        <v>SS</v>
      </c>
      <c r="M574" s="28" t="b">
        <f t="shared" si="67"/>
        <v>1</v>
      </c>
      <c r="N574" s="29">
        <f>IF(AND(K574=L574,LEFT(E574,1)="T"),VLOOKUP(A574,'JOGOS BASE'!A:E,4,0),IF(K574=J574,VLOOKUP(J574,Substituicoes!J:R,6,0),IF(L574=J574,VLOOKUP(Escalacao!J574,Substituicoes!K:R,7,0),0)))</f>
        <v>0</v>
      </c>
      <c r="O574" s="28">
        <f>IF(AND(K574=L574,LEFT(E574,1)="T"),VLOOKUP(A574,'JOGOS BASE'!A:E,5,0),IF(K574=J574,VLOOKUP(J574,Substituicoes!J:R,7,0),IF(L574=J574,VLOOKUP(Escalacao!J574,Substituicoes!K:R,8,0),0)))</f>
        <v>0</v>
      </c>
      <c r="P574" s="28">
        <f t="shared" si="68"/>
        <v>0</v>
      </c>
      <c r="Q574" s="28" t="str">
        <f t="shared" si="69"/>
        <v>1415Pinheiro - MA</v>
      </c>
      <c r="R574" s="28" t="str">
        <f>VLOOKUP(A574,'JOGOS BASE'!A:H,8)</f>
        <v>29.01.2025 - Sampaio Corrêa - MA x Pinheiro - MA</v>
      </c>
    </row>
    <row r="575" spans="1:18" ht="20.399999999999999">
      <c r="A575" s="15">
        <v>14</v>
      </c>
      <c r="B575" s="46">
        <v>16</v>
      </c>
      <c r="C575" s="45" t="s">
        <v>758</v>
      </c>
      <c r="D575" s="45" t="s">
        <v>759</v>
      </c>
      <c r="E575" s="47" t="s">
        <v>42</v>
      </c>
      <c r="F575" s="47" t="s">
        <v>24</v>
      </c>
      <c r="G575" s="46">
        <v>543264</v>
      </c>
      <c r="H575" s="18" t="s">
        <v>368</v>
      </c>
      <c r="I575" s="26" t="str">
        <f t="shared" si="65"/>
        <v>Henrique C ...</v>
      </c>
      <c r="J575" s="26" t="str">
        <f t="shared" si="66"/>
        <v>14Pinheiro - MA16</v>
      </c>
      <c r="K575" s="27" t="str">
        <f>IFERROR(VLOOKUP(J575,Substituicoes!J:J,1,0),"SS")</f>
        <v>14Pinheiro - MA16</v>
      </c>
      <c r="L575" s="27" t="str">
        <f>IFERROR(VLOOKUP(J575,Substituicoes!K:K,1,0),"SS")</f>
        <v>SS</v>
      </c>
      <c r="M575" s="28" t="b">
        <f t="shared" si="67"/>
        <v>0</v>
      </c>
      <c r="N575" s="29">
        <f>IF(AND(K575=L575,LEFT(E575,1)="T"),VLOOKUP(A575,'JOGOS BASE'!A:E,4,0),IF(K575=J575,VLOOKUP(J575,Substituicoes!J:R,6,0),IF(L575=J575,VLOOKUP(Escalacao!J575,Substituicoes!K:R,7,0),0)))</f>
        <v>0</v>
      </c>
      <c r="O575" s="28">
        <f>IF(AND(K575=L575,LEFT(E575,1)="T"),VLOOKUP(A575,'JOGOS BASE'!A:E,5,0),IF(K575=J575,VLOOKUP(J575,Substituicoes!J:R,7,0),IF(L575=J575,VLOOKUP(Escalacao!J575,Substituicoes!K:R,8,0),0)))</f>
        <v>20</v>
      </c>
      <c r="P575" s="28">
        <f t="shared" si="68"/>
        <v>20</v>
      </c>
      <c r="Q575" s="28" t="str">
        <f t="shared" si="69"/>
        <v>1416Pinheiro - MA</v>
      </c>
      <c r="R575" s="28" t="str">
        <f>VLOOKUP(A575,'JOGOS BASE'!A:H,8)</f>
        <v>29.01.2025 - Sampaio Corrêa - MA x Pinheiro - MA</v>
      </c>
    </row>
    <row r="576" spans="1:18" ht="30.6">
      <c r="A576" s="15">
        <v>14</v>
      </c>
      <c r="B576" s="46">
        <v>17</v>
      </c>
      <c r="C576" s="45" t="s">
        <v>328</v>
      </c>
      <c r="D576" s="45" t="s">
        <v>329</v>
      </c>
      <c r="E576" s="47" t="s">
        <v>42</v>
      </c>
      <c r="F576" s="47" t="s">
        <v>56</v>
      </c>
      <c r="G576" s="46">
        <v>779893</v>
      </c>
      <c r="H576" s="18" t="s">
        <v>368</v>
      </c>
      <c r="I576" s="26" t="str">
        <f t="shared" si="65"/>
        <v>George</v>
      </c>
      <c r="J576" s="26" t="str">
        <f t="shared" si="66"/>
        <v>14Pinheiro - MA17</v>
      </c>
      <c r="K576" s="27" t="str">
        <f>IFERROR(VLOOKUP(J576,Substituicoes!J:J,1,0),"SS")</f>
        <v>14Pinheiro - MA17</v>
      </c>
      <c r="L576" s="27" t="str">
        <f>IFERROR(VLOOKUP(J576,Substituicoes!K:K,1,0),"SS")</f>
        <v>SS</v>
      </c>
      <c r="M576" s="28" t="b">
        <f t="shared" si="67"/>
        <v>0</v>
      </c>
      <c r="N576" s="29">
        <f>IF(AND(K576=L576,LEFT(E576,1)="T"),VLOOKUP(A576,'JOGOS BASE'!A:E,4,0),IF(K576=J576,VLOOKUP(J576,Substituicoes!J:R,6,0),IF(L576=J576,VLOOKUP(Escalacao!J576,Substituicoes!K:R,7,0),0)))</f>
        <v>0</v>
      </c>
      <c r="O576" s="28">
        <f>IF(AND(K576=L576,LEFT(E576,1)="T"),VLOOKUP(A576,'JOGOS BASE'!A:E,5,0),IF(K576=J576,VLOOKUP(J576,Substituicoes!J:R,7,0),IF(L576=J576,VLOOKUP(Escalacao!J576,Substituicoes!K:R,8,0),0)))</f>
        <v>49</v>
      </c>
      <c r="P576" s="28">
        <f t="shared" si="68"/>
        <v>49</v>
      </c>
      <c r="Q576" s="28" t="str">
        <f t="shared" si="69"/>
        <v>1417Pinheiro - MA</v>
      </c>
      <c r="R576" s="28" t="str">
        <f>VLOOKUP(A576,'JOGOS BASE'!A:H,8)</f>
        <v>29.01.2025 - Sampaio Corrêa - MA x Pinheiro - MA</v>
      </c>
    </row>
    <row r="577" spans="1:18" ht="30.6">
      <c r="A577" s="15">
        <v>14</v>
      </c>
      <c r="B577" s="46">
        <v>18</v>
      </c>
      <c r="C577" s="45" t="s">
        <v>333</v>
      </c>
      <c r="D577" s="45" t="s">
        <v>582</v>
      </c>
      <c r="E577" s="47" t="s">
        <v>42</v>
      </c>
      <c r="F577" s="47" t="s">
        <v>24</v>
      </c>
      <c r="G577" s="46">
        <v>710709</v>
      </c>
      <c r="H577" s="18" t="s">
        <v>368</v>
      </c>
      <c r="I577" s="26" t="str">
        <f t="shared" si="65"/>
        <v>BASTICO</v>
      </c>
      <c r="J577" s="26" t="str">
        <f t="shared" si="66"/>
        <v>14Pinheiro - MA18</v>
      </c>
      <c r="K577" s="27" t="str">
        <f>IFERROR(VLOOKUP(J577,Substituicoes!J:J,1,0),"SS")</f>
        <v>14Pinheiro - MA18</v>
      </c>
      <c r="L577" s="27" t="str">
        <f>IFERROR(VLOOKUP(J577,Substituicoes!K:K,1,0),"SS")</f>
        <v>SS</v>
      </c>
      <c r="M577" s="28" t="b">
        <f t="shared" si="67"/>
        <v>0</v>
      </c>
      <c r="N577" s="29">
        <f>IF(AND(K577=L577,LEFT(E577,1)="T"),VLOOKUP(A577,'JOGOS BASE'!A:E,4,0),IF(K577=J577,VLOOKUP(J577,Substituicoes!J:R,6,0),IF(L577=J577,VLOOKUP(Escalacao!J577,Substituicoes!K:R,7,0),0)))</f>
        <v>0</v>
      </c>
      <c r="O577" s="28">
        <f>IF(AND(K577=L577,LEFT(E577,1)="T"),VLOOKUP(A577,'JOGOS BASE'!A:E,5,0),IF(K577=J577,VLOOKUP(J577,Substituicoes!J:R,7,0),IF(L577=J577,VLOOKUP(Escalacao!J577,Substituicoes!K:R,8,0),0)))</f>
        <v>20</v>
      </c>
      <c r="P577" s="28">
        <f t="shared" si="68"/>
        <v>20</v>
      </c>
      <c r="Q577" s="28" t="str">
        <f t="shared" si="69"/>
        <v>1418Pinheiro - MA</v>
      </c>
      <c r="R577" s="28" t="str">
        <f>VLOOKUP(A577,'JOGOS BASE'!A:H,8)</f>
        <v>29.01.2025 - Sampaio Corrêa - MA x Pinheiro - MA</v>
      </c>
    </row>
    <row r="578" spans="1:18" ht="30.6">
      <c r="A578" s="15">
        <v>14</v>
      </c>
      <c r="B578" s="46">
        <v>19</v>
      </c>
      <c r="C578" s="45" t="s">
        <v>390</v>
      </c>
      <c r="D578" s="45" t="s">
        <v>391</v>
      </c>
      <c r="E578" s="47" t="s">
        <v>42</v>
      </c>
      <c r="F578" s="47" t="s">
        <v>24</v>
      </c>
      <c r="G578" s="46">
        <v>740175</v>
      </c>
      <c r="H578" s="18" t="s">
        <v>368</v>
      </c>
      <c r="I578" s="26" t="str">
        <f t="shared" si="65"/>
        <v>DANILO</v>
      </c>
      <c r="J578" s="26" t="str">
        <f t="shared" si="66"/>
        <v>14Pinheiro - MA19</v>
      </c>
      <c r="K578" s="27" t="str">
        <f>IFERROR(VLOOKUP(J578,Substituicoes!J:J,1,0),"SS")</f>
        <v>SS</v>
      </c>
      <c r="L578" s="27" t="str">
        <f>IFERROR(VLOOKUP(J578,Substituicoes!K:K,1,0),"SS")</f>
        <v>SS</v>
      </c>
      <c r="M578" s="28" t="b">
        <f t="shared" si="67"/>
        <v>1</v>
      </c>
      <c r="N578" s="29">
        <f>IF(AND(K578=L578,LEFT(E578,1)="T"),VLOOKUP(A578,'JOGOS BASE'!A:E,4,0),IF(K578=J578,VLOOKUP(J578,Substituicoes!J:R,6,0),IF(L578=J578,VLOOKUP(Escalacao!J578,Substituicoes!K:R,7,0),0)))</f>
        <v>0</v>
      </c>
      <c r="O578" s="28">
        <f>IF(AND(K578=L578,LEFT(E578,1)="T"),VLOOKUP(A578,'JOGOS BASE'!A:E,5,0),IF(K578=J578,VLOOKUP(J578,Substituicoes!J:R,7,0),IF(L578=J578,VLOOKUP(Escalacao!J578,Substituicoes!K:R,8,0),0)))</f>
        <v>0</v>
      </c>
      <c r="P578" s="28">
        <f t="shared" si="68"/>
        <v>0</v>
      </c>
      <c r="Q578" s="28" t="str">
        <f t="shared" si="69"/>
        <v>1419Pinheiro - MA</v>
      </c>
      <c r="R578" s="28" t="str">
        <f>VLOOKUP(A578,'JOGOS BASE'!A:H,8)</f>
        <v>29.01.2025 - Sampaio Corrêa - MA x Pinheiro - MA</v>
      </c>
    </row>
    <row r="579" spans="1:18" ht="30.6">
      <c r="A579" s="15">
        <v>14</v>
      </c>
      <c r="B579" s="46">
        <v>20</v>
      </c>
      <c r="C579" s="45" t="s">
        <v>331</v>
      </c>
      <c r="D579" s="45" t="s">
        <v>332</v>
      </c>
      <c r="E579" s="47" t="s">
        <v>42</v>
      </c>
      <c r="F579" s="47" t="s">
        <v>24</v>
      </c>
      <c r="G579" s="46">
        <v>816868</v>
      </c>
      <c r="H579" s="18" t="s">
        <v>368</v>
      </c>
      <c r="I579" s="26" t="str">
        <f t="shared" si="65"/>
        <v>KAYKY</v>
      </c>
      <c r="J579" s="26" t="str">
        <f t="shared" si="66"/>
        <v>14Pinheiro - MA20</v>
      </c>
      <c r="K579" s="27" t="str">
        <f>IFERROR(VLOOKUP(J579,Substituicoes!J:J,1,0),"SS")</f>
        <v>14Pinheiro - MA20</v>
      </c>
      <c r="L579" s="27" t="str">
        <f>IFERROR(VLOOKUP(J579,Substituicoes!K:K,1,0),"SS")</f>
        <v>SS</v>
      </c>
      <c r="M579" s="28" t="b">
        <f t="shared" si="67"/>
        <v>0</v>
      </c>
      <c r="N579" s="29">
        <f>IF(AND(K579=L579,LEFT(E579,1)="T"),VLOOKUP(A579,'JOGOS BASE'!A:E,4,0),IF(K579=J579,VLOOKUP(J579,Substituicoes!J:R,6,0),IF(L579=J579,VLOOKUP(Escalacao!J579,Substituicoes!K:R,7,0),0)))</f>
        <v>0</v>
      </c>
      <c r="O579" s="28">
        <f>IF(AND(K579=L579,LEFT(E579,1)="T"),VLOOKUP(A579,'JOGOS BASE'!A:E,5,0),IF(K579=J579,VLOOKUP(J579,Substituicoes!J:R,7,0),IF(L579=J579,VLOOKUP(Escalacao!J579,Substituicoes!K:R,8,0),0)))</f>
        <v>25</v>
      </c>
      <c r="P579" s="28">
        <f t="shared" si="68"/>
        <v>25</v>
      </c>
      <c r="Q579" s="28" t="str">
        <f t="shared" si="69"/>
        <v>1420Pinheiro - MA</v>
      </c>
      <c r="R579" s="28" t="str">
        <f>VLOOKUP(A579,'JOGOS BASE'!A:H,8)</f>
        <v>29.01.2025 - Sampaio Corrêa - MA x Pinheiro - MA</v>
      </c>
    </row>
    <row r="580" spans="1:18" ht="20.399999999999999">
      <c r="A580" s="15">
        <v>15</v>
      </c>
      <c r="B580" s="46">
        <v>1</v>
      </c>
      <c r="C580" s="45" t="s">
        <v>21</v>
      </c>
      <c r="D580" s="45" t="s">
        <v>22</v>
      </c>
      <c r="E580" s="47" t="s">
        <v>23</v>
      </c>
      <c r="F580" s="47" t="s">
        <v>24</v>
      </c>
      <c r="G580" s="46">
        <v>459328</v>
      </c>
      <c r="H580" s="18" t="s">
        <v>107</v>
      </c>
      <c r="I580" s="26" t="str">
        <f t="shared" ref="I580:I621" si="70">C580</f>
        <v>Jr Conceiç ...</v>
      </c>
      <c r="J580" s="26" t="str">
        <f t="shared" ref="J580:J621" si="71">A580&amp;H580&amp;B580</f>
        <v>15Imperatriz - MA1</v>
      </c>
      <c r="K580" s="27" t="str">
        <f>IFERROR(VLOOKUP(J580,Substituicoes!J:J,1,0),"SS")</f>
        <v>SS</v>
      </c>
      <c r="L580" s="27" t="str">
        <f>IFERROR(VLOOKUP(J580,Substituicoes!K:K,1,0),"SS")</f>
        <v>SS</v>
      </c>
      <c r="M580" s="28" t="b">
        <f t="shared" ref="M580:M621" si="72">K580=L580</f>
        <v>1</v>
      </c>
      <c r="N580" s="29">
        <f>IF(AND(K580=L580,LEFT(E580,1)="T"),VLOOKUP(A580,'JOGOS BASE'!A:E,4,0),IF(K580=J580,VLOOKUP(J580,Substituicoes!J:R,6,0),IF(L580=J580,VLOOKUP(Escalacao!J580,Substituicoes!K:R,7,0),0)))</f>
        <v>51</v>
      </c>
      <c r="O580" s="28">
        <f>IF(AND(K580=L580,LEFT(E580,1)="T"),VLOOKUP(A580,'JOGOS BASE'!A:E,5,0),IF(K580=J580,VLOOKUP(J580,Substituicoes!J:R,7,0),IF(L580=J580,VLOOKUP(Escalacao!J580,Substituicoes!K:R,8,0),0)))</f>
        <v>45</v>
      </c>
      <c r="P580" s="28">
        <f t="shared" ref="P580:P621" si="73">N580+O580</f>
        <v>96</v>
      </c>
      <c r="Q580" s="28" t="str">
        <f t="shared" ref="Q580:Q621" si="74">A580&amp;B580&amp;H580</f>
        <v>151Imperatriz - MA</v>
      </c>
      <c r="R580" s="28" t="str">
        <f>VLOOKUP(A580,'JOGOS BASE'!A:H,8)</f>
        <v>29.01.2025 - Imperatriz - MA x Viana - MA</v>
      </c>
    </row>
    <row r="581" spans="1:18" ht="30.6">
      <c r="A581" s="15">
        <v>15</v>
      </c>
      <c r="B581" s="46">
        <v>2</v>
      </c>
      <c r="C581" s="45" t="s">
        <v>1</v>
      </c>
      <c r="D581" s="45" t="s">
        <v>25</v>
      </c>
      <c r="E581" s="47" t="s">
        <v>26</v>
      </c>
      <c r="F581" s="47" t="s">
        <v>24</v>
      </c>
      <c r="G581" s="46">
        <v>451402</v>
      </c>
      <c r="H581" s="18" t="s">
        <v>107</v>
      </c>
      <c r="I581" s="26" t="str">
        <f t="shared" si="70"/>
        <v>Fabricio</v>
      </c>
      <c r="J581" s="26" t="str">
        <f t="shared" si="71"/>
        <v>15Imperatriz - MA2</v>
      </c>
      <c r="K581" s="27" t="str">
        <f>IFERROR(VLOOKUP(J581,Substituicoes!J:J,1,0),"SS")</f>
        <v>SS</v>
      </c>
      <c r="L581" s="27" t="str">
        <f>IFERROR(VLOOKUP(J581,Substituicoes!K:K,1,0),"SS")</f>
        <v>SS</v>
      </c>
      <c r="M581" s="28" t="b">
        <f t="shared" si="72"/>
        <v>1</v>
      </c>
      <c r="N581" s="29">
        <f>IF(AND(K581=L581,LEFT(E581,1)="T"),VLOOKUP(A581,'JOGOS BASE'!A:E,4,0),IF(K581=J581,VLOOKUP(J581,Substituicoes!J:R,6,0),IF(L581=J581,VLOOKUP(Escalacao!J581,Substituicoes!K:R,7,0),0)))</f>
        <v>51</v>
      </c>
      <c r="O581" s="28">
        <f>IF(AND(K581=L581,LEFT(E581,1)="T"),VLOOKUP(A581,'JOGOS BASE'!A:E,5,0),IF(K581=J581,VLOOKUP(J581,Substituicoes!J:R,7,0),IF(L581=J581,VLOOKUP(Escalacao!J581,Substituicoes!K:R,8,0),0)))</f>
        <v>45</v>
      </c>
      <c r="P581" s="28">
        <f t="shared" si="73"/>
        <v>96</v>
      </c>
      <c r="Q581" s="28" t="str">
        <f t="shared" si="74"/>
        <v>152Imperatriz - MA</v>
      </c>
      <c r="R581" s="28" t="str">
        <f>VLOOKUP(A581,'JOGOS BASE'!A:H,8)</f>
        <v>29.01.2025 - Imperatriz - MA x Viana - MA</v>
      </c>
    </row>
    <row r="582" spans="1:18" ht="20.399999999999999">
      <c r="A582" s="15">
        <v>15</v>
      </c>
      <c r="B582" s="46">
        <v>3</v>
      </c>
      <c r="C582" s="45" t="s">
        <v>2</v>
      </c>
      <c r="D582" s="45" t="s">
        <v>27</v>
      </c>
      <c r="E582" s="47" t="s">
        <v>26</v>
      </c>
      <c r="F582" s="47" t="s">
        <v>24</v>
      </c>
      <c r="G582" s="46">
        <v>393115</v>
      </c>
      <c r="H582" s="18" t="s">
        <v>107</v>
      </c>
      <c r="I582" s="26" t="str">
        <f t="shared" si="70"/>
        <v>Andre Penalva</v>
      </c>
      <c r="J582" s="26" t="str">
        <f t="shared" si="71"/>
        <v>15Imperatriz - MA3</v>
      </c>
      <c r="K582" s="27" t="str">
        <f>IFERROR(VLOOKUP(J582,Substituicoes!J:J,1,0),"SS")</f>
        <v>SS</v>
      </c>
      <c r="L582" s="27" t="str">
        <f>IFERROR(VLOOKUP(J582,Substituicoes!K:K,1,0),"SS")</f>
        <v>15Imperatriz - MA3</v>
      </c>
      <c r="M582" s="28" t="b">
        <f t="shared" si="72"/>
        <v>0</v>
      </c>
      <c r="N582" s="29">
        <f>IF(AND(K582=L582,LEFT(E582,1)="T"),VLOOKUP(A582,'JOGOS BASE'!A:E,4,0),IF(K582=J582,VLOOKUP(J582,Substituicoes!J:R,6,0),IF(L582=J582,VLOOKUP(Escalacao!J582,Substituicoes!K:R,7,0),0)))</f>
        <v>51</v>
      </c>
      <c r="O582" s="28">
        <f>IF(AND(K582=L582,LEFT(E582,1)="T"),VLOOKUP(A582,'JOGOS BASE'!A:E,5,0),IF(K582=J582,VLOOKUP(J582,Substituicoes!J:R,7,0),IF(L582=J582,VLOOKUP(Escalacao!J582,Substituicoes!K:R,8,0),0)))</f>
        <v>0</v>
      </c>
      <c r="P582" s="28">
        <f t="shared" si="73"/>
        <v>51</v>
      </c>
      <c r="Q582" s="28" t="str">
        <f t="shared" si="74"/>
        <v>153Imperatriz - MA</v>
      </c>
      <c r="R582" s="28" t="str">
        <f>VLOOKUP(A582,'JOGOS BASE'!A:H,8)</f>
        <v>29.01.2025 - Imperatriz - MA x Viana - MA</v>
      </c>
    </row>
    <row r="583" spans="1:18" ht="20.399999999999999">
      <c r="A583" s="15">
        <v>15</v>
      </c>
      <c r="B583" s="46">
        <v>4</v>
      </c>
      <c r="C583" s="45" t="s">
        <v>28</v>
      </c>
      <c r="D583" s="45" t="s">
        <v>29</v>
      </c>
      <c r="E583" s="47" t="s">
        <v>26</v>
      </c>
      <c r="F583" s="47" t="s">
        <v>24</v>
      </c>
      <c r="G583" s="46">
        <v>373479</v>
      </c>
      <c r="H583" s="18" t="s">
        <v>107</v>
      </c>
      <c r="I583" s="26" t="str">
        <f t="shared" si="70"/>
        <v>FELIPE</v>
      </c>
      <c r="J583" s="26" t="str">
        <f t="shared" si="71"/>
        <v>15Imperatriz - MA4</v>
      </c>
      <c r="K583" s="27" t="str">
        <f>IFERROR(VLOOKUP(J583,Substituicoes!J:J,1,0),"SS")</f>
        <v>SS</v>
      </c>
      <c r="L583" s="27" t="str">
        <f>IFERROR(VLOOKUP(J583,Substituicoes!K:K,1,0),"SS")</f>
        <v>SS</v>
      </c>
      <c r="M583" s="28" t="b">
        <f t="shared" si="72"/>
        <v>1</v>
      </c>
      <c r="N583" s="29">
        <f>IF(AND(K583=L583,LEFT(E583,1)="T"),VLOOKUP(A583,'JOGOS BASE'!A:E,4,0),IF(K583=J583,VLOOKUP(J583,Substituicoes!J:R,6,0),IF(L583=J583,VLOOKUP(Escalacao!J583,Substituicoes!K:R,7,0),0)))</f>
        <v>51</v>
      </c>
      <c r="O583" s="28">
        <f>IF(AND(K583=L583,LEFT(E583,1)="T"),VLOOKUP(A583,'JOGOS BASE'!A:E,5,0),IF(K583=J583,VLOOKUP(J583,Substituicoes!J:R,7,0),IF(L583=J583,VLOOKUP(Escalacao!J583,Substituicoes!K:R,8,0),0)))</f>
        <v>45</v>
      </c>
      <c r="P583" s="28">
        <f t="shared" si="73"/>
        <v>96</v>
      </c>
      <c r="Q583" s="28" t="str">
        <f t="shared" si="74"/>
        <v>154Imperatriz - MA</v>
      </c>
      <c r="R583" s="28" t="str">
        <f>VLOOKUP(A583,'JOGOS BASE'!A:H,8)</f>
        <v>29.01.2025 - Imperatriz - MA x Viana - MA</v>
      </c>
    </row>
    <row r="584" spans="1:18" ht="30.6">
      <c r="A584" s="15">
        <v>15</v>
      </c>
      <c r="B584" s="46">
        <v>5</v>
      </c>
      <c r="C584" s="45" t="s">
        <v>30</v>
      </c>
      <c r="D584" s="45" t="s">
        <v>31</v>
      </c>
      <c r="E584" s="47" t="s">
        <v>26</v>
      </c>
      <c r="F584" s="47" t="s">
        <v>24</v>
      </c>
      <c r="G584" s="46">
        <v>345029</v>
      </c>
      <c r="H584" s="18" t="s">
        <v>107</v>
      </c>
      <c r="I584" s="26" t="str">
        <f t="shared" si="70"/>
        <v>Jeferson P ...</v>
      </c>
      <c r="J584" s="26" t="str">
        <f t="shared" si="71"/>
        <v>15Imperatriz - MA5</v>
      </c>
      <c r="K584" s="27" t="str">
        <f>IFERROR(VLOOKUP(J584,Substituicoes!J:J,1,0),"SS")</f>
        <v>SS</v>
      </c>
      <c r="L584" s="27" t="str">
        <f>IFERROR(VLOOKUP(J584,Substituicoes!K:K,1,0),"SS")</f>
        <v>15Imperatriz - MA5</v>
      </c>
      <c r="M584" s="28" t="b">
        <f t="shared" si="72"/>
        <v>0</v>
      </c>
      <c r="N584" s="29">
        <f>IF(AND(K584=L584,LEFT(E584,1)="T"),VLOOKUP(A584,'JOGOS BASE'!A:E,4,0),IF(K584=J584,VLOOKUP(J584,Substituicoes!J:R,6,0),IF(L584=J584,VLOOKUP(Escalacao!J584,Substituicoes!K:R,7,0),0)))</f>
        <v>51</v>
      </c>
      <c r="O584" s="28">
        <f>IF(AND(K584=L584,LEFT(E584,1)="T"),VLOOKUP(A584,'JOGOS BASE'!A:E,5,0),IF(K584=J584,VLOOKUP(J584,Substituicoes!J:R,7,0),IF(L584=J584,VLOOKUP(Escalacao!J584,Substituicoes!K:R,8,0),0)))</f>
        <v>0</v>
      </c>
      <c r="P584" s="28">
        <f t="shared" si="73"/>
        <v>51</v>
      </c>
      <c r="Q584" s="28" t="str">
        <f t="shared" si="74"/>
        <v>155Imperatriz - MA</v>
      </c>
      <c r="R584" s="28" t="str">
        <f>VLOOKUP(A584,'JOGOS BASE'!A:H,8)</f>
        <v>29.01.2025 - Imperatriz - MA x Viana - MA</v>
      </c>
    </row>
    <row r="585" spans="1:18" ht="30.6">
      <c r="A585" s="15">
        <v>15</v>
      </c>
      <c r="B585" s="46">
        <v>6</v>
      </c>
      <c r="C585" s="45" t="s">
        <v>3</v>
      </c>
      <c r="D585" s="45" t="s">
        <v>32</v>
      </c>
      <c r="E585" s="47" t="s">
        <v>26</v>
      </c>
      <c r="F585" s="47" t="s">
        <v>24</v>
      </c>
      <c r="G585" s="46">
        <v>634279</v>
      </c>
      <c r="H585" s="18" t="s">
        <v>107</v>
      </c>
      <c r="I585" s="26" t="str">
        <f t="shared" si="70"/>
        <v>Negueba</v>
      </c>
      <c r="J585" s="26" t="str">
        <f t="shared" si="71"/>
        <v>15Imperatriz - MA6</v>
      </c>
      <c r="K585" s="27" t="str">
        <f>IFERROR(VLOOKUP(J585,Substituicoes!J:J,1,0),"SS")</f>
        <v>SS</v>
      </c>
      <c r="L585" s="27" t="str">
        <f>IFERROR(VLOOKUP(J585,Substituicoes!K:K,1,0),"SS")</f>
        <v>SS</v>
      </c>
      <c r="M585" s="28" t="b">
        <f t="shared" si="72"/>
        <v>1</v>
      </c>
      <c r="N585" s="29">
        <f>IF(AND(K585=L585,LEFT(E585,1)="T"),VLOOKUP(A585,'JOGOS BASE'!A:E,4,0),IF(K585=J585,VLOOKUP(J585,Substituicoes!J:R,6,0),IF(L585=J585,VLOOKUP(Escalacao!J585,Substituicoes!K:R,7,0),0)))</f>
        <v>51</v>
      </c>
      <c r="O585" s="28">
        <f>IF(AND(K585=L585,LEFT(E585,1)="T"),VLOOKUP(A585,'JOGOS BASE'!A:E,5,0),IF(K585=J585,VLOOKUP(J585,Substituicoes!J:R,7,0),IF(L585=J585,VLOOKUP(Escalacao!J585,Substituicoes!K:R,8,0),0)))</f>
        <v>45</v>
      </c>
      <c r="P585" s="28">
        <f t="shared" si="73"/>
        <v>96</v>
      </c>
      <c r="Q585" s="28" t="str">
        <f t="shared" si="74"/>
        <v>156Imperatriz - MA</v>
      </c>
      <c r="R585" s="28" t="str">
        <f>VLOOKUP(A585,'JOGOS BASE'!A:H,8)</f>
        <v>29.01.2025 - Imperatriz - MA x Viana - MA</v>
      </c>
    </row>
    <row r="586" spans="1:18" ht="30.6">
      <c r="A586" s="15">
        <v>15</v>
      </c>
      <c r="B586" s="46">
        <v>7</v>
      </c>
      <c r="C586" s="45" t="s">
        <v>569</v>
      </c>
      <c r="D586" s="45" t="s">
        <v>570</v>
      </c>
      <c r="E586" s="47" t="s">
        <v>26</v>
      </c>
      <c r="F586" s="47" t="s">
        <v>24</v>
      </c>
      <c r="G586" s="46">
        <v>644343</v>
      </c>
      <c r="H586" s="18" t="s">
        <v>107</v>
      </c>
      <c r="I586" s="26" t="str">
        <f t="shared" si="70"/>
        <v>WESLLEY</v>
      </c>
      <c r="J586" s="26" t="str">
        <f t="shared" si="71"/>
        <v>15Imperatriz - MA7</v>
      </c>
      <c r="K586" s="27" t="str">
        <f>IFERROR(VLOOKUP(J586,Substituicoes!J:J,1,0),"SS")</f>
        <v>SS</v>
      </c>
      <c r="L586" s="27" t="str">
        <f>IFERROR(VLOOKUP(J586,Substituicoes!K:K,1,0),"SS")</f>
        <v>SS</v>
      </c>
      <c r="M586" s="28" t="b">
        <f t="shared" si="72"/>
        <v>1</v>
      </c>
      <c r="N586" s="29">
        <f>IF(AND(K586=L586,LEFT(E586,1)="T"),VLOOKUP(A586,'JOGOS BASE'!A:E,4,0),IF(K586=J586,VLOOKUP(J586,Substituicoes!J:R,6,0),IF(L586=J586,VLOOKUP(Escalacao!J586,Substituicoes!K:R,7,0),0)))</f>
        <v>51</v>
      </c>
      <c r="O586" s="28">
        <f>IF(AND(K586=L586,LEFT(E586,1)="T"),VLOOKUP(A586,'JOGOS BASE'!A:E,5,0),IF(K586=J586,VLOOKUP(J586,Substituicoes!J:R,7,0),IF(L586=J586,VLOOKUP(Escalacao!J586,Substituicoes!K:R,8,0),0)))</f>
        <v>45</v>
      </c>
      <c r="P586" s="28">
        <f t="shared" si="73"/>
        <v>96</v>
      </c>
      <c r="Q586" s="28" t="str">
        <f t="shared" si="74"/>
        <v>157Imperatriz - MA</v>
      </c>
      <c r="R586" s="28" t="str">
        <f>VLOOKUP(A586,'JOGOS BASE'!A:H,8)</f>
        <v>29.01.2025 - Imperatriz - MA x Viana - MA</v>
      </c>
    </row>
    <row r="587" spans="1:18" ht="30.6">
      <c r="A587" s="15">
        <v>15</v>
      </c>
      <c r="B587" s="46">
        <v>8</v>
      </c>
      <c r="C587" s="45" t="s">
        <v>51</v>
      </c>
      <c r="D587" s="45" t="s">
        <v>52</v>
      </c>
      <c r="E587" s="47" t="s">
        <v>26</v>
      </c>
      <c r="F587" s="47" t="s">
        <v>24</v>
      </c>
      <c r="G587" s="46">
        <v>611147</v>
      </c>
      <c r="H587" s="18" t="s">
        <v>107</v>
      </c>
      <c r="I587" s="26" t="str">
        <f t="shared" si="70"/>
        <v>WYLDSON</v>
      </c>
      <c r="J587" s="26" t="str">
        <f t="shared" si="71"/>
        <v>15Imperatriz - MA8</v>
      </c>
      <c r="K587" s="27" t="str">
        <f>IFERROR(VLOOKUP(J587,Substituicoes!J:J,1,0),"SS")</f>
        <v>SS</v>
      </c>
      <c r="L587" s="27" t="str">
        <f>IFERROR(VLOOKUP(J587,Substituicoes!K:K,1,0),"SS")</f>
        <v>15Imperatriz - MA8</v>
      </c>
      <c r="M587" s="28" t="b">
        <f t="shared" si="72"/>
        <v>0</v>
      </c>
      <c r="N587" s="29">
        <f>IF(AND(K587=L587,LEFT(E587,1)="T"),VLOOKUP(A587,'JOGOS BASE'!A:E,4,0),IF(K587=J587,VLOOKUP(J587,Substituicoes!J:R,6,0),IF(L587=J587,VLOOKUP(Escalacao!J587,Substituicoes!K:R,7,0),0)))</f>
        <v>51</v>
      </c>
      <c r="O587" s="28">
        <f>IF(AND(K587=L587,LEFT(E587,1)="T"),VLOOKUP(A587,'JOGOS BASE'!A:E,5,0),IF(K587=J587,VLOOKUP(J587,Substituicoes!J:R,7,0),IF(L587=J587,VLOOKUP(Escalacao!J587,Substituicoes!K:R,8,0),0)))</f>
        <v>18</v>
      </c>
      <c r="P587" s="28">
        <f t="shared" si="73"/>
        <v>69</v>
      </c>
      <c r="Q587" s="28" t="str">
        <f t="shared" si="74"/>
        <v>158Imperatriz - MA</v>
      </c>
      <c r="R587" s="28" t="str">
        <f>VLOOKUP(A587,'JOGOS BASE'!A:H,8)</f>
        <v>29.01.2025 - Imperatriz - MA x Viana - MA</v>
      </c>
    </row>
    <row r="588" spans="1:18" ht="30.6">
      <c r="A588" s="15">
        <v>15</v>
      </c>
      <c r="B588" s="46">
        <v>9</v>
      </c>
      <c r="C588" s="45" t="s">
        <v>6</v>
      </c>
      <c r="D588" s="45" t="s">
        <v>35</v>
      </c>
      <c r="E588" s="47" t="s">
        <v>26</v>
      </c>
      <c r="F588" s="47" t="s">
        <v>24</v>
      </c>
      <c r="G588" s="46">
        <v>637641</v>
      </c>
      <c r="H588" s="18" t="s">
        <v>107</v>
      </c>
      <c r="I588" s="26" t="str">
        <f t="shared" si="70"/>
        <v>Lussandro</v>
      </c>
      <c r="J588" s="26" t="str">
        <f t="shared" si="71"/>
        <v>15Imperatriz - MA9</v>
      </c>
      <c r="K588" s="27" t="str">
        <f>IFERROR(VLOOKUP(J588,Substituicoes!J:J,1,0),"SS")</f>
        <v>SS</v>
      </c>
      <c r="L588" s="27" t="str">
        <f>IFERROR(VLOOKUP(J588,Substituicoes!K:K,1,0),"SS")</f>
        <v>SS</v>
      </c>
      <c r="M588" s="28" t="b">
        <f t="shared" si="72"/>
        <v>1</v>
      </c>
      <c r="N588" s="29">
        <f>IF(AND(K588=L588,LEFT(E588,1)="T"),VLOOKUP(A588,'JOGOS BASE'!A:E,4,0),IF(K588=J588,VLOOKUP(J588,Substituicoes!J:R,6,0),IF(L588=J588,VLOOKUP(Escalacao!J588,Substituicoes!K:R,7,0),0)))</f>
        <v>51</v>
      </c>
      <c r="O588" s="28">
        <f>IF(AND(K588=L588,LEFT(E588,1)="T"),VLOOKUP(A588,'JOGOS BASE'!A:E,5,0),IF(K588=J588,VLOOKUP(J588,Substituicoes!J:R,7,0),IF(L588=J588,VLOOKUP(Escalacao!J588,Substituicoes!K:R,8,0),0)))</f>
        <v>45</v>
      </c>
      <c r="P588" s="28">
        <f t="shared" si="73"/>
        <v>96</v>
      </c>
      <c r="Q588" s="28" t="str">
        <f t="shared" si="74"/>
        <v>159Imperatriz - MA</v>
      </c>
      <c r="R588" s="28" t="str">
        <f>VLOOKUP(A588,'JOGOS BASE'!A:H,8)</f>
        <v>29.01.2025 - Imperatriz - MA x Viana - MA</v>
      </c>
    </row>
    <row r="589" spans="1:18" ht="30.6">
      <c r="A589" s="15">
        <v>15</v>
      </c>
      <c r="B589" s="46">
        <v>10</v>
      </c>
      <c r="C589" s="45" t="s">
        <v>36</v>
      </c>
      <c r="D589" s="45" t="s">
        <v>37</v>
      </c>
      <c r="E589" s="47" t="s">
        <v>26</v>
      </c>
      <c r="F589" s="47" t="s">
        <v>24</v>
      </c>
      <c r="G589" s="46">
        <v>293426</v>
      </c>
      <c r="H589" s="18" t="s">
        <v>107</v>
      </c>
      <c r="I589" s="26" t="str">
        <f t="shared" si="70"/>
        <v>Henrique S ...</v>
      </c>
      <c r="J589" s="26" t="str">
        <f t="shared" si="71"/>
        <v>15Imperatriz - MA10</v>
      </c>
      <c r="K589" s="27" t="str">
        <f>IFERROR(VLOOKUP(J589,Substituicoes!J:J,1,0),"SS")</f>
        <v>SS</v>
      </c>
      <c r="L589" s="27" t="str">
        <f>IFERROR(VLOOKUP(J589,Substituicoes!K:K,1,0),"SS")</f>
        <v>15Imperatriz - MA10</v>
      </c>
      <c r="M589" s="28" t="b">
        <f t="shared" si="72"/>
        <v>0</v>
      </c>
      <c r="N589" s="29">
        <f>IF(AND(K589=L589,LEFT(E589,1)="T"),VLOOKUP(A589,'JOGOS BASE'!A:E,4,0),IF(K589=J589,VLOOKUP(J589,Substituicoes!J:R,6,0),IF(L589=J589,VLOOKUP(Escalacao!J589,Substituicoes!K:R,7,0),0)))</f>
        <v>51</v>
      </c>
      <c r="O589" s="28">
        <f>IF(AND(K589=L589,LEFT(E589,1)="T"),VLOOKUP(A589,'JOGOS BASE'!A:E,5,0),IF(K589=J589,VLOOKUP(J589,Substituicoes!J:R,7,0),IF(L589=J589,VLOOKUP(Escalacao!J589,Substituicoes!K:R,8,0),0)))</f>
        <v>26</v>
      </c>
      <c r="P589" s="28">
        <f t="shared" si="73"/>
        <v>77</v>
      </c>
      <c r="Q589" s="28" t="str">
        <f t="shared" si="74"/>
        <v>1510Imperatriz - MA</v>
      </c>
      <c r="R589" s="28" t="str">
        <f>VLOOKUP(A589,'JOGOS BASE'!A:H,8)</f>
        <v>29.01.2025 - Imperatriz - MA x Viana - MA</v>
      </c>
    </row>
    <row r="590" spans="1:18" ht="20.399999999999999">
      <c r="A590" s="15">
        <v>15</v>
      </c>
      <c r="B590" s="46">
        <v>19</v>
      </c>
      <c r="C590" s="45" t="s">
        <v>7</v>
      </c>
      <c r="D590" s="45" t="s">
        <v>38</v>
      </c>
      <c r="E590" s="47" t="s">
        <v>26</v>
      </c>
      <c r="F590" s="47" t="s">
        <v>24</v>
      </c>
      <c r="G590" s="46">
        <v>386286</v>
      </c>
      <c r="H590" s="18" t="s">
        <v>107</v>
      </c>
      <c r="I590" s="26" t="str">
        <f t="shared" si="70"/>
        <v>Café</v>
      </c>
      <c r="J590" s="26" t="str">
        <f t="shared" si="71"/>
        <v>15Imperatriz - MA19</v>
      </c>
      <c r="K590" s="27" t="str">
        <f>IFERROR(VLOOKUP(J590,Substituicoes!J:J,1,0),"SS")</f>
        <v>SS</v>
      </c>
      <c r="L590" s="27" t="str">
        <f>IFERROR(VLOOKUP(J590,Substituicoes!K:K,1,0),"SS")</f>
        <v>15Imperatriz - MA19</v>
      </c>
      <c r="M590" s="28" t="b">
        <f t="shared" si="72"/>
        <v>0</v>
      </c>
      <c r="N590" s="29">
        <f>IF(AND(K590=L590,LEFT(E590,1)="T"),VLOOKUP(A590,'JOGOS BASE'!A:E,4,0),IF(K590=J590,VLOOKUP(J590,Substituicoes!J:R,6,0),IF(L590=J590,VLOOKUP(Escalacao!J590,Substituicoes!K:R,7,0),0)))</f>
        <v>51</v>
      </c>
      <c r="O590" s="28">
        <f>IF(AND(K590=L590,LEFT(E590,1)="T"),VLOOKUP(A590,'JOGOS BASE'!A:E,5,0),IF(K590=J590,VLOOKUP(J590,Substituicoes!J:R,7,0),IF(L590=J590,VLOOKUP(Escalacao!J590,Substituicoes!K:R,8,0),0)))</f>
        <v>26</v>
      </c>
      <c r="P590" s="28">
        <f t="shared" si="73"/>
        <v>77</v>
      </c>
      <c r="Q590" s="28" t="str">
        <f t="shared" si="74"/>
        <v>1519Imperatriz - MA</v>
      </c>
      <c r="R590" s="28" t="str">
        <f>VLOOKUP(A590,'JOGOS BASE'!A:H,8)</f>
        <v>29.01.2025 - Imperatriz - MA x Viana - MA</v>
      </c>
    </row>
    <row r="591" spans="1:18" ht="30.6">
      <c r="A591" s="15">
        <v>15</v>
      </c>
      <c r="B591" s="46">
        <v>12</v>
      </c>
      <c r="C591" s="45" t="s">
        <v>8</v>
      </c>
      <c r="D591" s="45" t="s">
        <v>39</v>
      </c>
      <c r="E591" s="47" t="s">
        <v>40</v>
      </c>
      <c r="F591" s="47" t="s">
        <v>24</v>
      </c>
      <c r="G591" s="46">
        <v>426518</v>
      </c>
      <c r="H591" s="18" t="s">
        <v>107</v>
      </c>
      <c r="I591" s="26" t="str">
        <f t="shared" si="70"/>
        <v>Redson</v>
      </c>
      <c r="J591" s="26" t="str">
        <f t="shared" si="71"/>
        <v>15Imperatriz - MA12</v>
      </c>
      <c r="K591" s="27" t="str">
        <f>IFERROR(VLOOKUP(J591,Substituicoes!J:J,1,0),"SS")</f>
        <v>SS</v>
      </c>
      <c r="L591" s="27" t="str">
        <f>IFERROR(VLOOKUP(J591,Substituicoes!K:K,1,0),"SS")</f>
        <v>SS</v>
      </c>
      <c r="M591" s="28" t="b">
        <f t="shared" si="72"/>
        <v>1</v>
      </c>
      <c r="N591" s="29">
        <f>IF(AND(K591=L591,LEFT(E591,1)="T"),VLOOKUP(A591,'JOGOS BASE'!A:E,4,0),IF(K591=J591,VLOOKUP(J591,Substituicoes!J:R,6,0),IF(L591=J591,VLOOKUP(Escalacao!J591,Substituicoes!K:R,7,0),0)))</f>
        <v>0</v>
      </c>
      <c r="O591" s="28">
        <f>IF(AND(K591=L591,LEFT(E591,1)="T"),VLOOKUP(A591,'JOGOS BASE'!A:E,5,0),IF(K591=J591,VLOOKUP(J591,Substituicoes!J:R,7,0),IF(L591=J591,VLOOKUP(Escalacao!J591,Substituicoes!K:R,8,0),0)))</f>
        <v>0</v>
      </c>
      <c r="P591" s="28">
        <f t="shared" si="73"/>
        <v>0</v>
      </c>
      <c r="Q591" s="28" t="str">
        <f t="shared" si="74"/>
        <v>1512Imperatriz - MA</v>
      </c>
      <c r="R591" s="28" t="str">
        <f>VLOOKUP(A591,'JOGOS BASE'!A:H,8)</f>
        <v>29.01.2025 - Imperatriz - MA x Viana - MA</v>
      </c>
    </row>
    <row r="592" spans="1:18" ht="30.6">
      <c r="A592" s="15">
        <v>15</v>
      </c>
      <c r="B592" s="46">
        <v>11</v>
      </c>
      <c r="C592" s="45" t="s">
        <v>11</v>
      </c>
      <c r="D592" s="45" t="s">
        <v>50</v>
      </c>
      <c r="E592" s="47" t="s">
        <v>42</v>
      </c>
      <c r="F592" s="47" t="s">
        <v>24</v>
      </c>
      <c r="G592" s="46">
        <v>753179</v>
      </c>
      <c r="H592" s="18" t="s">
        <v>107</v>
      </c>
      <c r="I592" s="26" t="str">
        <f t="shared" si="70"/>
        <v>Xinayder</v>
      </c>
      <c r="J592" s="26" t="str">
        <f t="shared" si="71"/>
        <v>15Imperatriz - MA11</v>
      </c>
      <c r="K592" s="27" t="str">
        <f>IFERROR(VLOOKUP(J592,Substituicoes!J:J,1,0),"SS")</f>
        <v>SS</v>
      </c>
      <c r="L592" s="27" t="str">
        <f>IFERROR(VLOOKUP(J592,Substituicoes!K:K,1,0),"SS")</f>
        <v>SS</v>
      </c>
      <c r="M592" s="28" t="b">
        <f t="shared" si="72"/>
        <v>1</v>
      </c>
      <c r="N592" s="29">
        <f>IF(AND(K592=L592,LEFT(E592,1)="T"),VLOOKUP(A592,'JOGOS BASE'!A:E,4,0),IF(K592=J592,VLOOKUP(J592,Substituicoes!J:R,6,0),IF(L592=J592,VLOOKUP(Escalacao!J592,Substituicoes!K:R,7,0),0)))</f>
        <v>0</v>
      </c>
      <c r="O592" s="28">
        <f>IF(AND(K592=L592,LEFT(E592,1)="T"),VLOOKUP(A592,'JOGOS BASE'!A:E,5,0),IF(K592=J592,VLOOKUP(J592,Substituicoes!J:R,7,0),IF(L592=J592,VLOOKUP(Escalacao!J592,Substituicoes!K:R,8,0),0)))</f>
        <v>0</v>
      </c>
      <c r="P592" s="28">
        <f t="shared" si="73"/>
        <v>0</v>
      </c>
      <c r="Q592" s="28" t="str">
        <f t="shared" si="74"/>
        <v>1511Imperatriz - MA</v>
      </c>
      <c r="R592" s="28" t="str">
        <f>VLOOKUP(A592,'JOGOS BASE'!A:H,8)</f>
        <v>29.01.2025 - Imperatriz - MA x Viana - MA</v>
      </c>
    </row>
    <row r="593" spans="1:18" ht="30.6">
      <c r="A593" s="15">
        <v>15</v>
      </c>
      <c r="B593" s="46">
        <v>13</v>
      </c>
      <c r="C593" s="45" t="s">
        <v>43</v>
      </c>
      <c r="D593" s="45" t="s">
        <v>44</v>
      </c>
      <c r="E593" s="47" t="s">
        <v>42</v>
      </c>
      <c r="F593" s="47" t="s">
        <v>24</v>
      </c>
      <c r="G593" s="46">
        <v>782606</v>
      </c>
      <c r="H593" s="18" t="s">
        <v>107</v>
      </c>
      <c r="I593" s="26" t="str">
        <f t="shared" si="70"/>
        <v>Raylson</v>
      </c>
      <c r="J593" s="26" t="str">
        <f t="shared" si="71"/>
        <v>15Imperatriz - MA13</v>
      </c>
      <c r="K593" s="27" t="str">
        <f>IFERROR(VLOOKUP(J593,Substituicoes!J:J,1,0),"SS")</f>
        <v>15Imperatriz - MA13</v>
      </c>
      <c r="L593" s="27" t="str">
        <f>IFERROR(VLOOKUP(J593,Substituicoes!K:K,1,0),"SS")</f>
        <v>SS</v>
      </c>
      <c r="M593" s="28" t="b">
        <f t="shared" si="72"/>
        <v>0</v>
      </c>
      <c r="N593" s="29">
        <f>IF(AND(K593=L593,LEFT(E593,1)="T"),VLOOKUP(A593,'JOGOS BASE'!A:E,4,0),IF(K593=J593,VLOOKUP(J593,Substituicoes!J:R,6,0),IF(L593=J593,VLOOKUP(Escalacao!J593,Substituicoes!K:R,7,0),0)))</f>
        <v>0</v>
      </c>
      <c r="O593" s="28">
        <f>IF(AND(K593=L593,LEFT(E593,1)="T"),VLOOKUP(A593,'JOGOS BASE'!A:E,5,0),IF(K593=J593,VLOOKUP(J593,Substituicoes!J:R,7,0),IF(L593=J593,VLOOKUP(Escalacao!J593,Substituicoes!K:R,8,0),0)))</f>
        <v>45</v>
      </c>
      <c r="P593" s="28">
        <f t="shared" si="73"/>
        <v>45</v>
      </c>
      <c r="Q593" s="28" t="str">
        <f t="shared" si="74"/>
        <v>1513Imperatriz - MA</v>
      </c>
      <c r="R593" s="28" t="str">
        <f>VLOOKUP(A593,'JOGOS BASE'!A:H,8)</f>
        <v>29.01.2025 - Imperatriz - MA x Viana - MA</v>
      </c>
    </row>
    <row r="594" spans="1:18" ht="30.6">
      <c r="A594" s="15">
        <v>15</v>
      </c>
      <c r="B594" s="46">
        <v>14</v>
      </c>
      <c r="C594" s="45" t="s">
        <v>565</v>
      </c>
      <c r="D594" s="45" t="s">
        <v>566</v>
      </c>
      <c r="E594" s="47" t="s">
        <v>42</v>
      </c>
      <c r="F594" s="47" t="s">
        <v>24</v>
      </c>
      <c r="G594" s="46">
        <v>300045</v>
      </c>
      <c r="H594" s="18" t="s">
        <v>107</v>
      </c>
      <c r="I594" s="26" t="str">
        <f t="shared" si="70"/>
        <v>Gleidson</v>
      </c>
      <c r="J594" s="26" t="str">
        <f t="shared" si="71"/>
        <v>15Imperatriz - MA14</v>
      </c>
      <c r="K594" s="27" t="str">
        <f>IFERROR(VLOOKUP(J594,Substituicoes!J:J,1,0),"SS")</f>
        <v>15Imperatriz - MA14</v>
      </c>
      <c r="L594" s="27" t="str">
        <f>IFERROR(VLOOKUP(J594,Substituicoes!K:K,1,0),"SS")</f>
        <v>SS</v>
      </c>
      <c r="M594" s="28" t="b">
        <f t="shared" si="72"/>
        <v>0</v>
      </c>
      <c r="N594" s="29">
        <f>IF(AND(K594=L594,LEFT(E594,1)="T"),VLOOKUP(A594,'JOGOS BASE'!A:E,4,0),IF(K594=J594,VLOOKUP(J594,Substituicoes!J:R,6,0),IF(L594=J594,VLOOKUP(Escalacao!J594,Substituicoes!K:R,7,0),0)))</f>
        <v>0</v>
      </c>
      <c r="O594" s="28">
        <f>IF(AND(K594=L594,LEFT(E594,1)="T"),VLOOKUP(A594,'JOGOS BASE'!A:E,5,0),IF(K594=J594,VLOOKUP(J594,Substituicoes!J:R,7,0),IF(L594=J594,VLOOKUP(Escalacao!J594,Substituicoes!K:R,8,0),0)))</f>
        <v>45</v>
      </c>
      <c r="P594" s="28">
        <f t="shared" si="73"/>
        <v>45</v>
      </c>
      <c r="Q594" s="28" t="str">
        <f t="shared" si="74"/>
        <v>1514Imperatriz - MA</v>
      </c>
      <c r="R594" s="28" t="str">
        <f>VLOOKUP(A594,'JOGOS BASE'!A:H,8)</f>
        <v>29.01.2025 - Imperatriz - MA x Viana - MA</v>
      </c>
    </row>
    <row r="595" spans="1:18" ht="30.6">
      <c r="A595" s="15">
        <v>15</v>
      </c>
      <c r="B595" s="46">
        <v>15</v>
      </c>
      <c r="C595" s="45" t="s">
        <v>45</v>
      </c>
      <c r="D595" s="45" t="s">
        <v>46</v>
      </c>
      <c r="E595" s="47" t="s">
        <v>42</v>
      </c>
      <c r="F595" s="47" t="s">
        <v>24</v>
      </c>
      <c r="G595" s="46">
        <v>500483</v>
      </c>
      <c r="H595" s="18" t="s">
        <v>107</v>
      </c>
      <c r="I595" s="26" t="str">
        <f t="shared" si="70"/>
        <v>CARLOS</v>
      </c>
      <c r="J595" s="26" t="str">
        <f t="shared" si="71"/>
        <v>15Imperatriz - MA15</v>
      </c>
      <c r="K595" s="27" t="str">
        <f>IFERROR(VLOOKUP(J595,Substituicoes!J:J,1,0),"SS")</f>
        <v>15Imperatriz - MA15</v>
      </c>
      <c r="L595" s="27" t="str">
        <f>IFERROR(VLOOKUP(J595,Substituicoes!K:K,1,0),"SS")</f>
        <v>SS</v>
      </c>
      <c r="M595" s="28" t="b">
        <f t="shared" si="72"/>
        <v>0</v>
      </c>
      <c r="N595" s="29">
        <f>IF(AND(K595=L595,LEFT(E595,1)="T"),VLOOKUP(A595,'JOGOS BASE'!A:E,4,0),IF(K595=J595,VLOOKUP(J595,Substituicoes!J:R,6,0),IF(L595=J595,VLOOKUP(Escalacao!J595,Substituicoes!K:R,7,0),0)))</f>
        <v>0</v>
      </c>
      <c r="O595" s="28">
        <f>IF(AND(K595=L595,LEFT(E595,1)="T"),VLOOKUP(A595,'JOGOS BASE'!A:E,5,0),IF(K595=J595,VLOOKUP(J595,Substituicoes!J:R,7,0),IF(L595=J595,VLOOKUP(Escalacao!J595,Substituicoes!K:R,8,0),0)))</f>
        <v>27</v>
      </c>
      <c r="P595" s="28">
        <f t="shared" si="73"/>
        <v>27</v>
      </c>
      <c r="Q595" s="28" t="str">
        <f t="shared" si="74"/>
        <v>1515Imperatriz - MA</v>
      </c>
      <c r="R595" s="28" t="str">
        <f>VLOOKUP(A595,'JOGOS BASE'!A:H,8)</f>
        <v>29.01.2025 - Imperatriz - MA x Viana - MA</v>
      </c>
    </row>
    <row r="596" spans="1:18" ht="30.6">
      <c r="A596" s="15">
        <v>15</v>
      </c>
      <c r="B596" s="46">
        <v>16</v>
      </c>
      <c r="C596" s="45" t="s">
        <v>561</v>
      </c>
      <c r="D596" s="45" t="s">
        <v>562</v>
      </c>
      <c r="E596" s="47" t="s">
        <v>42</v>
      </c>
      <c r="F596" s="47" t="s">
        <v>24</v>
      </c>
      <c r="G596" s="46">
        <v>191387</v>
      </c>
      <c r="H596" s="18" t="s">
        <v>107</v>
      </c>
      <c r="I596" s="26" t="str">
        <f t="shared" si="70"/>
        <v>Ceara</v>
      </c>
      <c r="J596" s="26" t="str">
        <f t="shared" si="71"/>
        <v>15Imperatriz - MA16</v>
      </c>
      <c r="K596" s="27" t="str">
        <f>IFERROR(VLOOKUP(J596,Substituicoes!J:J,1,0),"SS")</f>
        <v>SS</v>
      </c>
      <c r="L596" s="27" t="str">
        <f>IFERROR(VLOOKUP(J596,Substituicoes!K:K,1,0),"SS")</f>
        <v>SS</v>
      </c>
      <c r="M596" s="28" t="b">
        <f t="shared" si="72"/>
        <v>1</v>
      </c>
      <c r="N596" s="29">
        <f>IF(AND(K596=L596,LEFT(E596,1)="T"),VLOOKUP(A596,'JOGOS BASE'!A:E,4,0),IF(K596=J596,VLOOKUP(J596,Substituicoes!J:R,6,0),IF(L596=J596,VLOOKUP(Escalacao!J596,Substituicoes!K:R,7,0),0)))</f>
        <v>0</v>
      </c>
      <c r="O596" s="28">
        <f>IF(AND(K596=L596,LEFT(E596,1)="T"),VLOOKUP(A596,'JOGOS BASE'!A:E,5,0),IF(K596=J596,VLOOKUP(J596,Substituicoes!J:R,7,0),IF(L596=J596,VLOOKUP(Escalacao!J596,Substituicoes!K:R,8,0),0)))</f>
        <v>0</v>
      </c>
      <c r="P596" s="28">
        <f t="shared" si="73"/>
        <v>0</v>
      </c>
      <c r="Q596" s="28" t="str">
        <f t="shared" si="74"/>
        <v>1516Imperatriz - MA</v>
      </c>
      <c r="R596" s="28" t="str">
        <f>VLOOKUP(A596,'JOGOS BASE'!A:H,8)</f>
        <v>29.01.2025 - Imperatriz - MA x Viana - MA</v>
      </c>
    </row>
    <row r="597" spans="1:18" ht="20.399999999999999">
      <c r="A597" s="15">
        <v>15</v>
      </c>
      <c r="B597" s="46">
        <v>17</v>
      </c>
      <c r="C597" s="45" t="s">
        <v>4</v>
      </c>
      <c r="D597" s="45" t="s">
        <v>639</v>
      </c>
      <c r="E597" s="47" t="s">
        <v>42</v>
      </c>
      <c r="F597" s="47" t="s">
        <v>24</v>
      </c>
      <c r="G597" s="46">
        <v>502967</v>
      </c>
      <c r="H597" s="18" t="s">
        <v>107</v>
      </c>
      <c r="I597" s="26" t="str">
        <f t="shared" si="70"/>
        <v>Felipinho</v>
      </c>
      <c r="J597" s="26" t="str">
        <f t="shared" si="71"/>
        <v>15Imperatriz - MA17</v>
      </c>
      <c r="K597" s="27" t="str">
        <f>IFERROR(VLOOKUP(J597,Substituicoes!J:J,1,0),"SS")</f>
        <v>SS</v>
      </c>
      <c r="L597" s="27" t="str">
        <f>IFERROR(VLOOKUP(J597,Substituicoes!K:K,1,0),"SS")</f>
        <v>SS</v>
      </c>
      <c r="M597" s="28" t="b">
        <f t="shared" si="72"/>
        <v>1</v>
      </c>
      <c r="N597" s="29">
        <f>IF(AND(K597=L597,LEFT(E597,1)="T"),VLOOKUP(A597,'JOGOS BASE'!A:E,4,0),IF(K597=J597,VLOOKUP(J597,Substituicoes!J:R,6,0),IF(L597=J597,VLOOKUP(Escalacao!J597,Substituicoes!K:R,7,0),0)))</f>
        <v>0</v>
      </c>
      <c r="O597" s="28">
        <f>IF(AND(K597=L597,LEFT(E597,1)="T"),VLOOKUP(A597,'JOGOS BASE'!A:E,5,0),IF(K597=J597,VLOOKUP(J597,Substituicoes!J:R,7,0),IF(L597=J597,VLOOKUP(Escalacao!J597,Substituicoes!K:R,8,0),0)))</f>
        <v>0</v>
      </c>
      <c r="P597" s="28">
        <f t="shared" si="73"/>
        <v>0</v>
      </c>
      <c r="Q597" s="28" t="str">
        <f t="shared" si="74"/>
        <v>1517Imperatriz - MA</v>
      </c>
      <c r="R597" s="28" t="str">
        <f>VLOOKUP(A597,'JOGOS BASE'!A:H,8)</f>
        <v>29.01.2025 - Imperatriz - MA x Viana - MA</v>
      </c>
    </row>
    <row r="598" spans="1:18" ht="30.6">
      <c r="A598" s="15">
        <v>15</v>
      </c>
      <c r="B598" s="46">
        <v>18</v>
      </c>
      <c r="C598" s="45" t="s">
        <v>567</v>
      </c>
      <c r="D598" s="45" t="s">
        <v>568</v>
      </c>
      <c r="E598" s="47" t="s">
        <v>42</v>
      </c>
      <c r="F598" s="47" t="s">
        <v>24</v>
      </c>
      <c r="G598" s="46">
        <v>179773</v>
      </c>
      <c r="H598" s="18" t="s">
        <v>107</v>
      </c>
      <c r="I598" s="26" t="str">
        <f t="shared" si="70"/>
        <v>Rafael Gra ...</v>
      </c>
      <c r="J598" s="26" t="str">
        <f t="shared" si="71"/>
        <v>15Imperatriz - MA18</v>
      </c>
      <c r="K598" s="27" t="str">
        <f>IFERROR(VLOOKUP(J598,Substituicoes!J:J,1,0),"SS")</f>
        <v>15Imperatriz - MA18</v>
      </c>
      <c r="L598" s="27" t="str">
        <f>IFERROR(VLOOKUP(J598,Substituicoes!K:K,1,0),"SS")</f>
        <v>SS</v>
      </c>
      <c r="M598" s="28" t="b">
        <f t="shared" si="72"/>
        <v>0</v>
      </c>
      <c r="N598" s="29">
        <f>IF(AND(K598=L598,LEFT(E598,1)="T"),VLOOKUP(A598,'JOGOS BASE'!A:E,4,0),IF(K598=J598,VLOOKUP(J598,Substituicoes!J:R,6,0),IF(L598=J598,VLOOKUP(Escalacao!J598,Substituicoes!K:R,7,0),0)))</f>
        <v>0</v>
      </c>
      <c r="O598" s="28">
        <f>IF(AND(K598=L598,LEFT(E598,1)="T"),VLOOKUP(A598,'JOGOS BASE'!A:E,5,0),IF(K598=J598,VLOOKUP(J598,Substituicoes!J:R,7,0),IF(L598=J598,VLOOKUP(Escalacao!J598,Substituicoes!K:R,8,0),0)))</f>
        <v>19</v>
      </c>
      <c r="P598" s="28">
        <f t="shared" si="73"/>
        <v>19</v>
      </c>
      <c r="Q598" s="28" t="str">
        <f t="shared" si="74"/>
        <v>1518Imperatriz - MA</v>
      </c>
      <c r="R598" s="28" t="str">
        <f>VLOOKUP(A598,'JOGOS BASE'!A:H,8)</f>
        <v>29.01.2025 - Imperatriz - MA x Viana - MA</v>
      </c>
    </row>
    <row r="599" spans="1:18" ht="20.399999999999999">
      <c r="A599" s="15">
        <v>15</v>
      </c>
      <c r="B599" s="46">
        <v>20</v>
      </c>
      <c r="C599" s="45" t="s">
        <v>4</v>
      </c>
      <c r="D599" s="45" t="s">
        <v>33</v>
      </c>
      <c r="E599" s="47" t="s">
        <v>42</v>
      </c>
      <c r="F599" s="47" t="s">
        <v>24</v>
      </c>
      <c r="G599" s="46">
        <v>546130</v>
      </c>
      <c r="H599" s="18" t="s">
        <v>107</v>
      </c>
      <c r="I599" s="26" t="str">
        <f t="shared" si="70"/>
        <v>Felipinho</v>
      </c>
      <c r="J599" s="26" t="str">
        <f t="shared" si="71"/>
        <v>15Imperatriz - MA20</v>
      </c>
      <c r="K599" s="27" t="str">
        <f>IFERROR(VLOOKUP(J599,Substituicoes!J:J,1,0),"SS")</f>
        <v>15Imperatriz - MA20</v>
      </c>
      <c r="L599" s="27" t="str">
        <f>IFERROR(VLOOKUP(J599,Substituicoes!K:K,1,0),"SS")</f>
        <v>SS</v>
      </c>
      <c r="M599" s="28" t="b">
        <f t="shared" si="72"/>
        <v>0</v>
      </c>
      <c r="N599" s="29">
        <f>IF(AND(K599=L599,LEFT(E599,1)="T"),VLOOKUP(A599,'JOGOS BASE'!A:E,4,0),IF(K599=J599,VLOOKUP(J599,Substituicoes!J:R,6,0),IF(L599=J599,VLOOKUP(Escalacao!J599,Substituicoes!K:R,7,0),0)))</f>
        <v>0</v>
      </c>
      <c r="O599" s="28">
        <f>IF(AND(K599=L599,LEFT(E599,1)="T"),VLOOKUP(A599,'JOGOS BASE'!A:E,5,0),IF(K599=J599,VLOOKUP(J599,Substituicoes!J:R,7,0),IF(L599=J599,VLOOKUP(Escalacao!J599,Substituicoes!K:R,8,0),0)))</f>
        <v>19</v>
      </c>
      <c r="P599" s="28">
        <f t="shared" si="73"/>
        <v>19</v>
      </c>
      <c r="Q599" s="28" t="str">
        <f t="shared" si="74"/>
        <v>1520Imperatriz - MA</v>
      </c>
      <c r="R599" s="28" t="str">
        <f>VLOOKUP(A599,'JOGOS BASE'!A:H,8)</f>
        <v>29.01.2025 - Imperatriz - MA x Viana - MA</v>
      </c>
    </row>
    <row r="600" spans="1:18" ht="30.6">
      <c r="A600" s="15">
        <v>15</v>
      </c>
      <c r="B600" s="46">
        <v>21</v>
      </c>
      <c r="C600" s="45" t="s">
        <v>47</v>
      </c>
      <c r="D600" s="45" t="s">
        <v>48</v>
      </c>
      <c r="E600" s="47" t="s">
        <v>42</v>
      </c>
      <c r="F600" s="47" t="s">
        <v>24</v>
      </c>
      <c r="G600" s="46">
        <v>762553</v>
      </c>
      <c r="H600" s="18" t="s">
        <v>107</v>
      </c>
      <c r="I600" s="26" t="str">
        <f t="shared" si="70"/>
        <v>ADRIAN</v>
      </c>
      <c r="J600" s="26" t="str">
        <f t="shared" si="71"/>
        <v>15Imperatriz - MA21</v>
      </c>
      <c r="K600" s="27" t="str">
        <f>IFERROR(VLOOKUP(J600,Substituicoes!J:J,1,0),"SS")</f>
        <v>SS</v>
      </c>
      <c r="L600" s="27" t="str">
        <f>IFERROR(VLOOKUP(J600,Substituicoes!K:K,1,0),"SS")</f>
        <v>SS</v>
      </c>
      <c r="M600" s="28" t="b">
        <f t="shared" si="72"/>
        <v>1</v>
      </c>
      <c r="N600" s="29">
        <f>IF(AND(K600=L600,LEFT(E600,1)="T"),VLOOKUP(A600,'JOGOS BASE'!A:E,4,0),IF(K600=J600,VLOOKUP(J600,Substituicoes!J:R,6,0),IF(L600=J600,VLOOKUP(Escalacao!J600,Substituicoes!K:R,7,0),0)))</f>
        <v>0</v>
      </c>
      <c r="O600" s="28">
        <f>IF(AND(K600=L600,LEFT(E600,1)="T"),VLOOKUP(A600,'JOGOS BASE'!A:E,5,0),IF(K600=J600,VLOOKUP(J600,Substituicoes!J:R,7,0),IF(L600=J600,VLOOKUP(Escalacao!J600,Substituicoes!K:R,8,0),0)))</f>
        <v>0</v>
      </c>
      <c r="P600" s="28">
        <f t="shared" si="73"/>
        <v>0</v>
      </c>
      <c r="Q600" s="28" t="str">
        <f t="shared" si="74"/>
        <v>1521Imperatriz - MA</v>
      </c>
      <c r="R600" s="28" t="str">
        <f>VLOOKUP(A600,'JOGOS BASE'!A:H,8)</f>
        <v>29.01.2025 - Imperatriz - MA x Viana - MA</v>
      </c>
    </row>
    <row r="601" spans="1:18" ht="30.6">
      <c r="A601" s="15">
        <v>15</v>
      </c>
      <c r="B601" s="46">
        <v>22</v>
      </c>
      <c r="C601" s="45" t="s">
        <v>57</v>
      </c>
      <c r="D601" s="45" t="s">
        <v>58</v>
      </c>
      <c r="E601" s="47" t="s">
        <v>42</v>
      </c>
      <c r="F601" s="47" t="s">
        <v>24</v>
      </c>
      <c r="G601" s="46">
        <v>762150</v>
      </c>
      <c r="H601" s="18" t="s">
        <v>107</v>
      </c>
      <c r="I601" s="26" t="str">
        <f t="shared" si="70"/>
        <v>Junior</v>
      </c>
      <c r="J601" s="26" t="str">
        <f t="shared" si="71"/>
        <v>15Imperatriz - MA22</v>
      </c>
      <c r="K601" s="27" t="str">
        <f>IFERROR(VLOOKUP(J601,Substituicoes!J:J,1,0),"SS")</f>
        <v>SS</v>
      </c>
      <c r="L601" s="27" t="str">
        <f>IFERROR(VLOOKUP(J601,Substituicoes!K:K,1,0),"SS")</f>
        <v>SS</v>
      </c>
      <c r="M601" s="28" t="b">
        <f t="shared" si="72"/>
        <v>1</v>
      </c>
      <c r="N601" s="29">
        <f>IF(AND(K601=L601,LEFT(E601,1)="T"),VLOOKUP(A601,'JOGOS BASE'!A:E,4,0),IF(K601=J601,VLOOKUP(J601,Substituicoes!J:R,6,0),IF(L601=J601,VLOOKUP(Escalacao!J601,Substituicoes!K:R,7,0),0)))</f>
        <v>0</v>
      </c>
      <c r="O601" s="28">
        <f>IF(AND(K601=L601,LEFT(E601,1)="T"),VLOOKUP(A601,'JOGOS BASE'!A:E,5,0),IF(K601=J601,VLOOKUP(J601,Substituicoes!J:R,7,0),IF(L601=J601,VLOOKUP(Escalacao!J601,Substituicoes!K:R,8,0),0)))</f>
        <v>0</v>
      </c>
      <c r="P601" s="28">
        <f t="shared" si="73"/>
        <v>0</v>
      </c>
      <c r="Q601" s="28" t="str">
        <f t="shared" si="74"/>
        <v>1522Imperatriz - MA</v>
      </c>
      <c r="R601" s="28" t="str">
        <f>VLOOKUP(A601,'JOGOS BASE'!A:H,8)</f>
        <v>29.01.2025 - Imperatriz - MA x Viana - MA</v>
      </c>
    </row>
    <row r="602" spans="1:18" ht="30.6">
      <c r="A602" s="15">
        <v>15</v>
      </c>
      <c r="B602" s="46">
        <v>23</v>
      </c>
      <c r="C602" s="45" t="s">
        <v>579</v>
      </c>
      <c r="D602" s="45" t="s">
        <v>580</v>
      </c>
      <c r="E602" s="47" t="s">
        <v>42</v>
      </c>
      <c r="F602" s="47" t="s">
        <v>24</v>
      </c>
      <c r="G602" s="46">
        <v>798027</v>
      </c>
      <c r="H602" s="18" t="s">
        <v>107</v>
      </c>
      <c r="I602" s="26" t="str">
        <f t="shared" si="70"/>
        <v>Alexsander</v>
      </c>
      <c r="J602" s="26" t="str">
        <f t="shared" si="71"/>
        <v>15Imperatriz - MA23</v>
      </c>
      <c r="K602" s="27" t="str">
        <f>IFERROR(VLOOKUP(J602,Substituicoes!J:J,1,0),"SS")</f>
        <v>SS</v>
      </c>
      <c r="L602" s="27" t="str">
        <f>IFERROR(VLOOKUP(J602,Substituicoes!K:K,1,0),"SS")</f>
        <v>SS</v>
      </c>
      <c r="M602" s="28" t="b">
        <f t="shared" si="72"/>
        <v>1</v>
      </c>
      <c r="N602" s="29">
        <f>IF(AND(K602=L602,LEFT(E602,1)="T"),VLOOKUP(A602,'JOGOS BASE'!A:E,4,0),IF(K602=J602,VLOOKUP(J602,Substituicoes!J:R,6,0),IF(L602=J602,VLOOKUP(Escalacao!J602,Substituicoes!K:R,7,0),0)))</f>
        <v>0</v>
      </c>
      <c r="O602" s="28">
        <f>IF(AND(K602=L602,LEFT(E602,1)="T"),VLOOKUP(A602,'JOGOS BASE'!A:E,5,0),IF(K602=J602,VLOOKUP(J602,Substituicoes!J:R,7,0),IF(L602=J602,VLOOKUP(Escalacao!J602,Substituicoes!K:R,8,0),0)))</f>
        <v>0</v>
      </c>
      <c r="P602" s="28">
        <f t="shared" si="73"/>
        <v>0</v>
      </c>
      <c r="Q602" s="28" t="str">
        <f t="shared" si="74"/>
        <v>1523Imperatriz - MA</v>
      </c>
      <c r="R602" s="28" t="str">
        <f>VLOOKUP(A602,'JOGOS BASE'!A:H,8)</f>
        <v>29.01.2025 - Imperatriz - MA x Viana - MA</v>
      </c>
    </row>
    <row r="603" spans="1:18" ht="30.6">
      <c r="A603" s="15">
        <v>15</v>
      </c>
      <c r="B603" s="46">
        <v>12</v>
      </c>
      <c r="C603" s="45" t="s">
        <v>250</v>
      </c>
      <c r="D603" s="45" t="s">
        <v>613</v>
      </c>
      <c r="E603" s="47" t="s">
        <v>23</v>
      </c>
      <c r="F603" s="47" t="s">
        <v>24</v>
      </c>
      <c r="G603" s="46">
        <v>648064</v>
      </c>
      <c r="H603" s="18" t="s">
        <v>381</v>
      </c>
      <c r="I603" s="26" t="str">
        <f t="shared" si="70"/>
        <v>LUCAS</v>
      </c>
      <c r="J603" s="26" t="str">
        <f t="shared" si="71"/>
        <v>15Viana - MA12</v>
      </c>
      <c r="K603" s="27" t="str">
        <f>IFERROR(VLOOKUP(J603,Substituicoes!J:J,1,0),"SS")</f>
        <v>SS</v>
      </c>
      <c r="L603" s="27" t="str">
        <f>IFERROR(VLOOKUP(J603,Substituicoes!K:K,1,0),"SS")</f>
        <v>15Viana - MA12</v>
      </c>
      <c r="M603" s="28" t="b">
        <f t="shared" si="72"/>
        <v>0</v>
      </c>
      <c r="N603" s="29">
        <f>IF(AND(K603=L603,LEFT(E603,1)="T"),VLOOKUP(A603,'JOGOS BASE'!A:E,4,0),IF(K603=J603,VLOOKUP(J603,Substituicoes!J:R,6,0),IF(L603=J603,VLOOKUP(Escalacao!J603,Substituicoes!K:R,7,0),0)))</f>
        <v>11</v>
      </c>
      <c r="O603" s="28">
        <f>IF(AND(K603=L603,LEFT(E603,1)="T"),VLOOKUP(A603,'JOGOS BASE'!A:E,5,0),IF(K603=J603,VLOOKUP(J603,Substituicoes!J:R,7,0),IF(L603=J603,VLOOKUP(Escalacao!J603,Substituicoes!K:R,8,0),0)))</f>
        <v>0</v>
      </c>
      <c r="P603" s="28">
        <f t="shared" si="73"/>
        <v>11</v>
      </c>
      <c r="Q603" s="28" t="str">
        <f t="shared" si="74"/>
        <v>1512Viana - MA</v>
      </c>
      <c r="R603" s="28" t="str">
        <f>VLOOKUP(A603,'JOGOS BASE'!A:H,8)</f>
        <v>29.01.2025 - Imperatriz - MA x Viana - MA</v>
      </c>
    </row>
    <row r="604" spans="1:18" ht="30.6">
      <c r="A604" s="15">
        <v>15</v>
      </c>
      <c r="B604" s="46">
        <v>2</v>
      </c>
      <c r="C604" s="45" t="s">
        <v>604</v>
      </c>
      <c r="D604" s="45" t="s">
        <v>605</v>
      </c>
      <c r="E604" s="47" t="s">
        <v>26</v>
      </c>
      <c r="F604" s="47" t="s">
        <v>24</v>
      </c>
      <c r="G604" s="46">
        <v>894365</v>
      </c>
      <c r="H604" s="18" t="s">
        <v>381</v>
      </c>
      <c r="I604" s="26" t="str">
        <f t="shared" si="70"/>
        <v>JAMILSON</v>
      </c>
      <c r="J604" s="26" t="str">
        <f t="shared" si="71"/>
        <v>15Viana - MA2</v>
      </c>
      <c r="K604" s="27" t="str">
        <f>IFERROR(VLOOKUP(J604,Substituicoes!J:J,1,0),"SS")</f>
        <v>SS</v>
      </c>
      <c r="L604" s="27" t="str">
        <f>IFERROR(VLOOKUP(J604,Substituicoes!K:K,1,0),"SS")</f>
        <v>15Viana - MA2</v>
      </c>
      <c r="M604" s="28" t="b">
        <f t="shared" si="72"/>
        <v>0</v>
      </c>
      <c r="N604" s="29">
        <f>IF(AND(K604=L604,LEFT(E604,1)="T"),VLOOKUP(A604,'JOGOS BASE'!A:E,4,0),IF(K604=J604,VLOOKUP(J604,Substituicoes!J:R,6,0),IF(L604=J604,VLOOKUP(Escalacao!J604,Substituicoes!K:R,7,0),0)))</f>
        <v>51</v>
      </c>
      <c r="O604" s="28">
        <f>IF(AND(K604=L604,LEFT(E604,1)="T"),VLOOKUP(A604,'JOGOS BASE'!A:E,5,0),IF(K604=J604,VLOOKUP(J604,Substituicoes!J:R,7,0),IF(L604=J604,VLOOKUP(Escalacao!J604,Substituicoes!K:R,8,0),0)))</f>
        <v>0</v>
      </c>
      <c r="P604" s="28">
        <f t="shared" si="73"/>
        <v>51</v>
      </c>
      <c r="Q604" s="28" t="str">
        <f t="shared" si="74"/>
        <v>152Viana - MA</v>
      </c>
      <c r="R604" s="28" t="str">
        <f>VLOOKUP(A604,'JOGOS BASE'!A:H,8)</f>
        <v>29.01.2025 - Imperatriz - MA x Viana - MA</v>
      </c>
    </row>
    <row r="605" spans="1:18" ht="30.6">
      <c r="A605" s="15">
        <v>15</v>
      </c>
      <c r="B605" s="46">
        <v>3</v>
      </c>
      <c r="C605" s="45" t="s">
        <v>339</v>
      </c>
      <c r="D605" s="45" t="s">
        <v>340</v>
      </c>
      <c r="E605" s="47" t="s">
        <v>26</v>
      </c>
      <c r="F605" s="47" t="s">
        <v>24</v>
      </c>
      <c r="G605" s="46">
        <v>396008</v>
      </c>
      <c r="H605" s="18" t="s">
        <v>381</v>
      </c>
      <c r="I605" s="26" t="str">
        <f t="shared" si="70"/>
        <v>Brener Bessa</v>
      </c>
      <c r="J605" s="26" t="str">
        <f t="shared" si="71"/>
        <v>15Viana - MA3</v>
      </c>
      <c r="K605" s="27" t="str">
        <f>IFERROR(VLOOKUP(J605,Substituicoes!J:J,1,0),"SS")</f>
        <v>SS</v>
      </c>
      <c r="L605" s="27" t="str">
        <f>IFERROR(VLOOKUP(J605,Substituicoes!K:K,1,0),"SS")</f>
        <v>15Viana - MA3</v>
      </c>
      <c r="M605" s="28" t="b">
        <f t="shared" si="72"/>
        <v>0</v>
      </c>
      <c r="N605" s="29">
        <f>IF(AND(K605=L605,LEFT(E605,1)="T"),VLOOKUP(A605,'JOGOS BASE'!A:E,4,0),IF(K605=J605,VLOOKUP(J605,Substituicoes!J:R,6,0),IF(L605=J605,VLOOKUP(Escalacao!J605,Substituicoes!K:R,7,0),0)))</f>
        <v>51</v>
      </c>
      <c r="O605" s="28">
        <f>IF(AND(K605=L605,LEFT(E605,1)="T"),VLOOKUP(A605,'JOGOS BASE'!A:E,5,0),IF(K605=J605,VLOOKUP(J605,Substituicoes!J:R,7,0),IF(L605=J605,VLOOKUP(Escalacao!J605,Substituicoes!K:R,8,0),0)))</f>
        <v>3</v>
      </c>
      <c r="P605" s="28">
        <f t="shared" si="73"/>
        <v>54</v>
      </c>
      <c r="Q605" s="28" t="str">
        <f t="shared" si="74"/>
        <v>153Viana - MA</v>
      </c>
      <c r="R605" s="28" t="str">
        <f>VLOOKUP(A605,'JOGOS BASE'!A:H,8)</f>
        <v>29.01.2025 - Imperatriz - MA x Viana - MA</v>
      </c>
    </row>
    <row r="606" spans="1:18" ht="20.399999999999999">
      <c r="A606" s="15">
        <v>15</v>
      </c>
      <c r="B606" s="46">
        <v>4</v>
      </c>
      <c r="C606" s="45" t="s">
        <v>606</v>
      </c>
      <c r="D606" s="45" t="s">
        <v>607</v>
      </c>
      <c r="E606" s="47" t="s">
        <v>26</v>
      </c>
      <c r="F606" s="47" t="s">
        <v>24</v>
      </c>
      <c r="G606" s="46">
        <v>709273</v>
      </c>
      <c r="H606" s="18" t="s">
        <v>381</v>
      </c>
      <c r="I606" s="26" t="str">
        <f t="shared" si="70"/>
        <v>CAIO</v>
      </c>
      <c r="J606" s="26" t="str">
        <f t="shared" si="71"/>
        <v>15Viana - MA4</v>
      </c>
      <c r="K606" s="27" t="str">
        <f>IFERROR(VLOOKUP(J606,Substituicoes!J:J,1,0),"SS")</f>
        <v>SS</v>
      </c>
      <c r="L606" s="27" t="str">
        <f>IFERROR(VLOOKUP(J606,Substituicoes!K:K,1,0),"SS")</f>
        <v>SS</v>
      </c>
      <c r="M606" s="28" t="b">
        <f t="shared" si="72"/>
        <v>1</v>
      </c>
      <c r="N606" s="29">
        <f>IF(AND(K606=L606,LEFT(E606,1)="T"),VLOOKUP(A606,'JOGOS BASE'!A:E,4,0),IF(K606=J606,VLOOKUP(J606,Substituicoes!J:R,6,0),IF(L606=J606,VLOOKUP(Escalacao!J606,Substituicoes!K:R,7,0),0)))</f>
        <v>51</v>
      </c>
      <c r="O606" s="28">
        <f>IF(AND(K606=L606,LEFT(E606,1)="T"),VLOOKUP(A606,'JOGOS BASE'!A:E,5,0),IF(K606=J606,VLOOKUP(J606,Substituicoes!J:R,7,0),IF(L606=J606,VLOOKUP(Escalacao!J606,Substituicoes!K:R,8,0),0)))</f>
        <v>45</v>
      </c>
      <c r="P606" s="28">
        <f t="shared" si="73"/>
        <v>96</v>
      </c>
      <c r="Q606" s="28" t="str">
        <f t="shared" si="74"/>
        <v>154Viana - MA</v>
      </c>
      <c r="R606" s="28" t="str">
        <f>VLOOKUP(A606,'JOGOS BASE'!A:H,8)</f>
        <v>29.01.2025 - Imperatriz - MA x Viana - MA</v>
      </c>
    </row>
    <row r="607" spans="1:18" ht="30.6">
      <c r="A607" s="15">
        <v>15</v>
      </c>
      <c r="B607" s="46">
        <v>5</v>
      </c>
      <c r="C607" s="45" t="s">
        <v>343</v>
      </c>
      <c r="D607" s="45" t="s">
        <v>344</v>
      </c>
      <c r="E607" s="47" t="s">
        <v>26</v>
      </c>
      <c r="F607" s="47" t="s">
        <v>24</v>
      </c>
      <c r="G607" s="46">
        <v>799878</v>
      </c>
      <c r="H607" s="18" t="s">
        <v>381</v>
      </c>
      <c r="I607" s="26" t="str">
        <f t="shared" si="70"/>
        <v>RIQUELME</v>
      </c>
      <c r="J607" s="26" t="str">
        <f t="shared" si="71"/>
        <v>15Viana - MA5</v>
      </c>
      <c r="K607" s="27" t="str">
        <f>IFERROR(VLOOKUP(J607,Substituicoes!J:J,1,0),"SS")</f>
        <v>SS</v>
      </c>
      <c r="L607" s="27" t="str">
        <f>IFERROR(VLOOKUP(J607,Substituicoes!K:K,1,0),"SS")</f>
        <v>SS</v>
      </c>
      <c r="M607" s="28" t="b">
        <f t="shared" si="72"/>
        <v>1</v>
      </c>
      <c r="N607" s="29">
        <f>IF(AND(K607=L607,LEFT(E607,1)="T"),VLOOKUP(A607,'JOGOS BASE'!A:E,4,0),IF(K607=J607,VLOOKUP(J607,Substituicoes!J:R,6,0),IF(L607=J607,VLOOKUP(Escalacao!J607,Substituicoes!K:R,7,0),0)))</f>
        <v>51</v>
      </c>
      <c r="O607" s="28">
        <f>IF(AND(K607=L607,LEFT(E607,1)="T"),VLOOKUP(A607,'JOGOS BASE'!A:E,5,0),IF(K607=J607,VLOOKUP(J607,Substituicoes!J:R,7,0),IF(L607=J607,VLOOKUP(Escalacao!J607,Substituicoes!K:R,8,0),0)))</f>
        <v>45</v>
      </c>
      <c r="P607" s="28">
        <f t="shared" si="73"/>
        <v>96</v>
      </c>
      <c r="Q607" s="28" t="str">
        <f t="shared" si="74"/>
        <v>155Viana - MA</v>
      </c>
      <c r="R607" s="28" t="str">
        <f>VLOOKUP(A607,'JOGOS BASE'!A:H,8)</f>
        <v>29.01.2025 - Imperatriz - MA x Viana - MA</v>
      </c>
    </row>
    <row r="608" spans="1:18" ht="30.6">
      <c r="A608" s="15">
        <v>15</v>
      </c>
      <c r="B608" s="46">
        <v>6</v>
      </c>
      <c r="C608" s="45" t="s">
        <v>345</v>
      </c>
      <c r="D608" s="45" t="s">
        <v>346</v>
      </c>
      <c r="E608" s="47" t="s">
        <v>26</v>
      </c>
      <c r="F608" s="47" t="s">
        <v>24</v>
      </c>
      <c r="G608" s="46">
        <v>621098</v>
      </c>
      <c r="H608" s="18" t="s">
        <v>381</v>
      </c>
      <c r="I608" s="26" t="str">
        <f t="shared" si="70"/>
        <v>Leleu</v>
      </c>
      <c r="J608" s="26" t="str">
        <f t="shared" si="71"/>
        <v>15Viana - MA6</v>
      </c>
      <c r="K608" s="27" t="str">
        <f>IFERROR(VLOOKUP(J608,Substituicoes!J:J,1,0),"SS")</f>
        <v>SS</v>
      </c>
      <c r="L608" s="27" t="str">
        <f>IFERROR(VLOOKUP(J608,Substituicoes!K:K,1,0),"SS")</f>
        <v>15Viana - MA6</v>
      </c>
      <c r="M608" s="28" t="b">
        <f t="shared" si="72"/>
        <v>0</v>
      </c>
      <c r="N608" s="29">
        <f>IF(AND(K608=L608,LEFT(E608,1)="T"),VLOOKUP(A608,'JOGOS BASE'!A:E,4,0),IF(K608=J608,VLOOKUP(J608,Substituicoes!J:R,6,0),IF(L608=J608,VLOOKUP(Escalacao!J608,Substituicoes!K:R,7,0),0)))</f>
        <v>51</v>
      </c>
      <c r="O608" s="28">
        <f>IF(AND(K608=L608,LEFT(E608,1)="T"),VLOOKUP(A608,'JOGOS BASE'!A:E,5,0),IF(K608=J608,VLOOKUP(J608,Substituicoes!J:R,7,0),IF(L608=J608,VLOOKUP(Escalacao!J608,Substituicoes!K:R,8,0),0)))</f>
        <v>0</v>
      </c>
      <c r="P608" s="28">
        <f t="shared" si="73"/>
        <v>51</v>
      </c>
      <c r="Q608" s="28" t="str">
        <f t="shared" si="74"/>
        <v>156Viana - MA</v>
      </c>
      <c r="R608" s="28" t="str">
        <f>VLOOKUP(A608,'JOGOS BASE'!A:H,8)</f>
        <v>29.01.2025 - Imperatriz - MA x Viana - MA</v>
      </c>
    </row>
    <row r="609" spans="1:18" ht="20.399999999999999">
      <c r="A609" s="15">
        <v>15</v>
      </c>
      <c r="B609" s="46">
        <v>7</v>
      </c>
      <c r="C609" s="45" t="s">
        <v>711</v>
      </c>
      <c r="D609" s="45" t="s">
        <v>712</v>
      </c>
      <c r="E609" s="47" t="s">
        <v>26</v>
      </c>
      <c r="F609" s="47" t="s">
        <v>24</v>
      </c>
      <c r="G609" s="46">
        <v>364614</v>
      </c>
      <c r="H609" s="18" t="s">
        <v>381</v>
      </c>
      <c r="I609" s="26" t="str">
        <f t="shared" si="70"/>
        <v>Amilcar</v>
      </c>
      <c r="J609" s="26" t="str">
        <f t="shared" si="71"/>
        <v>15Viana - MA7</v>
      </c>
      <c r="K609" s="27" t="str">
        <f>IFERROR(VLOOKUP(J609,Substituicoes!J:J,1,0),"SS")</f>
        <v>SS</v>
      </c>
      <c r="L609" s="27" t="str">
        <f>IFERROR(VLOOKUP(J609,Substituicoes!K:K,1,0),"SS")</f>
        <v>SS</v>
      </c>
      <c r="M609" s="28" t="b">
        <f t="shared" si="72"/>
        <v>1</v>
      </c>
      <c r="N609" s="29">
        <f>IF(AND(K609=L609,LEFT(E609,1)="T"),VLOOKUP(A609,'JOGOS BASE'!A:E,4,0),IF(K609=J609,VLOOKUP(J609,Substituicoes!J:R,6,0),IF(L609=J609,VLOOKUP(Escalacao!J609,Substituicoes!K:R,7,0),0)))</f>
        <v>51</v>
      </c>
      <c r="O609" s="28">
        <f>IF(AND(K609=L609,LEFT(E609,1)="T"),VLOOKUP(A609,'JOGOS BASE'!A:E,5,0),IF(K609=J609,VLOOKUP(J609,Substituicoes!J:R,7,0),IF(L609=J609,VLOOKUP(Escalacao!J609,Substituicoes!K:R,8,0),0)))</f>
        <v>45</v>
      </c>
      <c r="P609" s="28">
        <f t="shared" si="73"/>
        <v>96</v>
      </c>
      <c r="Q609" s="28" t="str">
        <f t="shared" si="74"/>
        <v>157Viana - MA</v>
      </c>
      <c r="R609" s="28" t="str">
        <f>VLOOKUP(A609,'JOGOS BASE'!A:H,8)</f>
        <v>29.01.2025 - Imperatriz - MA x Viana - MA</v>
      </c>
    </row>
    <row r="610" spans="1:18" ht="30.6">
      <c r="A610" s="15">
        <v>15</v>
      </c>
      <c r="B610" s="46">
        <v>8</v>
      </c>
      <c r="C610" s="45" t="s">
        <v>609</v>
      </c>
      <c r="D610" s="45" t="s">
        <v>610</v>
      </c>
      <c r="E610" s="47" t="s">
        <v>26</v>
      </c>
      <c r="F610" s="47" t="s">
        <v>24</v>
      </c>
      <c r="G610" s="46">
        <v>590716</v>
      </c>
      <c r="H610" s="18" t="s">
        <v>381</v>
      </c>
      <c r="I610" s="26" t="str">
        <f t="shared" si="70"/>
        <v>arisco</v>
      </c>
      <c r="J610" s="26" t="str">
        <f t="shared" si="71"/>
        <v>15Viana - MA8</v>
      </c>
      <c r="K610" s="27" t="str">
        <f>IFERROR(VLOOKUP(J610,Substituicoes!J:J,1,0),"SS")</f>
        <v>SS</v>
      </c>
      <c r="L610" s="27" t="str">
        <f>IFERROR(VLOOKUP(J610,Substituicoes!K:K,1,0),"SS")</f>
        <v>SS</v>
      </c>
      <c r="M610" s="28" t="b">
        <f t="shared" si="72"/>
        <v>1</v>
      </c>
      <c r="N610" s="29">
        <f>IF(AND(K610=L610,LEFT(E610,1)="T"),VLOOKUP(A610,'JOGOS BASE'!A:E,4,0),IF(K610=J610,VLOOKUP(J610,Substituicoes!J:R,6,0),IF(L610=J610,VLOOKUP(Escalacao!J610,Substituicoes!K:R,7,0),0)))</f>
        <v>51</v>
      </c>
      <c r="O610" s="28">
        <f>IF(AND(K610=L610,LEFT(E610,1)="T"),VLOOKUP(A610,'JOGOS BASE'!A:E,5,0),IF(K610=J610,VLOOKUP(J610,Substituicoes!J:R,7,0),IF(L610=J610,VLOOKUP(Escalacao!J610,Substituicoes!K:R,8,0),0)))</f>
        <v>45</v>
      </c>
      <c r="P610" s="28">
        <f t="shared" si="73"/>
        <v>96</v>
      </c>
      <c r="Q610" s="28" t="str">
        <f t="shared" si="74"/>
        <v>158Viana - MA</v>
      </c>
      <c r="R610" s="28" t="str">
        <f>VLOOKUP(A610,'JOGOS BASE'!A:H,8)</f>
        <v>29.01.2025 - Imperatriz - MA x Viana - MA</v>
      </c>
    </row>
    <row r="611" spans="1:18" ht="20.399999999999999">
      <c r="A611" s="15">
        <v>15</v>
      </c>
      <c r="B611" s="46">
        <v>9</v>
      </c>
      <c r="C611" s="45" t="s">
        <v>709</v>
      </c>
      <c r="D611" s="45" t="s">
        <v>710</v>
      </c>
      <c r="E611" s="47" t="s">
        <v>26</v>
      </c>
      <c r="F611" s="47" t="s">
        <v>24</v>
      </c>
      <c r="G611" s="46">
        <v>545905</v>
      </c>
      <c r="H611" s="18" t="s">
        <v>381</v>
      </c>
      <c r="I611" s="26" t="str">
        <f t="shared" si="70"/>
        <v>Kawa</v>
      </c>
      <c r="J611" s="26" t="str">
        <f t="shared" si="71"/>
        <v>15Viana - MA9</v>
      </c>
      <c r="K611" s="27" t="str">
        <f>IFERROR(VLOOKUP(J611,Substituicoes!J:J,1,0),"SS")</f>
        <v>SS</v>
      </c>
      <c r="L611" s="27" t="str">
        <f>IFERROR(VLOOKUP(J611,Substituicoes!K:K,1,0),"SS")</f>
        <v>SS</v>
      </c>
      <c r="M611" s="28" t="b">
        <f t="shared" si="72"/>
        <v>1</v>
      </c>
      <c r="N611" s="29">
        <f>IF(AND(K611=L611,LEFT(E611,1)="T"),VLOOKUP(A611,'JOGOS BASE'!A:E,4,0),IF(K611=J611,VLOOKUP(J611,Substituicoes!J:R,6,0),IF(L611=J611,VLOOKUP(Escalacao!J611,Substituicoes!K:R,7,0),0)))</f>
        <v>51</v>
      </c>
      <c r="O611" s="28">
        <f>IF(AND(K611=L611,LEFT(E611,1)="T"),VLOOKUP(A611,'JOGOS BASE'!A:E,5,0),IF(K611=J611,VLOOKUP(J611,Substituicoes!J:R,7,0),IF(L611=J611,VLOOKUP(Escalacao!J611,Substituicoes!K:R,8,0),0)))</f>
        <v>45</v>
      </c>
      <c r="P611" s="28">
        <f t="shared" si="73"/>
        <v>96</v>
      </c>
      <c r="Q611" s="28" t="str">
        <f t="shared" si="74"/>
        <v>159Viana - MA</v>
      </c>
      <c r="R611" s="28" t="str">
        <f>VLOOKUP(A611,'JOGOS BASE'!A:H,8)</f>
        <v>29.01.2025 - Imperatriz - MA x Viana - MA</v>
      </c>
    </row>
    <row r="612" spans="1:18" ht="30.6">
      <c r="A612" s="15">
        <v>15</v>
      </c>
      <c r="B612" s="46">
        <v>10</v>
      </c>
      <c r="C612" s="45" t="s">
        <v>92</v>
      </c>
      <c r="D612" s="45" t="s">
        <v>352</v>
      </c>
      <c r="E612" s="47" t="s">
        <v>26</v>
      </c>
      <c r="F612" s="47" t="s">
        <v>24</v>
      </c>
      <c r="G612" s="46">
        <v>642816</v>
      </c>
      <c r="H612" s="18" t="s">
        <v>381</v>
      </c>
      <c r="I612" s="26" t="str">
        <f t="shared" si="70"/>
        <v>Thiago</v>
      </c>
      <c r="J612" s="26" t="str">
        <f t="shared" si="71"/>
        <v>15Viana - MA10</v>
      </c>
      <c r="K612" s="27" t="str">
        <f>IFERROR(VLOOKUP(J612,Substituicoes!J:J,1,0),"SS")</f>
        <v>SS</v>
      </c>
      <c r="L612" s="27" t="str">
        <f>IFERROR(VLOOKUP(J612,Substituicoes!K:K,1,0),"SS")</f>
        <v>SS</v>
      </c>
      <c r="M612" s="28" t="b">
        <f t="shared" si="72"/>
        <v>1</v>
      </c>
      <c r="N612" s="29">
        <f>IF(AND(K612=L612,LEFT(E612,1)="T"),VLOOKUP(A612,'JOGOS BASE'!A:E,4,0),IF(K612=J612,VLOOKUP(J612,Substituicoes!J:R,6,0),IF(L612=J612,VLOOKUP(Escalacao!J612,Substituicoes!K:R,7,0),0)))</f>
        <v>51</v>
      </c>
      <c r="O612" s="28">
        <f>IF(AND(K612=L612,LEFT(E612,1)="T"),VLOOKUP(A612,'JOGOS BASE'!A:E,5,0),IF(K612=J612,VLOOKUP(J612,Substituicoes!J:R,7,0),IF(L612=J612,VLOOKUP(Escalacao!J612,Substituicoes!K:R,8,0),0)))</f>
        <v>45</v>
      </c>
      <c r="P612" s="28">
        <f t="shared" si="73"/>
        <v>96</v>
      </c>
      <c r="Q612" s="28" t="str">
        <f t="shared" si="74"/>
        <v>1510Viana - MA</v>
      </c>
      <c r="R612" s="28" t="str">
        <f>VLOOKUP(A612,'JOGOS BASE'!A:H,8)</f>
        <v>29.01.2025 - Imperatriz - MA x Viana - MA</v>
      </c>
    </row>
    <row r="613" spans="1:18" ht="20.399999999999999">
      <c r="A613" s="15">
        <v>15</v>
      </c>
      <c r="B613" s="46">
        <v>11</v>
      </c>
      <c r="C613" s="45" t="s">
        <v>353</v>
      </c>
      <c r="D613" s="45" t="s">
        <v>354</v>
      </c>
      <c r="E613" s="47" t="s">
        <v>26</v>
      </c>
      <c r="F613" s="47" t="s">
        <v>24</v>
      </c>
      <c r="G613" s="46">
        <v>700228</v>
      </c>
      <c r="H613" s="18" t="s">
        <v>381</v>
      </c>
      <c r="I613" s="26" t="str">
        <f t="shared" si="70"/>
        <v>ARIEL</v>
      </c>
      <c r="J613" s="26" t="str">
        <f t="shared" si="71"/>
        <v>15Viana - MA11</v>
      </c>
      <c r="K613" s="27" t="str">
        <f>IFERROR(VLOOKUP(J613,Substituicoes!J:J,1,0),"SS")</f>
        <v>SS</v>
      </c>
      <c r="L613" s="27" t="str">
        <f>IFERROR(VLOOKUP(J613,Substituicoes!K:K,1,0),"SS")</f>
        <v>15Viana - MA11</v>
      </c>
      <c r="M613" s="28" t="b">
        <f t="shared" si="72"/>
        <v>0</v>
      </c>
      <c r="N613" s="29">
        <f>IF(AND(K613=L613,LEFT(E613,1)="T"),VLOOKUP(A613,'JOGOS BASE'!A:E,4,0),IF(K613=J613,VLOOKUP(J613,Substituicoes!J:R,6,0),IF(L613=J613,VLOOKUP(Escalacao!J613,Substituicoes!K:R,7,0),0)))</f>
        <v>51</v>
      </c>
      <c r="O613" s="28">
        <f>IF(AND(K613=L613,LEFT(E613,1)="T"),VLOOKUP(A613,'JOGOS BASE'!A:E,5,0),IF(K613=J613,VLOOKUP(J613,Substituicoes!J:R,7,0),IF(L613=J613,VLOOKUP(Escalacao!J613,Substituicoes!K:R,8,0),0)))</f>
        <v>0</v>
      </c>
      <c r="P613" s="28">
        <f t="shared" si="73"/>
        <v>51</v>
      </c>
      <c r="Q613" s="28" t="str">
        <f t="shared" si="74"/>
        <v>1511Viana - MA</v>
      </c>
      <c r="R613" s="28" t="str">
        <f>VLOOKUP(A613,'JOGOS BASE'!A:H,8)</f>
        <v>29.01.2025 - Imperatriz - MA x Viana - MA</v>
      </c>
    </row>
    <row r="614" spans="1:18" ht="30.6">
      <c r="A614" s="15">
        <v>15</v>
      </c>
      <c r="B614" s="46">
        <v>1</v>
      </c>
      <c r="C614" s="45" t="s">
        <v>335</v>
      </c>
      <c r="D614" s="45" t="s">
        <v>336</v>
      </c>
      <c r="E614" s="47" t="s">
        <v>40</v>
      </c>
      <c r="F614" s="47" t="s">
        <v>24</v>
      </c>
      <c r="G614" s="46">
        <v>178014</v>
      </c>
      <c r="H614" s="18" t="s">
        <v>381</v>
      </c>
      <c r="I614" s="26" t="str">
        <f t="shared" si="70"/>
        <v>Saulo</v>
      </c>
      <c r="J614" s="26" t="str">
        <f t="shared" si="71"/>
        <v>15Viana - MA1</v>
      </c>
      <c r="K614" s="27" t="str">
        <f>IFERROR(VLOOKUP(J614,Substituicoes!J:J,1,0),"SS")</f>
        <v>15Viana - MA1</v>
      </c>
      <c r="L614" s="27" t="str">
        <f>IFERROR(VLOOKUP(J614,Substituicoes!K:K,1,0),"SS")</f>
        <v>SS</v>
      </c>
      <c r="M614" s="28" t="b">
        <f t="shared" si="72"/>
        <v>0</v>
      </c>
      <c r="N614" s="29">
        <f>IF(AND(K614=L614,LEFT(E614,1)="T"),VLOOKUP(A614,'JOGOS BASE'!A:E,4,0),IF(K614=J614,VLOOKUP(J614,Substituicoes!J:R,6,0),IF(L614=J614,VLOOKUP(Escalacao!J614,Substituicoes!K:R,7,0),0)))</f>
        <v>40</v>
      </c>
      <c r="O614" s="28">
        <f>IF(AND(K614=L614,LEFT(E614,1)="T"),VLOOKUP(A614,'JOGOS BASE'!A:E,5,0),IF(K614=J614,VLOOKUP(J614,Substituicoes!J:R,7,0),IF(L614=J614,VLOOKUP(Escalacao!J614,Substituicoes!K:R,8,0),0)))</f>
        <v>45</v>
      </c>
      <c r="P614" s="28">
        <f t="shared" si="73"/>
        <v>85</v>
      </c>
      <c r="Q614" s="28" t="str">
        <f t="shared" si="74"/>
        <v>151Viana - MA</v>
      </c>
      <c r="R614" s="28" t="str">
        <f>VLOOKUP(A614,'JOGOS BASE'!A:H,8)</f>
        <v>29.01.2025 - Imperatriz - MA x Viana - MA</v>
      </c>
    </row>
    <row r="615" spans="1:18" ht="30.6">
      <c r="A615" s="15">
        <v>15</v>
      </c>
      <c r="B615" s="46">
        <v>13</v>
      </c>
      <c r="C615" s="45" t="s">
        <v>355</v>
      </c>
      <c r="D615" s="45" t="s">
        <v>356</v>
      </c>
      <c r="E615" s="47" t="s">
        <v>42</v>
      </c>
      <c r="F615" s="47" t="s">
        <v>56</v>
      </c>
      <c r="G615" s="46">
        <v>683760</v>
      </c>
      <c r="H615" s="18" t="s">
        <v>381</v>
      </c>
      <c r="I615" s="26" t="str">
        <f t="shared" si="70"/>
        <v>PAULO</v>
      </c>
      <c r="J615" s="26" t="str">
        <f t="shared" si="71"/>
        <v>15Viana - MA13</v>
      </c>
      <c r="K615" s="27" t="str">
        <f>IFERROR(VLOOKUP(J615,Substituicoes!J:J,1,0),"SS")</f>
        <v>15Viana - MA13</v>
      </c>
      <c r="L615" s="27" t="str">
        <f>IFERROR(VLOOKUP(J615,Substituicoes!K:K,1,0),"SS")</f>
        <v>SS</v>
      </c>
      <c r="M615" s="28" t="b">
        <f t="shared" si="72"/>
        <v>0</v>
      </c>
      <c r="N615" s="29">
        <f>IF(AND(K615=L615,LEFT(E615,1)="T"),VLOOKUP(A615,'JOGOS BASE'!A:E,4,0),IF(K615=J615,VLOOKUP(J615,Substituicoes!J:R,6,0),IF(L615=J615,VLOOKUP(Escalacao!J615,Substituicoes!K:R,7,0),0)))</f>
        <v>0</v>
      </c>
      <c r="O615" s="28">
        <f>IF(AND(K615=L615,LEFT(E615,1)="T"),VLOOKUP(A615,'JOGOS BASE'!A:E,5,0),IF(K615=J615,VLOOKUP(J615,Substituicoes!J:R,7,0),IF(L615=J615,VLOOKUP(Escalacao!J615,Substituicoes!K:R,8,0),0)))</f>
        <v>45</v>
      </c>
      <c r="P615" s="28">
        <f t="shared" si="73"/>
        <v>45</v>
      </c>
      <c r="Q615" s="28" t="str">
        <f t="shared" si="74"/>
        <v>1513Viana - MA</v>
      </c>
      <c r="R615" s="28" t="str">
        <f>VLOOKUP(A615,'JOGOS BASE'!A:H,8)</f>
        <v>29.01.2025 - Imperatriz - MA x Viana - MA</v>
      </c>
    </row>
    <row r="616" spans="1:18" ht="30.6">
      <c r="A616" s="15">
        <v>15</v>
      </c>
      <c r="B616" s="46">
        <v>15</v>
      </c>
      <c r="C616" s="45" t="s">
        <v>350</v>
      </c>
      <c r="D616" s="45" t="s">
        <v>351</v>
      </c>
      <c r="E616" s="47" t="s">
        <v>42</v>
      </c>
      <c r="F616" s="47" t="s">
        <v>24</v>
      </c>
      <c r="G616" s="46">
        <v>628431</v>
      </c>
      <c r="H616" s="18" t="s">
        <v>381</v>
      </c>
      <c r="I616" s="26" t="str">
        <f t="shared" si="70"/>
        <v>Lucas Ramos</v>
      </c>
      <c r="J616" s="26" t="str">
        <f t="shared" si="71"/>
        <v>15Viana - MA15</v>
      </c>
      <c r="K616" s="27" t="str">
        <f>IFERROR(VLOOKUP(J616,Substituicoes!J:J,1,0),"SS")</f>
        <v>15Viana - MA15</v>
      </c>
      <c r="L616" s="27" t="str">
        <f>IFERROR(VLOOKUP(J616,Substituicoes!K:K,1,0),"SS")</f>
        <v>SS</v>
      </c>
      <c r="M616" s="28" t="b">
        <f t="shared" si="72"/>
        <v>0</v>
      </c>
      <c r="N616" s="29">
        <f>IF(AND(K616=L616,LEFT(E616,1)="T"),VLOOKUP(A616,'JOGOS BASE'!A:E,4,0),IF(K616=J616,VLOOKUP(J616,Substituicoes!J:R,6,0),IF(L616=J616,VLOOKUP(Escalacao!J616,Substituicoes!K:R,7,0),0)))</f>
        <v>0</v>
      </c>
      <c r="O616" s="28">
        <f>IF(AND(K616=L616,LEFT(E616,1)="T"),VLOOKUP(A616,'JOGOS BASE'!A:E,5,0),IF(K616=J616,VLOOKUP(J616,Substituicoes!J:R,7,0),IF(L616=J616,VLOOKUP(Escalacao!J616,Substituicoes!K:R,8,0),0)))</f>
        <v>42</v>
      </c>
      <c r="P616" s="28">
        <f t="shared" si="73"/>
        <v>42</v>
      </c>
      <c r="Q616" s="28" t="str">
        <f t="shared" si="74"/>
        <v>1515Viana - MA</v>
      </c>
      <c r="R616" s="28" t="str">
        <f>VLOOKUP(A616,'JOGOS BASE'!A:H,8)</f>
        <v>29.01.2025 - Imperatriz - MA x Viana - MA</v>
      </c>
    </row>
    <row r="617" spans="1:18" ht="30.6">
      <c r="A617" s="15">
        <v>15</v>
      </c>
      <c r="B617" s="46">
        <v>16</v>
      </c>
      <c r="C617" s="45" t="s">
        <v>614</v>
      </c>
      <c r="D617" s="45" t="s">
        <v>615</v>
      </c>
      <c r="E617" s="47" t="s">
        <v>42</v>
      </c>
      <c r="F617" s="47" t="s">
        <v>24</v>
      </c>
      <c r="G617" s="46">
        <v>894165</v>
      </c>
      <c r="H617" s="18" t="s">
        <v>381</v>
      </c>
      <c r="I617" s="26" t="str">
        <f t="shared" si="70"/>
        <v>MATEUS OLI .</v>
      </c>
      <c r="J617" s="26" t="str">
        <f t="shared" si="71"/>
        <v>15Viana - MA16</v>
      </c>
      <c r="K617" s="27" t="str">
        <f>IFERROR(VLOOKUP(J617,Substituicoes!J:J,1,0),"SS")</f>
        <v>SS</v>
      </c>
      <c r="L617" s="27" t="str">
        <f>IFERROR(VLOOKUP(J617,Substituicoes!K:K,1,0),"SS")</f>
        <v>SS</v>
      </c>
      <c r="M617" s="28" t="b">
        <f t="shared" si="72"/>
        <v>1</v>
      </c>
      <c r="N617" s="29">
        <f>IF(AND(K617=L617,LEFT(E617,1)="T"),VLOOKUP(A617,'JOGOS BASE'!A:E,4,0),IF(K617=J617,VLOOKUP(J617,Substituicoes!J:R,6,0),IF(L617=J617,VLOOKUP(Escalacao!J617,Substituicoes!K:R,7,0),0)))</f>
        <v>0</v>
      </c>
      <c r="O617" s="28">
        <f>IF(AND(K617=L617,LEFT(E617,1)="T"),VLOOKUP(A617,'JOGOS BASE'!A:E,5,0),IF(K617=J617,VLOOKUP(J617,Substituicoes!J:R,7,0),IF(L617=J617,VLOOKUP(Escalacao!J617,Substituicoes!K:R,8,0),0)))</f>
        <v>0</v>
      </c>
      <c r="P617" s="28">
        <f t="shared" si="73"/>
        <v>0</v>
      </c>
      <c r="Q617" s="28" t="str">
        <f t="shared" si="74"/>
        <v>1516Viana - MA</v>
      </c>
      <c r="R617" s="28" t="str">
        <f>VLOOKUP(A617,'JOGOS BASE'!A:H,8)</f>
        <v>29.01.2025 - Imperatriz - MA x Viana - MA</v>
      </c>
    </row>
    <row r="618" spans="1:18" ht="30.6">
      <c r="A618" s="15">
        <v>15</v>
      </c>
      <c r="B618" s="46">
        <v>17</v>
      </c>
      <c r="C618" s="45" t="s">
        <v>611</v>
      </c>
      <c r="D618" s="45" t="s">
        <v>612</v>
      </c>
      <c r="E618" s="47" t="s">
        <v>42</v>
      </c>
      <c r="F618" s="47" t="s">
        <v>24</v>
      </c>
      <c r="G618" s="46">
        <v>894358</v>
      </c>
      <c r="H618" s="18" t="s">
        <v>381</v>
      </c>
      <c r="I618" s="26" t="str">
        <f t="shared" si="70"/>
        <v>LUANDERSO</v>
      </c>
      <c r="J618" s="26" t="str">
        <f t="shared" si="71"/>
        <v>15Viana - MA17</v>
      </c>
      <c r="K618" s="27" t="str">
        <f>IFERROR(VLOOKUP(J618,Substituicoes!J:J,1,0),"SS")</f>
        <v>SS</v>
      </c>
      <c r="L618" s="27" t="str">
        <f>IFERROR(VLOOKUP(J618,Substituicoes!K:K,1,0),"SS")</f>
        <v>SS</v>
      </c>
      <c r="M618" s="28" t="b">
        <f t="shared" si="72"/>
        <v>1</v>
      </c>
      <c r="N618" s="29">
        <f>IF(AND(K618=L618,LEFT(E618,1)="T"),VLOOKUP(A618,'JOGOS BASE'!A:E,4,0),IF(K618=J618,VLOOKUP(J618,Substituicoes!J:R,6,0),IF(L618=J618,VLOOKUP(Escalacao!J618,Substituicoes!K:R,7,0),0)))</f>
        <v>0</v>
      </c>
      <c r="O618" s="28">
        <f>IF(AND(K618=L618,LEFT(E618,1)="T"),VLOOKUP(A618,'JOGOS BASE'!A:E,5,0),IF(K618=J618,VLOOKUP(J618,Substituicoes!J:R,7,0),IF(L618=J618,VLOOKUP(Escalacao!J618,Substituicoes!K:R,8,0),0)))</f>
        <v>0</v>
      </c>
      <c r="P618" s="28">
        <f t="shared" si="73"/>
        <v>0</v>
      </c>
      <c r="Q618" s="28" t="str">
        <f t="shared" si="74"/>
        <v>1517Viana - MA</v>
      </c>
      <c r="R618" s="28" t="str">
        <f>VLOOKUP(A618,'JOGOS BASE'!A:H,8)</f>
        <v>29.01.2025 - Imperatriz - MA x Viana - MA</v>
      </c>
    </row>
    <row r="619" spans="1:18" ht="30.6">
      <c r="A619" s="15">
        <v>15</v>
      </c>
      <c r="B619" s="46">
        <v>18</v>
      </c>
      <c r="C619" s="45" t="s">
        <v>715</v>
      </c>
      <c r="D619" s="45" t="s">
        <v>716</v>
      </c>
      <c r="E619" s="47" t="s">
        <v>42</v>
      </c>
      <c r="F619" s="47" t="s">
        <v>24</v>
      </c>
      <c r="G619" s="46">
        <v>639240</v>
      </c>
      <c r="H619" s="18" t="s">
        <v>381</v>
      </c>
      <c r="I619" s="26" t="str">
        <f t="shared" si="70"/>
        <v>THIAGO</v>
      </c>
      <c r="J619" s="26" t="str">
        <f t="shared" si="71"/>
        <v>15Viana - MA18</v>
      </c>
      <c r="K619" s="27" t="str">
        <f>IFERROR(VLOOKUP(J619,Substituicoes!J:J,1,0),"SS")</f>
        <v>15Viana - MA18</v>
      </c>
      <c r="L619" s="27" t="str">
        <f>IFERROR(VLOOKUP(J619,Substituicoes!K:K,1,0),"SS")</f>
        <v>SS</v>
      </c>
      <c r="M619" s="28" t="b">
        <f t="shared" si="72"/>
        <v>0</v>
      </c>
      <c r="N619" s="29">
        <f>IF(AND(K619=L619,LEFT(E619,1)="T"),VLOOKUP(A619,'JOGOS BASE'!A:E,4,0),IF(K619=J619,VLOOKUP(J619,Substituicoes!J:R,6,0),IF(L619=J619,VLOOKUP(Escalacao!J619,Substituicoes!K:R,7,0),0)))</f>
        <v>0</v>
      </c>
      <c r="O619" s="28">
        <f>IF(AND(K619=L619,LEFT(E619,1)="T"),VLOOKUP(A619,'JOGOS BASE'!A:E,5,0),IF(K619=J619,VLOOKUP(J619,Substituicoes!J:R,7,0),IF(L619=J619,VLOOKUP(Escalacao!J619,Substituicoes!K:R,8,0),0)))</f>
        <v>45</v>
      </c>
      <c r="P619" s="28">
        <f t="shared" si="73"/>
        <v>45</v>
      </c>
      <c r="Q619" s="28" t="str">
        <f t="shared" si="74"/>
        <v>1518Viana - MA</v>
      </c>
      <c r="R619" s="28" t="str">
        <f>VLOOKUP(A619,'JOGOS BASE'!A:H,8)</f>
        <v>29.01.2025 - Imperatriz - MA x Viana - MA</v>
      </c>
    </row>
    <row r="620" spans="1:18" ht="20.399999999999999">
      <c r="A620" s="15">
        <v>15</v>
      </c>
      <c r="B620" s="46">
        <v>19</v>
      </c>
      <c r="C620" s="45" t="s">
        <v>773</v>
      </c>
      <c r="D620" s="45" t="s">
        <v>774</v>
      </c>
      <c r="E620" s="47" t="s">
        <v>42</v>
      </c>
      <c r="F620" s="47" t="s">
        <v>24</v>
      </c>
      <c r="G620" s="46">
        <v>366119</v>
      </c>
      <c r="H620" s="18" t="s">
        <v>381</v>
      </c>
      <c r="I620" s="26" t="str">
        <f t="shared" si="70"/>
        <v>Edil</v>
      </c>
      <c r="J620" s="26" t="str">
        <f t="shared" si="71"/>
        <v>15Viana - MA19</v>
      </c>
      <c r="K620" s="27" t="str">
        <f>IFERROR(VLOOKUP(J620,Substituicoes!J:J,1,0),"SS")</f>
        <v>15Viana - MA19</v>
      </c>
      <c r="L620" s="27" t="str">
        <f>IFERROR(VLOOKUP(J620,Substituicoes!K:K,1,0),"SS")</f>
        <v>SS</v>
      </c>
      <c r="M620" s="28" t="b">
        <f t="shared" si="72"/>
        <v>0</v>
      </c>
      <c r="N620" s="29">
        <f>IF(AND(K620=L620,LEFT(E620,1)="T"),VLOOKUP(A620,'JOGOS BASE'!A:E,4,0),IF(K620=J620,VLOOKUP(J620,Substituicoes!J:R,6,0),IF(L620=J620,VLOOKUP(Escalacao!J620,Substituicoes!K:R,7,0),0)))</f>
        <v>0</v>
      </c>
      <c r="O620" s="28">
        <f>IF(AND(K620=L620,LEFT(E620,1)="T"),VLOOKUP(A620,'JOGOS BASE'!A:E,5,0),IF(K620=J620,VLOOKUP(J620,Substituicoes!J:R,7,0),IF(L620=J620,VLOOKUP(Escalacao!J620,Substituicoes!K:R,8,0),0)))</f>
        <v>45</v>
      </c>
      <c r="P620" s="28">
        <f t="shared" si="73"/>
        <v>45</v>
      </c>
      <c r="Q620" s="28" t="str">
        <f t="shared" si="74"/>
        <v>1519Viana - MA</v>
      </c>
      <c r="R620" s="28" t="str">
        <f>VLOOKUP(A620,'JOGOS BASE'!A:H,8)</f>
        <v>29.01.2025 - Imperatriz - MA x Viana - MA</v>
      </c>
    </row>
    <row r="621" spans="1:18" ht="30.6">
      <c r="A621" s="15">
        <v>15</v>
      </c>
      <c r="B621" s="46">
        <v>20</v>
      </c>
      <c r="C621" s="45" t="s">
        <v>775</v>
      </c>
      <c r="D621" s="45" t="s">
        <v>776</v>
      </c>
      <c r="E621" s="47" t="s">
        <v>42</v>
      </c>
      <c r="F621" s="47" t="s">
        <v>24</v>
      </c>
      <c r="G621" s="46">
        <v>310592</v>
      </c>
      <c r="H621" s="18" t="s">
        <v>381</v>
      </c>
      <c r="I621" s="26" t="str">
        <f t="shared" si="70"/>
        <v>Romario</v>
      </c>
      <c r="J621" s="26" t="str">
        <f t="shared" si="71"/>
        <v>15Viana - MA20</v>
      </c>
      <c r="K621" s="27" t="str">
        <f>IFERROR(VLOOKUP(J621,Substituicoes!J:J,1,0),"SS")</f>
        <v>SS</v>
      </c>
      <c r="L621" s="27" t="str">
        <f>IFERROR(VLOOKUP(J621,Substituicoes!K:K,1,0),"SS")</f>
        <v>SS</v>
      </c>
      <c r="M621" s="28" t="b">
        <f t="shared" si="72"/>
        <v>1</v>
      </c>
      <c r="N621" s="29">
        <f>IF(AND(K621=L621,LEFT(E621,1)="T"),VLOOKUP(A621,'JOGOS BASE'!A:E,4,0),IF(K621=J621,VLOOKUP(J621,Substituicoes!J:R,6,0),IF(L621=J621,VLOOKUP(Escalacao!J621,Substituicoes!K:R,7,0),0)))</f>
        <v>0</v>
      </c>
      <c r="O621" s="28">
        <f>IF(AND(K621=L621,LEFT(E621,1)="T"),VLOOKUP(A621,'JOGOS BASE'!A:E,5,0),IF(K621=J621,VLOOKUP(J621,Substituicoes!J:R,7,0),IF(L621=J621,VLOOKUP(Escalacao!J621,Substituicoes!K:R,8,0),0)))</f>
        <v>0</v>
      </c>
      <c r="P621" s="28">
        <f t="shared" si="73"/>
        <v>0</v>
      </c>
      <c r="Q621" s="28" t="str">
        <f t="shared" si="74"/>
        <v>1520Viana - MA</v>
      </c>
      <c r="R621" s="28" t="str">
        <f>VLOOKUP(A621,'JOGOS BASE'!A:H,8)</f>
        <v>29.01.2025 - Imperatriz - MA x Viana - MA</v>
      </c>
    </row>
  </sheetData>
  <autoFilter ref="A1:M117" xr:uid="{AB7CA54F-3F2D-4DC4-9242-0EAF8210CE31}">
    <filterColumn colId="7">
      <filters>
        <filter val="Viana - MA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BC58-DC47-47FD-B617-C0EF9E401D47}">
  <dimension ref="A1:N132"/>
  <sheetViews>
    <sheetView showGridLines="0" topLeftCell="A79" workbookViewId="0">
      <selection activeCell="J94" sqref="J94:N98"/>
    </sheetView>
  </sheetViews>
  <sheetFormatPr defaultRowHeight="14.4"/>
  <cols>
    <col min="5" max="5" width="8.44140625" bestFit="1" customWidth="1"/>
    <col min="6" max="6" width="14.77734375" style="15" bestFit="1" customWidth="1"/>
    <col min="7" max="7" width="22.109375" style="23" bestFit="1" customWidth="1"/>
    <col min="8" max="9" width="8.88671875" style="15"/>
    <col min="10" max="10" width="21.6640625" style="23" bestFit="1" customWidth="1"/>
    <col min="11" max="11" width="7" style="23" bestFit="1" customWidth="1"/>
    <col min="12" max="12" width="9.44140625" style="23" bestFit="1" customWidth="1"/>
    <col min="13" max="13" width="6.109375" style="23" bestFit="1" customWidth="1"/>
    <col min="14" max="14" width="44.33203125" style="23" bestFit="1" customWidth="1"/>
  </cols>
  <sheetData>
    <row r="1" spans="1:14" ht="19.2">
      <c r="A1" s="6" t="s">
        <v>134</v>
      </c>
      <c r="B1" s="6" t="s">
        <v>100</v>
      </c>
      <c r="C1" s="6" t="s">
        <v>101</v>
      </c>
      <c r="D1" s="6" t="s">
        <v>16</v>
      </c>
      <c r="E1" s="6" t="s">
        <v>158</v>
      </c>
      <c r="F1" s="16" t="s">
        <v>98</v>
      </c>
      <c r="G1" s="21" t="s">
        <v>153</v>
      </c>
      <c r="H1" s="16" t="s">
        <v>161</v>
      </c>
      <c r="I1" s="16" t="s">
        <v>169</v>
      </c>
      <c r="J1" s="21" t="s">
        <v>164</v>
      </c>
      <c r="K1" s="24" t="s">
        <v>0</v>
      </c>
      <c r="L1" s="21" t="s">
        <v>162</v>
      </c>
      <c r="M1" s="21" t="s">
        <v>168</v>
      </c>
      <c r="N1" s="21" t="s">
        <v>166</v>
      </c>
    </row>
    <row r="2" spans="1:14" ht="13.8" customHeight="1">
      <c r="A2" s="7">
        <v>1</v>
      </c>
      <c r="B2" s="7" t="s">
        <v>155</v>
      </c>
      <c r="C2" s="7" t="s">
        <v>141</v>
      </c>
      <c r="D2" s="8">
        <v>10</v>
      </c>
      <c r="E2" s="7" t="s">
        <v>75</v>
      </c>
      <c r="F2" s="14" t="s">
        <v>122</v>
      </c>
      <c r="G2" s="22" t="str">
        <f>VLOOKUP(A2,'JOGOS BASE'!A:F,6,)</f>
        <v>Paulo Jose Souza Mourao</v>
      </c>
      <c r="H2" s="14">
        <v>1</v>
      </c>
      <c r="I2" s="14">
        <v>0</v>
      </c>
      <c r="J2" s="22" t="str">
        <f>A2&amp;D2&amp;F2</f>
        <v>110Sampaio Corrêa - MA</v>
      </c>
      <c r="K2" s="22">
        <f>INDEX(Escalacao!G:G,MATCH(Cartoes!J2,Escalacao!Q:Q,0))</f>
        <v>668800</v>
      </c>
      <c r="L2" s="22" t="str">
        <f>VLOOKUP(K2,Escalacao!G:I,3,0)</f>
        <v>STENCE</v>
      </c>
      <c r="M2" s="22">
        <f>COUNTIF(Escalacao!G:G,Cartoes!K2)</f>
        <v>4</v>
      </c>
      <c r="N2" s="22" t="str">
        <f>VLOOKUP(A2,Escalacao!A:R,18,0)</f>
        <v>11.01.2025 - Imperatriz - MA x Sampaio Corrêa - MA</v>
      </c>
    </row>
    <row r="3" spans="1:14" ht="13.8" customHeight="1">
      <c r="A3" s="7">
        <v>1</v>
      </c>
      <c r="B3" s="7" t="s">
        <v>156</v>
      </c>
      <c r="C3" s="7" t="s">
        <v>111</v>
      </c>
      <c r="D3" s="8">
        <v>21</v>
      </c>
      <c r="E3" s="7" t="s">
        <v>157</v>
      </c>
      <c r="F3" s="14" t="s">
        <v>122</v>
      </c>
      <c r="G3" s="22" t="str">
        <f>VLOOKUP(A3,'JOGOS BASE'!A:F,6,)</f>
        <v>Paulo Jose Souza Mourao</v>
      </c>
      <c r="H3" s="14">
        <v>1</v>
      </c>
      <c r="I3" s="14">
        <v>0</v>
      </c>
      <c r="J3" s="22" t="str">
        <f t="shared" ref="J3:J4" si="0">A3&amp;D3&amp;F3</f>
        <v>121Sampaio Corrêa - MA</v>
      </c>
      <c r="K3" s="22">
        <f>INDEX(Escalacao!G:G,MATCH(Cartoes!J3,Escalacao!Q:Q,0))</f>
        <v>748572</v>
      </c>
      <c r="L3" s="22" t="str">
        <f>VLOOKUP(K3,Escalacao!G:I,3,0)</f>
        <v>ADRIANO</v>
      </c>
      <c r="M3" s="22">
        <f>COUNTIF(Escalacao!G:G,Cartoes!K3)</f>
        <v>5</v>
      </c>
      <c r="N3" s="22" t="str">
        <f>VLOOKUP(A3,Escalacao!A:R,18,0)</f>
        <v>11.01.2025 - Imperatriz - MA x Sampaio Corrêa - MA</v>
      </c>
    </row>
    <row r="4" spans="1:14" ht="13.8" customHeight="1">
      <c r="A4" s="7">
        <v>1</v>
      </c>
      <c r="B4" s="7" t="s">
        <v>159</v>
      </c>
      <c r="C4" s="7" t="s">
        <v>111</v>
      </c>
      <c r="D4" s="8">
        <v>19</v>
      </c>
      <c r="E4" s="7" t="s">
        <v>160</v>
      </c>
      <c r="F4" s="14" t="s">
        <v>107</v>
      </c>
      <c r="G4" s="22" t="str">
        <f>VLOOKUP(A4,'JOGOS BASE'!A:F,6,)</f>
        <v>Paulo Jose Souza Mourao</v>
      </c>
      <c r="H4" s="14">
        <v>1</v>
      </c>
      <c r="I4" s="14">
        <v>0</v>
      </c>
      <c r="J4" s="22" t="str">
        <f t="shared" si="0"/>
        <v>119Imperatriz - MA</v>
      </c>
      <c r="K4" s="22">
        <f>INDEX(Escalacao!G:G,MATCH(Cartoes!J4,Escalacao!Q:Q,0))</f>
        <v>611147</v>
      </c>
      <c r="L4" s="22" t="str">
        <f>VLOOKUP(K4,Escalacao!G:I,3,0)</f>
        <v>WYLDSON</v>
      </c>
      <c r="M4" s="22">
        <f>COUNTIF(Escalacao!G:G,Cartoes!K4)</f>
        <v>5</v>
      </c>
      <c r="N4" s="22" t="str">
        <f>VLOOKUP(A4,Escalacao!A:R,18,0)</f>
        <v>11.01.2025 - Imperatriz - MA x Sampaio Corrêa - MA</v>
      </c>
    </row>
    <row r="5" spans="1:14" ht="13.8" customHeight="1">
      <c r="A5" s="7">
        <v>2</v>
      </c>
      <c r="B5" s="7" t="s">
        <v>258</v>
      </c>
      <c r="C5" s="7" t="s">
        <v>141</v>
      </c>
      <c r="D5" s="8">
        <v>11</v>
      </c>
      <c r="E5" s="7" t="s">
        <v>259</v>
      </c>
      <c r="F5" s="14" t="s">
        <v>273</v>
      </c>
      <c r="G5" s="22" t="str">
        <f>VLOOKUP(A5,'JOGOS BASE'!A:F,6,)</f>
        <v>Mayron Frederico dos Reis Novais</v>
      </c>
      <c r="H5" s="14">
        <v>1</v>
      </c>
      <c r="I5" s="14">
        <v>0</v>
      </c>
      <c r="J5" s="22" t="str">
        <f t="shared" ref="J5:J13" si="1">A5&amp;D5&amp;F5</f>
        <v>211Moto Club - MA</v>
      </c>
      <c r="K5" s="22">
        <f>INDEX(Escalacao!G:G,MATCH(Cartoes!J5,Escalacao!Q:Q,0))</f>
        <v>438976</v>
      </c>
      <c r="L5" s="22" t="str">
        <f>VLOOKUP(K5,Escalacao!G:I,3,0)</f>
        <v>Danilo</v>
      </c>
      <c r="M5" s="22">
        <f>COUNTIF(Escalacao!G:G,Cartoes!K5)</f>
        <v>3</v>
      </c>
      <c r="N5" s="22" t="str">
        <f>VLOOKUP(A5,Escalacao!A:R,18,0)</f>
        <v>12.01.2025 - Moto Club - MA x Maranhão - MA</v>
      </c>
    </row>
    <row r="6" spans="1:14" ht="13.8" customHeight="1">
      <c r="A6" s="7">
        <v>2</v>
      </c>
      <c r="B6" s="7" t="s">
        <v>258</v>
      </c>
      <c r="C6" s="7" t="s">
        <v>141</v>
      </c>
      <c r="D6" s="8">
        <v>9</v>
      </c>
      <c r="E6" s="7" t="s">
        <v>286</v>
      </c>
      <c r="F6" s="14" t="s">
        <v>260</v>
      </c>
      <c r="G6" s="22" t="str">
        <f>VLOOKUP(A6,'JOGOS BASE'!A:F,6,)</f>
        <v>Mayron Frederico dos Reis Novais</v>
      </c>
      <c r="H6" s="14">
        <v>1</v>
      </c>
      <c r="I6" s="14">
        <v>0</v>
      </c>
      <c r="J6" s="22" t="str">
        <f t="shared" si="1"/>
        <v>29Maranhão - MA</v>
      </c>
      <c r="K6" s="22">
        <f>INDEX(Escalacao!G:G,MATCH(Cartoes!J6,Escalacao!Q:Q,0))</f>
        <v>610235</v>
      </c>
      <c r="L6" s="22" t="str">
        <f>VLOOKUP(K6,Escalacao!G:I,3,0)</f>
        <v>loro</v>
      </c>
      <c r="M6" s="22">
        <f>COUNTIF(Escalacao!G:G,Cartoes!K6)</f>
        <v>3</v>
      </c>
      <c r="N6" s="22" t="str">
        <f>VLOOKUP(A6,Escalacao!A:R,18,0)</f>
        <v>12.01.2025 - Moto Club - MA x Maranhão - MA</v>
      </c>
    </row>
    <row r="7" spans="1:14" ht="13.8" customHeight="1">
      <c r="A7" s="7">
        <v>2</v>
      </c>
      <c r="B7" s="7" t="s">
        <v>287</v>
      </c>
      <c r="C7" s="7" t="s">
        <v>111</v>
      </c>
      <c r="D7" s="8">
        <v>20</v>
      </c>
      <c r="E7" s="7" t="s">
        <v>292</v>
      </c>
      <c r="F7" s="14" t="s">
        <v>273</v>
      </c>
      <c r="G7" s="22" t="str">
        <f>VLOOKUP(A7,'JOGOS BASE'!A:F,6,)</f>
        <v>Mayron Frederico dos Reis Novais</v>
      </c>
      <c r="H7" s="14">
        <v>1</v>
      </c>
      <c r="I7" s="14">
        <v>0</v>
      </c>
      <c r="J7" s="22" t="str">
        <f t="shared" si="1"/>
        <v>220Moto Club - MA</v>
      </c>
      <c r="K7" s="22">
        <f>INDEX(Escalacao!G:G,MATCH(Cartoes!J7,Escalacao!Q:Q,0))</f>
        <v>610535</v>
      </c>
      <c r="L7" s="22" t="str">
        <f>VLOOKUP(K7,Escalacao!G:I,3,0)</f>
        <v>Paulo Renato</v>
      </c>
      <c r="M7" s="22">
        <f>COUNTIF(Escalacao!G:G,Cartoes!K7)</f>
        <v>3</v>
      </c>
      <c r="N7" s="22" t="str">
        <f>VLOOKUP(A7,Escalacao!A:R,18,0)</f>
        <v>12.01.2025 - Moto Club - MA x Maranhão - MA</v>
      </c>
    </row>
    <row r="8" spans="1:14" ht="13.8" customHeight="1">
      <c r="A8" s="7">
        <v>2</v>
      </c>
      <c r="B8" s="7" t="s">
        <v>288</v>
      </c>
      <c r="C8" s="7" t="s">
        <v>111</v>
      </c>
      <c r="D8" s="8">
        <v>5</v>
      </c>
      <c r="E8" s="7" t="s">
        <v>293</v>
      </c>
      <c r="F8" s="14" t="s">
        <v>273</v>
      </c>
      <c r="G8" s="22" t="str">
        <f>VLOOKUP(A8,'JOGOS BASE'!A:F,6,)</f>
        <v>Mayron Frederico dos Reis Novais</v>
      </c>
      <c r="H8" s="14">
        <v>1</v>
      </c>
      <c r="I8" s="14">
        <v>0</v>
      </c>
      <c r="J8" s="22" t="str">
        <f t="shared" si="1"/>
        <v>25Moto Club - MA</v>
      </c>
      <c r="K8" s="22">
        <f>INDEX(Escalacao!G:G,MATCH(Cartoes!J8,Escalacao!Q:Q,0))</f>
        <v>343511</v>
      </c>
      <c r="L8" s="22" t="str">
        <f>VLOOKUP(K8,Escalacao!G:I,3,0)</f>
        <v>Felipe Dias</v>
      </c>
      <c r="M8" s="22">
        <f>COUNTIF(Escalacao!G:G,Cartoes!K8)</f>
        <v>3</v>
      </c>
      <c r="N8" s="22" t="str">
        <f>VLOOKUP(A8,Escalacao!A:R,18,0)</f>
        <v>12.01.2025 - Moto Club - MA x Maranhão - MA</v>
      </c>
    </row>
    <row r="9" spans="1:14" ht="13.8" customHeight="1">
      <c r="A9" s="7">
        <v>2</v>
      </c>
      <c r="B9" s="7" t="s">
        <v>289</v>
      </c>
      <c r="C9" s="7" t="s">
        <v>141</v>
      </c>
      <c r="D9" s="8">
        <v>11</v>
      </c>
      <c r="E9" s="7" t="s">
        <v>294</v>
      </c>
      <c r="F9" s="14" t="s">
        <v>260</v>
      </c>
      <c r="G9" s="22" t="str">
        <f>VLOOKUP(A9,'JOGOS BASE'!A:F,6,)</f>
        <v>Mayron Frederico dos Reis Novais</v>
      </c>
      <c r="H9" s="14">
        <v>1</v>
      </c>
      <c r="I9" s="14">
        <v>0</v>
      </c>
      <c r="J9" s="22" t="str">
        <f t="shared" si="1"/>
        <v>211Maranhão - MA</v>
      </c>
      <c r="K9" s="22">
        <f>INDEX(Escalacao!G:G,MATCH(Cartoes!J9,Escalacao!Q:Q,0))</f>
        <v>618785</v>
      </c>
      <c r="L9" s="22" t="str">
        <f>VLOOKUP(K9,Escalacao!G:I,3,0)</f>
        <v>Ryan</v>
      </c>
      <c r="M9" s="22">
        <f>COUNTIF(Escalacao!G:G,Cartoes!K9)</f>
        <v>3</v>
      </c>
      <c r="N9" s="22" t="str">
        <f>VLOOKUP(A9,Escalacao!A:R,18,0)</f>
        <v>12.01.2025 - Moto Club - MA x Maranhão - MA</v>
      </c>
    </row>
    <row r="10" spans="1:14" ht="13.8" customHeight="1">
      <c r="A10" s="7">
        <v>2</v>
      </c>
      <c r="B10" s="7" t="s">
        <v>290</v>
      </c>
      <c r="C10" s="7" t="s">
        <v>111</v>
      </c>
      <c r="D10" s="8">
        <v>2</v>
      </c>
      <c r="E10" s="7" t="s">
        <v>295</v>
      </c>
      <c r="F10" s="14" t="s">
        <v>260</v>
      </c>
      <c r="G10" s="22" t="str">
        <f>VLOOKUP(A10,'JOGOS BASE'!A:F,6,)</f>
        <v>Mayron Frederico dos Reis Novais</v>
      </c>
      <c r="H10" s="14">
        <v>1</v>
      </c>
      <c r="I10" s="14">
        <v>0</v>
      </c>
      <c r="J10" s="22" t="str">
        <f t="shared" si="1"/>
        <v>22Maranhão - MA</v>
      </c>
      <c r="K10" s="22">
        <f>INDEX(Escalacao!G:G,MATCH(Cartoes!J10,Escalacao!Q:Q,0))</f>
        <v>359014</v>
      </c>
      <c r="L10" s="22" t="str">
        <f>VLOOKUP(K10,Escalacao!G:I,3,0)</f>
        <v>Franklin</v>
      </c>
      <c r="M10" s="22">
        <f>COUNTIF(Escalacao!G:G,Cartoes!K10)</f>
        <v>3</v>
      </c>
      <c r="N10" s="22" t="str">
        <f>VLOOKUP(A10,Escalacao!A:R,18,0)</f>
        <v>12.01.2025 - Moto Club - MA x Maranhão - MA</v>
      </c>
    </row>
    <row r="11" spans="1:14" ht="13.8" customHeight="1">
      <c r="A11" s="7">
        <v>2</v>
      </c>
      <c r="B11" s="7" t="s">
        <v>291</v>
      </c>
      <c r="C11" s="7" t="s">
        <v>111</v>
      </c>
      <c r="D11" s="8">
        <v>3</v>
      </c>
      <c r="E11" s="7" t="s">
        <v>296</v>
      </c>
      <c r="F11" s="14" t="s">
        <v>260</v>
      </c>
      <c r="G11" s="22" t="str">
        <f>VLOOKUP(A11,'JOGOS BASE'!A:F,6,)</f>
        <v>Mayron Frederico dos Reis Novais</v>
      </c>
      <c r="H11" s="14">
        <v>1</v>
      </c>
      <c r="I11" s="14">
        <v>0</v>
      </c>
      <c r="J11" s="22" t="str">
        <f t="shared" si="1"/>
        <v>23Maranhão - MA</v>
      </c>
      <c r="K11" s="22">
        <f>INDEX(Escalacao!G:G,MATCH(Cartoes!J11,Escalacao!Q:Q,0))</f>
        <v>401846</v>
      </c>
      <c r="L11" s="22" t="str">
        <f>VLOOKUP(K11,Escalacao!G:I,3,0)</f>
        <v>Luiz Fernando</v>
      </c>
      <c r="M11" s="22">
        <f>COUNTIF(Escalacao!G:G,Cartoes!K11)</f>
        <v>3</v>
      </c>
      <c r="N11" s="22" t="str">
        <f>VLOOKUP(A11,Escalacao!A:R,18,0)</f>
        <v>12.01.2025 - Moto Club - MA x Maranhão - MA</v>
      </c>
    </row>
    <row r="12" spans="1:14" ht="13.8" customHeight="1">
      <c r="A12" s="7">
        <v>2</v>
      </c>
      <c r="B12" s="49">
        <v>0</v>
      </c>
      <c r="C12" s="7" t="s">
        <v>297</v>
      </c>
      <c r="D12" s="8">
        <v>5</v>
      </c>
      <c r="E12" s="7" t="s">
        <v>298</v>
      </c>
      <c r="F12" s="14" t="s">
        <v>260</v>
      </c>
      <c r="G12" s="22" t="str">
        <f>VLOOKUP(A12,'JOGOS BASE'!A:F,6,)</f>
        <v>Mayron Frederico dos Reis Novais</v>
      </c>
      <c r="H12" s="14">
        <v>0</v>
      </c>
      <c r="I12" s="14">
        <v>1</v>
      </c>
      <c r="J12" s="22" t="str">
        <f t="shared" si="1"/>
        <v>25Maranhão - MA</v>
      </c>
      <c r="K12" s="22">
        <f>INDEX(Escalacao!G:G,MATCH(Cartoes!J12,Escalacao!Q:Q,0))</f>
        <v>320815</v>
      </c>
      <c r="L12" s="22" t="str">
        <f>VLOOKUP(K12,Escalacao!G:I,3,0)</f>
        <v>Rodrigo Co ...</v>
      </c>
      <c r="M12" s="22">
        <f>COUNTIF(Escalacao!G:G,Cartoes!K12)</f>
        <v>2</v>
      </c>
      <c r="N12" s="22" t="str">
        <f>VLOOKUP(A12,Escalacao!A:R,18,0)</f>
        <v>12.01.2025 - Moto Club - MA x Maranhão - MA</v>
      </c>
    </row>
    <row r="13" spans="1:14" ht="13.8" customHeight="1">
      <c r="A13" s="7">
        <v>2</v>
      </c>
      <c r="B13" s="49">
        <v>0</v>
      </c>
      <c r="C13" s="7" t="s">
        <v>297</v>
      </c>
      <c r="D13" s="8">
        <v>15</v>
      </c>
      <c r="E13" s="7" t="s">
        <v>299</v>
      </c>
      <c r="F13" s="14" t="s">
        <v>260</v>
      </c>
      <c r="G13" s="22" t="str">
        <f>VLOOKUP(A13,'JOGOS BASE'!A:F,6,)</f>
        <v>Mayron Frederico dos Reis Novais</v>
      </c>
      <c r="H13" s="14">
        <v>0</v>
      </c>
      <c r="I13" s="14">
        <v>1</v>
      </c>
      <c r="J13" s="22" t="str">
        <f t="shared" si="1"/>
        <v>215Maranhão - MA</v>
      </c>
      <c r="K13" s="22">
        <f>INDEX(Escalacao!G:G,MATCH(Cartoes!J13,Escalacao!Q:Q,0))</f>
        <v>597056</v>
      </c>
      <c r="L13" s="22" t="str">
        <f>VLOOKUP(K13,Escalacao!G:I,3,0)</f>
        <v>EDSON</v>
      </c>
      <c r="M13" s="22">
        <f>COUNTIF(Escalacao!G:G,Cartoes!K13)</f>
        <v>2</v>
      </c>
      <c r="N13" s="22" t="str">
        <f>VLOOKUP(A13,Escalacao!A:R,18,0)</f>
        <v>12.01.2025 - Moto Club - MA x Maranhão - MA</v>
      </c>
    </row>
    <row r="14" spans="1:14" ht="13.8" customHeight="1">
      <c r="A14" s="7">
        <v>3</v>
      </c>
      <c r="B14" s="7" t="s">
        <v>357</v>
      </c>
      <c r="C14" s="7" t="s">
        <v>141</v>
      </c>
      <c r="D14" s="8">
        <v>6</v>
      </c>
      <c r="E14" s="7" t="s">
        <v>358</v>
      </c>
      <c r="F14" s="14" t="s">
        <v>368</v>
      </c>
      <c r="G14" s="22" t="str">
        <f>VLOOKUP(A14,'JOGOS BASE'!A:F,6,)</f>
        <v>Marcos Vinicius Muniz Teixeira</v>
      </c>
      <c r="H14" s="14">
        <v>1</v>
      </c>
      <c r="I14" s="14">
        <v>0</v>
      </c>
      <c r="J14" s="22" t="str">
        <f t="shared" ref="J14:J20" si="2">A14&amp;D14&amp;F14</f>
        <v>36Pinheiro - MA</v>
      </c>
      <c r="K14" s="22">
        <f>INDEX(Escalacao!G:G,MATCH(Cartoes!J14,Escalacao!Q:Q,0))</f>
        <v>637743</v>
      </c>
      <c r="L14" s="22" t="str">
        <f>VLOOKUP(K14,Escalacao!G:I,3,0)</f>
        <v>Gabriel</v>
      </c>
      <c r="M14" s="22">
        <f>COUNTIF(Escalacao!G:G,Cartoes!K14)</f>
        <v>4</v>
      </c>
      <c r="N14" s="22" t="str">
        <f>VLOOKUP(A14,Escalacao!A:R,18,0)</f>
        <v>12.01.2025 - Pinheiro - MA x Viana - MA</v>
      </c>
    </row>
    <row r="15" spans="1:14" ht="13.8" customHeight="1">
      <c r="A15" s="7">
        <v>3</v>
      </c>
      <c r="B15" s="7" t="s">
        <v>359</v>
      </c>
      <c r="C15" s="7" t="s">
        <v>111</v>
      </c>
      <c r="D15" s="8">
        <v>2</v>
      </c>
      <c r="E15" s="7" t="s">
        <v>360</v>
      </c>
      <c r="F15" s="14" t="s">
        <v>368</v>
      </c>
      <c r="G15" s="22" t="str">
        <f>VLOOKUP(A15,'JOGOS BASE'!A:F,6,)</f>
        <v>Marcos Vinicius Muniz Teixeira</v>
      </c>
      <c r="H15" s="14">
        <v>1</v>
      </c>
      <c r="I15" s="14">
        <v>0</v>
      </c>
      <c r="J15" s="22" t="str">
        <f t="shared" si="2"/>
        <v>32Pinheiro - MA</v>
      </c>
      <c r="K15" s="22">
        <f>INDEX(Escalacao!G:G,MATCH(Cartoes!J15,Escalacao!Q:Q,0))</f>
        <v>748495</v>
      </c>
      <c r="L15" s="22" t="str">
        <f>VLOOKUP(K15,Escalacao!G:I,3,0)</f>
        <v>Italo</v>
      </c>
      <c r="M15" s="22">
        <f>COUNTIF(Escalacao!G:G,Cartoes!K15)</f>
        <v>5</v>
      </c>
      <c r="N15" s="22" t="str">
        <f>VLOOKUP(A15,Escalacao!A:R,18,0)</f>
        <v>12.01.2025 - Pinheiro - MA x Viana - MA</v>
      </c>
    </row>
    <row r="16" spans="1:14" ht="13.8" customHeight="1">
      <c r="A16" s="7">
        <v>3</v>
      </c>
      <c r="B16" s="7" t="s">
        <v>361</v>
      </c>
      <c r="C16" s="7" t="s">
        <v>141</v>
      </c>
      <c r="D16" s="8">
        <v>2</v>
      </c>
      <c r="E16" s="7" t="s">
        <v>338</v>
      </c>
      <c r="F16" s="14" t="s">
        <v>381</v>
      </c>
      <c r="G16" s="22" t="str">
        <f>VLOOKUP(A16,'JOGOS BASE'!A:F,6,)</f>
        <v>Marcos Vinicius Muniz Teixeira</v>
      </c>
      <c r="H16" s="14">
        <v>1</v>
      </c>
      <c r="I16" s="14">
        <v>0</v>
      </c>
      <c r="J16" s="22" t="str">
        <f t="shared" si="2"/>
        <v>32Viana - MA</v>
      </c>
      <c r="K16" s="22">
        <f>INDEX(Escalacao!G:G,MATCH(Cartoes!J16,Escalacao!Q:Q,0))</f>
        <v>754354</v>
      </c>
      <c r="L16" s="22" t="str">
        <f>VLOOKUP(K16,Escalacao!G:I,3,0)</f>
        <v>ARTHUR CAR</v>
      </c>
      <c r="M16" s="22">
        <f>COUNTIF(Escalacao!G:G,Cartoes!K16)</f>
        <v>1</v>
      </c>
      <c r="N16" s="22" t="str">
        <f>VLOOKUP(A16,Escalacao!A:R,18,0)</f>
        <v>12.01.2025 - Pinheiro - MA x Viana - MA</v>
      </c>
    </row>
    <row r="17" spans="1:14" ht="13.8" customHeight="1">
      <c r="A17" s="7">
        <v>3</v>
      </c>
      <c r="B17" s="7" t="s">
        <v>362</v>
      </c>
      <c r="C17" s="7" t="s">
        <v>111</v>
      </c>
      <c r="D17" s="8">
        <v>4</v>
      </c>
      <c r="E17" s="7" t="s">
        <v>363</v>
      </c>
      <c r="F17" s="14" t="s">
        <v>381</v>
      </c>
      <c r="G17" s="22" t="str">
        <f>VLOOKUP(A17,'JOGOS BASE'!A:F,6,)</f>
        <v>Marcos Vinicius Muniz Teixeira</v>
      </c>
      <c r="H17" s="14">
        <v>1</v>
      </c>
      <c r="I17" s="14">
        <v>0</v>
      </c>
      <c r="J17" s="22" t="str">
        <f t="shared" si="2"/>
        <v>34Viana - MA</v>
      </c>
      <c r="K17" s="22">
        <f>INDEX(Escalacao!G:G,MATCH(Cartoes!J17,Escalacao!Q:Q,0))</f>
        <v>622807</v>
      </c>
      <c r="L17" s="22" t="str">
        <f>VLOOKUP(K17,Escalacao!G:I,3,0)</f>
        <v>LUIZ HENRIQ</v>
      </c>
      <c r="M17" s="22">
        <f>COUNTIF(Escalacao!G:G,Cartoes!K17)</f>
        <v>1</v>
      </c>
      <c r="N17" s="22" t="str">
        <f>VLOOKUP(A17,Escalacao!A:R,18,0)</f>
        <v>12.01.2025 - Pinheiro - MA x Viana - MA</v>
      </c>
    </row>
    <row r="18" spans="1:14" ht="13.8" customHeight="1">
      <c r="A18" s="7">
        <v>3</v>
      </c>
      <c r="B18" s="7" t="s">
        <v>364</v>
      </c>
      <c r="C18" s="7" t="s">
        <v>111</v>
      </c>
      <c r="D18" s="8">
        <v>13</v>
      </c>
      <c r="E18" s="7" t="s">
        <v>365</v>
      </c>
      <c r="F18" s="14" t="s">
        <v>381</v>
      </c>
      <c r="G18" s="22" t="str">
        <f>VLOOKUP(A18,'JOGOS BASE'!A:F,6,)</f>
        <v>Marcos Vinicius Muniz Teixeira</v>
      </c>
      <c r="H18" s="14">
        <v>1</v>
      </c>
      <c r="I18" s="14">
        <v>0</v>
      </c>
      <c r="J18" s="22" t="str">
        <f t="shared" si="2"/>
        <v>313Viana - MA</v>
      </c>
      <c r="K18" s="22">
        <f>INDEX(Escalacao!G:G,MATCH(Cartoes!J18,Escalacao!Q:Q,0))</f>
        <v>683760</v>
      </c>
      <c r="L18" s="22" t="str">
        <f>VLOOKUP(K18,Escalacao!G:I,3,0)</f>
        <v>PAULO</v>
      </c>
      <c r="M18" s="22">
        <f>COUNTIF(Escalacao!G:G,Cartoes!K18)</f>
        <v>4</v>
      </c>
      <c r="N18" s="22" t="str">
        <f>VLOOKUP(A18,Escalacao!A:R,18,0)</f>
        <v>12.01.2025 - Pinheiro - MA x Viana - MA</v>
      </c>
    </row>
    <row r="19" spans="1:14" ht="13.8" customHeight="1">
      <c r="A19" s="7">
        <v>3</v>
      </c>
      <c r="B19" s="7" t="s">
        <v>159</v>
      </c>
      <c r="C19" s="7" t="s">
        <v>141</v>
      </c>
      <c r="D19" s="8">
        <v>6</v>
      </c>
      <c r="E19" s="7" t="s">
        <v>366</v>
      </c>
      <c r="F19" s="14" t="s">
        <v>381</v>
      </c>
      <c r="G19" s="22" t="str">
        <f>VLOOKUP(A19,'JOGOS BASE'!A:F,6,)</f>
        <v>Marcos Vinicius Muniz Teixeira</v>
      </c>
      <c r="H19" s="14">
        <v>1</v>
      </c>
      <c r="I19" s="14">
        <v>0</v>
      </c>
      <c r="J19" s="22" t="str">
        <f t="shared" si="2"/>
        <v>36Viana - MA</v>
      </c>
      <c r="K19" s="22">
        <f>INDEX(Escalacao!G:G,MATCH(Cartoes!J19,Escalacao!Q:Q,0))</f>
        <v>621098</v>
      </c>
      <c r="L19" s="22" t="str">
        <f>VLOOKUP(K19,Escalacao!G:I,3,0)</f>
        <v>Leleu</v>
      </c>
      <c r="M19" s="22">
        <f>COUNTIF(Escalacao!G:G,Cartoes!K19)</f>
        <v>3</v>
      </c>
      <c r="N19" s="22" t="str">
        <f>VLOOKUP(A19,Escalacao!A:R,18,0)</f>
        <v>12.01.2025 - Pinheiro - MA x Viana - MA</v>
      </c>
    </row>
    <row r="20" spans="1:14" ht="13.8" customHeight="1">
      <c r="A20" s="7">
        <v>4</v>
      </c>
      <c r="B20" s="7" t="s">
        <v>396</v>
      </c>
      <c r="C20" s="7" t="s">
        <v>111</v>
      </c>
      <c r="D20" s="8">
        <v>3</v>
      </c>
      <c r="E20" s="7" t="s">
        <v>397</v>
      </c>
      <c r="F20" s="14" t="s">
        <v>368</v>
      </c>
      <c r="G20" s="22" t="str">
        <f>VLOOKUP(A20,'JOGOS BASE'!A:F,6,)</f>
        <v>Maykon Matos Nunes</v>
      </c>
      <c r="H20" s="14">
        <v>1</v>
      </c>
      <c r="I20" s="14">
        <v>0</v>
      </c>
      <c r="J20" s="22" t="str">
        <f t="shared" si="2"/>
        <v>43Pinheiro - MA</v>
      </c>
      <c r="K20" s="22">
        <f>INDEX(Escalacao!G:G,MATCH(Cartoes!J20,Escalacao!Q:Q,0))</f>
        <v>619339</v>
      </c>
      <c r="L20" s="22" t="str">
        <f>VLOOKUP(K20,Escalacao!G:I,3,0)</f>
        <v>Henrique</v>
      </c>
      <c r="M20" s="22">
        <f>COUNTIF(Escalacao!G:G,Cartoes!K20)</f>
        <v>5</v>
      </c>
      <c r="N20" s="22" t="str">
        <f>VLOOKUP(A20,Escalacao!A:R,18,0)</f>
        <v>15.01.2025 - Pinheiro - MA x Maranhão - MA</v>
      </c>
    </row>
    <row r="21" spans="1:14" ht="13.8" customHeight="1">
      <c r="A21" s="7">
        <v>4</v>
      </c>
      <c r="B21" s="7" t="s">
        <v>155</v>
      </c>
      <c r="C21" s="7" t="s">
        <v>111</v>
      </c>
      <c r="D21" s="8">
        <v>6</v>
      </c>
      <c r="E21" s="7" t="s">
        <v>358</v>
      </c>
      <c r="F21" s="14" t="s">
        <v>368</v>
      </c>
      <c r="G21" s="22" t="str">
        <f>VLOOKUP(A21,'JOGOS BASE'!A:F,6,)</f>
        <v>Maykon Matos Nunes</v>
      </c>
      <c r="H21" s="14">
        <v>1</v>
      </c>
      <c r="I21" s="14">
        <v>0</v>
      </c>
      <c r="J21" s="22" t="str">
        <f t="shared" ref="J21:J27" si="3">A21&amp;D21&amp;F21</f>
        <v>46Pinheiro - MA</v>
      </c>
      <c r="K21" s="22">
        <f>INDEX(Escalacao!G:G,MATCH(Cartoes!J21,Escalacao!Q:Q,0))</f>
        <v>637743</v>
      </c>
      <c r="L21" s="22" t="str">
        <f>VLOOKUP(K21,Escalacao!G:I,3,0)</f>
        <v>Gabriel</v>
      </c>
      <c r="M21" s="22">
        <f>COUNTIF(Escalacao!G:G,Cartoes!K21)</f>
        <v>4</v>
      </c>
      <c r="N21" s="22" t="str">
        <f>VLOOKUP(A21,Escalacao!A:R,18,0)</f>
        <v>15.01.2025 - Pinheiro - MA x Maranhão - MA</v>
      </c>
    </row>
    <row r="22" spans="1:14" ht="13.8" customHeight="1">
      <c r="A22" s="7">
        <v>4</v>
      </c>
      <c r="B22" s="7" t="s">
        <v>357</v>
      </c>
      <c r="C22" s="7" t="s">
        <v>111</v>
      </c>
      <c r="D22" s="8">
        <v>10</v>
      </c>
      <c r="E22" s="7" t="s">
        <v>319</v>
      </c>
      <c r="F22" s="14" t="s">
        <v>368</v>
      </c>
      <c r="G22" s="22" t="str">
        <f>VLOOKUP(A22,'JOGOS BASE'!A:F,6,)</f>
        <v>Maykon Matos Nunes</v>
      </c>
      <c r="H22" s="14">
        <v>1</v>
      </c>
      <c r="I22" s="14">
        <v>0</v>
      </c>
      <c r="J22" s="22" t="str">
        <f t="shared" si="3"/>
        <v>410Pinheiro - MA</v>
      </c>
      <c r="K22" s="22">
        <f>INDEX(Escalacao!G:G,MATCH(Cartoes!J22,Escalacao!Q:Q,0))</f>
        <v>554277</v>
      </c>
      <c r="L22" s="22" t="str">
        <f>VLOOKUP(K22,Escalacao!G:I,3,0)</f>
        <v>Neto</v>
      </c>
      <c r="M22" s="22">
        <f>COUNTIF(Escalacao!G:G,Cartoes!K22)</f>
        <v>5</v>
      </c>
      <c r="N22" s="22" t="str">
        <f>VLOOKUP(A22,Escalacao!A:R,18,0)</f>
        <v>15.01.2025 - Pinheiro - MA x Maranhão - MA</v>
      </c>
    </row>
    <row r="23" spans="1:14" ht="13.8" customHeight="1">
      <c r="A23" s="7">
        <v>4</v>
      </c>
      <c r="B23" s="7" t="s">
        <v>398</v>
      </c>
      <c r="C23" s="7" t="s">
        <v>111</v>
      </c>
      <c r="D23" s="8">
        <v>18</v>
      </c>
      <c r="E23" s="7" t="s">
        <v>399</v>
      </c>
      <c r="F23" s="14" t="s">
        <v>368</v>
      </c>
      <c r="G23" s="22" t="str">
        <f>VLOOKUP(A23,'JOGOS BASE'!A:F,6,)</f>
        <v>Maykon Matos Nunes</v>
      </c>
      <c r="H23" s="14">
        <v>1</v>
      </c>
      <c r="I23" s="14">
        <v>0</v>
      </c>
      <c r="J23" s="22" t="str">
        <f t="shared" si="3"/>
        <v>418Pinheiro - MA</v>
      </c>
      <c r="K23" s="22">
        <f>INDEX(Escalacao!G:G,MATCH(Cartoes!J23,Escalacao!Q:Q,0))</f>
        <v>710709</v>
      </c>
      <c r="L23" s="22" t="str">
        <f>VLOOKUP(K23,Escalacao!G:I,3,0)</f>
        <v>BASTICO</v>
      </c>
      <c r="M23" s="22">
        <f>COUNTIF(Escalacao!G:G,Cartoes!K23)</f>
        <v>5</v>
      </c>
      <c r="N23" s="22" t="str">
        <f>VLOOKUP(A23,Escalacao!A:R,18,0)</f>
        <v>15.01.2025 - Pinheiro - MA x Maranhão - MA</v>
      </c>
    </row>
    <row r="24" spans="1:14" ht="13.8" customHeight="1">
      <c r="A24" s="7">
        <v>4</v>
      </c>
      <c r="B24" s="7" t="s">
        <v>371</v>
      </c>
      <c r="C24" s="7" t="s">
        <v>111</v>
      </c>
      <c r="D24" s="8">
        <v>1</v>
      </c>
      <c r="E24" s="7" t="s">
        <v>302</v>
      </c>
      <c r="F24" s="14" t="s">
        <v>368</v>
      </c>
      <c r="G24" s="22" t="str">
        <f>VLOOKUP(A24,'JOGOS BASE'!A:F,6,)</f>
        <v>Maykon Matos Nunes</v>
      </c>
      <c r="H24" s="14">
        <v>1</v>
      </c>
      <c r="I24" s="14">
        <v>0</v>
      </c>
      <c r="J24" s="22" t="str">
        <f t="shared" si="3"/>
        <v>41Pinheiro - MA</v>
      </c>
      <c r="K24" s="22">
        <f>INDEX(Escalacao!G:G,MATCH(Cartoes!J24,Escalacao!Q:Q,0))</f>
        <v>530809</v>
      </c>
      <c r="L24" s="22" t="str">
        <f>VLOOKUP(K24,Escalacao!G:I,3,0)</f>
        <v>Mateus</v>
      </c>
      <c r="M24" s="22">
        <f>COUNTIF(Escalacao!G:G,Cartoes!K24)</f>
        <v>5</v>
      </c>
      <c r="N24" s="22" t="str">
        <f>VLOOKUP(A24,Escalacao!A:R,18,0)</f>
        <v>15.01.2025 - Pinheiro - MA x Maranhão - MA</v>
      </c>
    </row>
    <row r="25" spans="1:14" ht="13.8" customHeight="1">
      <c r="A25" s="7">
        <v>4</v>
      </c>
      <c r="B25" s="7" t="s">
        <v>371</v>
      </c>
      <c r="C25" s="7" t="s">
        <v>141</v>
      </c>
      <c r="D25" s="8">
        <v>20</v>
      </c>
      <c r="E25" s="7" t="s">
        <v>400</v>
      </c>
      <c r="F25" s="14" t="s">
        <v>260</v>
      </c>
      <c r="G25" s="22" t="str">
        <f>VLOOKUP(A25,'JOGOS BASE'!A:F,6,)</f>
        <v>Maykon Matos Nunes</v>
      </c>
      <c r="H25" s="14">
        <v>1</v>
      </c>
      <c r="I25" s="14">
        <v>0</v>
      </c>
      <c r="J25" s="22" t="str">
        <f t="shared" si="3"/>
        <v>420Maranhão - MA</v>
      </c>
      <c r="K25" s="22">
        <f>INDEX(Escalacao!G:G,MATCH(Cartoes!J25,Escalacao!Q:Q,0))</f>
        <v>557892</v>
      </c>
      <c r="L25" s="22" t="str">
        <f>VLOOKUP(K25,Escalacao!G:I,3,0)</f>
        <v>Mikeias</v>
      </c>
      <c r="M25" s="22">
        <f>COUNTIF(Escalacao!G:G,Cartoes!K25)</f>
        <v>3</v>
      </c>
      <c r="N25" s="22" t="str">
        <f>VLOOKUP(A25,Escalacao!A:R,18,0)</f>
        <v>15.01.2025 - Pinheiro - MA x Maranhão - MA</v>
      </c>
    </row>
    <row r="26" spans="1:14" ht="13.8" customHeight="1">
      <c r="A26" s="7">
        <v>4</v>
      </c>
      <c r="B26" s="7" t="s">
        <v>396</v>
      </c>
      <c r="C26" s="7" t="s">
        <v>111</v>
      </c>
      <c r="D26" s="8">
        <v>10</v>
      </c>
      <c r="E26" s="7" t="s">
        <v>401</v>
      </c>
      <c r="F26" s="14" t="s">
        <v>260</v>
      </c>
      <c r="G26" s="22" t="str">
        <f>VLOOKUP(A26,'JOGOS BASE'!A:F,6,)</f>
        <v>Maykon Matos Nunes</v>
      </c>
      <c r="H26" s="14">
        <v>1</v>
      </c>
      <c r="I26" s="14">
        <v>0</v>
      </c>
      <c r="J26" s="22" t="str">
        <f t="shared" si="3"/>
        <v>410Maranhão - MA</v>
      </c>
      <c r="K26" s="22">
        <f>INDEX(Escalacao!G:G,MATCH(Cartoes!J26,Escalacao!Q:Q,0))</f>
        <v>543877</v>
      </c>
      <c r="L26" s="22" t="str">
        <f>VLOOKUP(K26,Escalacao!G:I,3,0)</f>
        <v>Emerson Fr ...</v>
      </c>
      <c r="M26" s="22">
        <f>COUNTIF(Escalacao!G:G,Cartoes!K26)</f>
        <v>3</v>
      </c>
      <c r="N26" s="22" t="str">
        <f>VLOOKUP(A26,Escalacao!A:R,18,0)</f>
        <v>15.01.2025 - Pinheiro - MA x Maranhão - MA</v>
      </c>
    </row>
    <row r="27" spans="1:14" ht="13.8" customHeight="1">
      <c r="A27" s="7">
        <v>4</v>
      </c>
      <c r="B27" s="7" t="s">
        <v>402</v>
      </c>
      <c r="C27" s="7" t="s">
        <v>111</v>
      </c>
      <c r="D27" s="8">
        <v>22</v>
      </c>
      <c r="E27" s="7" t="s">
        <v>403</v>
      </c>
      <c r="F27" s="14" t="s">
        <v>260</v>
      </c>
      <c r="G27" s="22" t="str">
        <f>VLOOKUP(A27,'JOGOS BASE'!A:F,6,)</f>
        <v>Maykon Matos Nunes</v>
      </c>
      <c r="H27" s="14">
        <v>1</v>
      </c>
      <c r="I27" s="14">
        <v>0</v>
      </c>
      <c r="J27" s="22" t="str">
        <f t="shared" si="3"/>
        <v>422Maranhão - MA</v>
      </c>
      <c r="K27" s="22">
        <f>INDEX(Escalacao!G:G,MATCH(Cartoes!J27,Escalacao!Q:Q,0))</f>
        <v>393714</v>
      </c>
      <c r="L27" s="22" t="str">
        <f>VLOOKUP(K27,Escalacao!G:I,3,0)</f>
        <v>Jerry</v>
      </c>
      <c r="M27" s="22">
        <f>COUNTIF(Escalacao!G:G,Cartoes!K27)</f>
        <v>3</v>
      </c>
      <c r="N27" s="22" t="str">
        <f>VLOOKUP(A27,Escalacao!A:R,18,0)</f>
        <v>15.01.2025 - Pinheiro - MA x Maranhão - MA</v>
      </c>
    </row>
    <row r="28" spans="1:14" ht="13.8" customHeight="1">
      <c r="A28" s="7">
        <v>5</v>
      </c>
      <c r="B28" s="7" t="s">
        <v>281</v>
      </c>
      <c r="C28" s="7" t="s">
        <v>141</v>
      </c>
      <c r="D28" s="8">
        <v>4</v>
      </c>
      <c r="E28" s="7" t="s">
        <v>437</v>
      </c>
      <c r="F28" s="14" t="s">
        <v>412</v>
      </c>
      <c r="G28" s="22" t="str">
        <f>VLOOKUP(A28,'JOGOS BASE'!A:F,6,)</f>
        <v>Jose Henrique de Azevedo Junior</v>
      </c>
      <c r="H28" s="14">
        <v>1</v>
      </c>
      <c r="I28" s="14">
        <v>0</v>
      </c>
      <c r="J28" s="22" t="str">
        <f t="shared" ref="J28:J31" si="4">A28&amp;D28&amp;F28</f>
        <v>54Iape - MA</v>
      </c>
      <c r="K28" s="22">
        <f>INDEX(Escalacao!G:G,MATCH(Cartoes!J28,Escalacao!Q:Q,0))</f>
        <v>450022</v>
      </c>
      <c r="L28" s="22" t="str">
        <f>VLOOKUP(K28,Escalacao!G:I,3,0)</f>
        <v>Denilson</v>
      </c>
      <c r="M28" s="22">
        <f>COUNTIF(Escalacao!G:G,Cartoes!K28)</f>
        <v>2</v>
      </c>
      <c r="N28" s="22" t="str">
        <f>VLOOKUP(A28,Escalacao!A:R,18,0)</f>
        <v>15.01.2025 - IAPE - MA x Sampaio Corrêa - MA</v>
      </c>
    </row>
    <row r="29" spans="1:14" ht="13.8" customHeight="1">
      <c r="A29" s="7">
        <v>5</v>
      </c>
      <c r="B29" s="7" t="s">
        <v>484</v>
      </c>
      <c r="C29" s="7" t="s">
        <v>111</v>
      </c>
      <c r="D29" s="8">
        <v>16</v>
      </c>
      <c r="E29" s="7" t="s">
        <v>451</v>
      </c>
      <c r="F29" s="14" t="s">
        <v>412</v>
      </c>
      <c r="G29" s="22" t="str">
        <f>VLOOKUP(A29,'JOGOS BASE'!A:F,6,)</f>
        <v>Jose Henrique de Azevedo Junior</v>
      </c>
      <c r="H29" s="14">
        <v>1</v>
      </c>
      <c r="I29" s="14">
        <v>0</v>
      </c>
      <c r="J29" s="22" t="str">
        <f t="shared" si="4"/>
        <v>516Iape - MA</v>
      </c>
      <c r="K29" s="22">
        <f>INDEX(Escalacao!G:G,MATCH(Cartoes!J29,Escalacao!Q:Q,0))</f>
        <v>419381</v>
      </c>
      <c r="L29" s="22" t="str">
        <f>VLOOKUP(K29,Escalacao!G:I,3,0)</f>
        <v>Guilherme</v>
      </c>
      <c r="M29" s="22">
        <f>COUNTIF(Escalacao!G:G,Cartoes!K29)</f>
        <v>2</v>
      </c>
      <c r="N29" s="22" t="str">
        <f>VLOOKUP(A29,Escalacao!A:R,18,0)</f>
        <v>15.01.2025 - IAPE - MA x Sampaio Corrêa - MA</v>
      </c>
    </row>
    <row r="30" spans="1:14" ht="13.8" customHeight="1">
      <c r="A30" s="7">
        <v>5</v>
      </c>
      <c r="B30" s="7" t="s">
        <v>398</v>
      </c>
      <c r="C30" s="7" t="s">
        <v>111</v>
      </c>
      <c r="D30" s="8">
        <v>22</v>
      </c>
      <c r="E30" s="7" t="s">
        <v>485</v>
      </c>
      <c r="F30" s="14" t="s">
        <v>412</v>
      </c>
      <c r="G30" s="22" t="str">
        <f>VLOOKUP(A30,'JOGOS BASE'!A:F,6,)</f>
        <v>Jose Henrique de Azevedo Junior</v>
      </c>
      <c r="H30" s="14">
        <v>1</v>
      </c>
      <c r="I30" s="14">
        <v>0</v>
      </c>
      <c r="J30" s="22" t="str">
        <f t="shared" si="4"/>
        <v>522Iape - MA</v>
      </c>
      <c r="K30" s="22">
        <f>INDEX(Escalacao!G:G,MATCH(Cartoes!J30,Escalacao!Q:Q,0))</f>
        <v>533063</v>
      </c>
      <c r="L30" s="22" t="str">
        <f>VLOOKUP(K30,Escalacao!G:I,3,0)</f>
        <v>Paulo Victor</v>
      </c>
      <c r="M30" s="22">
        <f>COUNTIF(Escalacao!G:G,Cartoes!K30)</f>
        <v>2</v>
      </c>
      <c r="N30" s="22" t="str">
        <f>VLOOKUP(A30,Escalacao!A:R,18,0)</f>
        <v>15.01.2025 - IAPE - MA x Sampaio Corrêa - MA</v>
      </c>
    </row>
    <row r="31" spans="1:14" ht="13.8" customHeight="1">
      <c r="A31" s="7">
        <v>5</v>
      </c>
      <c r="B31" s="7" t="s">
        <v>119</v>
      </c>
      <c r="C31" s="7" t="s">
        <v>111</v>
      </c>
      <c r="D31" s="8">
        <v>15</v>
      </c>
      <c r="E31" s="7" t="s">
        <v>85</v>
      </c>
      <c r="F31" s="14" t="s">
        <v>122</v>
      </c>
      <c r="G31" s="22" t="str">
        <f>VLOOKUP(A31,'JOGOS BASE'!A:F,6,)</f>
        <v>Jose Henrique de Azevedo Junior</v>
      </c>
      <c r="H31" s="14">
        <v>1</v>
      </c>
      <c r="I31" s="14">
        <v>0</v>
      </c>
      <c r="J31" s="22" t="str">
        <f t="shared" si="4"/>
        <v>515Sampaio Corrêa - MA</v>
      </c>
      <c r="K31" s="22">
        <f>INDEX(Escalacao!G:G,MATCH(Cartoes!J31,Escalacao!Q:Q,0))</f>
        <v>523681</v>
      </c>
      <c r="L31" s="22" t="str">
        <f>VLOOKUP(K31,Escalacao!G:I,3,0)</f>
        <v>Jairzinho</v>
      </c>
      <c r="M31" s="22">
        <f>COUNTIF(Escalacao!G:G,Cartoes!K31)</f>
        <v>5</v>
      </c>
      <c r="N31" s="22" t="str">
        <f>VLOOKUP(A31,Escalacao!A:R,18,0)</f>
        <v>15.01.2025 - IAPE - MA x Sampaio Corrêa - MA</v>
      </c>
    </row>
    <row r="32" spans="1:14" ht="13.8" customHeight="1">
      <c r="A32" s="7">
        <v>6</v>
      </c>
      <c r="B32" s="7" t="s">
        <v>131</v>
      </c>
      <c r="C32" s="7" t="s">
        <v>141</v>
      </c>
      <c r="D32" s="8">
        <v>9</v>
      </c>
      <c r="E32" s="7" t="s">
        <v>503</v>
      </c>
      <c r="F32" s="14" t="s">
        <v>388</v>
      </c>
      <c r="G32" s="22" t="str">
        <f>VLOOKUP(A32,'JOGOS BASE'!A:F,6,)</f>
        <v>Roberto Santos As</v>
      </c>
      <c r="H32" s="14">
        <v>1</v>
      </c>
      <c r="I32" s="14">
        <v>0</v>
      </c>
      <c r="J32" s="22" t="str">
        <f t="shared" ref="J32:J42" si="5">A32&amp;D32&amp;F32</f>
        <v>69Tuntum - MA</v>
      </c>
      <c r="K32" s="22">
        <f>INDEX(Escalacao!G:G,MATCH(Cartoes!J32,Escalacao!Q:Q,0))</f>
        <v>546835</v>
      </c>
      <c r="L32" s="22" t="str">
        <f>VLOOKUP(K32,Escalacao!G:I,3,0)</f>
        <v>Nycollas</v>
      </c>
      <c r="M32" s="22">
        <f>COUNTIF(Escalacao!G:G,Cartoes!K32)</f>
        <v>3</v>
      </c>
      <c r="N32" s="22" t="str">
        <f>VLOOKUP(A32,Escalacao!A:R,18,0)</f>
        <v>15.01.2025 - Tuntum - MA x Imperatriz - MA</v>
      </c>
    </row>
    <row r="33" spans="1:14" ht="13.8" customHeight="1">
      <c r="A33" s="7">
        <v>6</v>
      </c>
      <c r="B33" s="7" t="s">
        <v>504</v>
      </c>
      <c r="C33" s="7" t="s">
        <v>141</v>
      </c>
      <c r="D33" s="8">
        <v>10</v>
      </c>
      <c r="E33" s="7" t="s">
        <v>505</v>
      </c>
      <c r="F33" s="14" t="s">
        <v>388</v>
      </c>
      <c r="G33" s="22" t="str">
        <f>VLOOKUP(A33,'JOGOS BASE'!A:F,6,)</f>
        <v>Roberto Santos As</v>
      </c>
      <c r="H33" s="14">
        <v>1</v>
      </c>
      <c r="I33" s="14">
        <v>0</v>
      </c>
      <c r="J33" s="22" t="str">
        <f t="shared" si="5"/>
        <v>610Tuntum - MA</v>
      </c>
      <c r="K33" s="22">
        <f>INDEX(Escalacao!G:G,MATCH(Cartoes!J33,Escalacao!Q:Q,0))</f>
        <v>591346</v>
      </c>
      <c r="L33" s="22" t="str">
        <f>VLOOKUP(K33,Escalacao!G:I,3,0)</f>
        <v>Cassio</v>
      </c>
      <c r="M33" s="22">
        <f>COUNTIF(Escalacao!G:G,Cartoes!K33)</f>
        <v>3</v>
      </c>
      <c r="N33" s="22" t="str">
        <f>VLOOKUP(A33,Escalacao!A:R,18,0)</f>
        <v>15.01.2025 - Tuntum - MA x Imperatriz - MA</v>
      </c>
    </row>
    <row r="34" spans="1:14" ht="13.8" customHeight="1">
      <c r="A34" s="7">
        <v>6</v>
      </c>
      <c r="B34" s="7" t="s">
        <v>506</v>
      </c>
      <c r="C34" s="7" t="s">
        <v>111</v>
      </c>
      <c r="D34" s="8">
        <v>6</v>
      </c>
      <c r="E34" s="7" t="s">
        <v>507</v>
      </c>
      <c r="F34" s="14" t="s">
        <v>388</v>
      </c>
      <c r="G34" s="22" t="str">
        <f>VLOOKUP(A34,'JOGOS BASE'!A:F,6,)</f>
        <v>Roberto Santos As</v>
      </c>
      <c r="H34" s="14">
        <v>1</v>
      </c>
      <c r="I34" s="14">
        <v>0</v>
      </c>
      <c r="J34" s="22" t="str">
        <f t="shared" si="5"/>
        <v>66Tuntum - MA</v>
      </c>
      <c r="K34" s="22">
        <f>INDEX(Escalacao!G:G,MATCH(Cartoes!J34,Escalacao!Q:Q,0))</f>
        <v>671796</v>
      </c>
      <c r="L34" s="22" t="str">
        <f>VLOOKUP(K34,Escalacao!G:I,3,0)</f>
        <v>Matheus Lima</v>
      </c>
      <c r="M34" s="22">
        <f>COUNTIF(Escalacao!G:G,Cartoes!K34)</f>
        <v>3</v>
      </c>
      <c r="N34" s="22" t="str">
        <f>VLOOKUP(A34,Escalacao!A:R,18,0)</f>
        <v>15.01.2025 - Tuntum - MA x Imperatriz - MA</v>
      </c>
    </row>
    <row r="35" spans="1:14" ht="13.8" customHeight="1">
      <c r="A35" s="7">
        <v>6</v>
      </c>
      <c r="B35" s="7" t="s">
        <v>398</v>
      </c>
      <c r="C35" s="7" t="s">
        <v>111</v>
      </c>
      <c r="D35" s="8">
        <v>4</v>
      </c>
      <c r="E35" s="7" t="s">
        <v>508</v>
      </c>
      <c r="F35" s="14" t="s">
        <v>388</v>
      </c>
      <c r="G35" s="22" t="str">
        <f>VLOOKUP(A35,'JOGOS BASE'!A:F,6,)</f>
        <v>Roberto Santos As</v>
      </c>
      <c r="H35" s="14">
        <v>1</v>
      </c>
      <c r="I35" s="14">
        <v>0</v>
      </c>
      <c r="J35" s="22" t="str">
        <f t="shared" si="5"/>
        <v>64Tuntum - MA</v>
      </c>
      <c r="K35" s="22">
        <f>INDEX(Escalacao!G:G,MATCH(Cartoes!J35,Escalacao!Q:Q,0))</f>
        <v>175123</v>
      </c>
      <c r="L35" s="22" t="str">
        <f>VLOOKUP(K35,Escalacao!G:I,3,0)</f>
        <v>Robinho</v>
      </c>
      <c r="M35" s="22">
        <f>COUNTIF(Escalacao!G:G,Cartoes!K35)</f>
        <v>3</v>
      </c>
      <c r="N35" s="22" t="str">
        <f>VLOOKUP(A35,Escalacao!A:R,18,0)</f>
        <v>15.01.2025 - Tuntum - MA x Imperatriz - MA</v>
      </c>
    </row>
    <row r="36" spans="1:14" ht="13.8" customHeight="1">
      <c r="A36" s="7">
        <v>6</v>
      </c>
      <c r="B36" s="7" t="s">
        <v>371</v>
      </c>
      <c r="C36" s="7" t="s">
        <v>141</v>
      </c>
      <c r="D36" s="8">
        <v>2</v>
      </c>
      <c r="E36" s="7" t="s">
        <v>509</v>
      </c>
      <c r="F36" s="14" t="s">
        <v>107</v>
      </c>
      <c r="G36" s="22" t="str">
        <f>VLOOKUP(A36,'JOGOS BASE'!A:F,6,)</f>
        <v>Roberto Santos As</v>
      </c>
      <c r="H36" s="14">
        <v>1</v>
      </c>
      <c r="I36" s="14">
        <v>0</v>
      </c>
      <c r="J36" s="22" t="str">
        <f t="shared" si="5"/>
        <v>62Imperatriz - MA</v>
      </c>
      <c r="K36" s="22">
        <f>INDEX(Escalacao!G:G,MATCH(Cartoes!J36,Escalacao!Q:Q,0))</f>
        <v>191387</v>
      </c>
      <c r="L36" s="22" t="str">
        <f>VLOOKUP(K36,Escalacao!G:I,3,0)</f>
        <v>Ceara</v>
      </c>
      <c r="M36" s="22">
        <f>COUNTIF(Escalacao!G:G,Cartoes!K36)</f>
        <v>3</v>
      </c>
      <c r="N36" s="22" t="str">
        <f>VLOOKUP(A36,Escalacao!A:R,18,0)</f>
        <v>15.01.2025 - Tuntum - MA x Imperatriz - MA</v>
      </c>
    </row>
    <row r="37" spans="1:14" ht="13.8" customHeight="1">
      <c r="A37" s="7">
        <v>6</v>
      </c>
      <c r="B37" s="7" t="s">
        <v>131</v>
      </c>
      <c r="C37" s="7" t="s">
        <v>141</v>
      </c>
      <c r="D37" s="8">
        <v>3</v>
      </c>
      <c r="E37" s="7" t="s">
        <v>510</v>
      </c>
      <c r="F37" s="14" t="s">
        <v>107</v>
      </c>
      <c r="G37" s="22" t="str">
        <f>VLOOKUP(A37,'JOGOS BASE'!A:F,6,)</f>
        <v>Roberto Santos As</v>
      </c>
      <c r="H37" s="14">
        <v>1</v>
      </c>
      <c r="I37" s="14">
        <v>0</v>
      </c>
      <c r="J37" s="22" t="str">
        <f t="shared" si="5"/>
        <v>63Imperatriz - MA</v>
      </c>
      <c r="K37" s="22">
        <f>INDEX(Escalacao!G:G,MATCH(Cartoes!J37,Escalacao!Q:Q,0))</f>
        <v>393115</v>
      </c>
      <c r="L37" s="22" t="str">
        <f>VLOOKUP(K37,Escalacao!G:I,3,0)</f>
        <v>Andre Penalva</v>
      </c>
      <c r="M37" s="22">
        <f>COUNTIF(Escalacao!G:G,Cartoes!K37)</f>
        <v>5</v>
      </c>
      <c r="N37" s="22" t="str">
        <f>VLOOKUP(A37,Escalacao!A:R,18,0)</f>
        <v>15.01.2025 - Tuntum - MA x Imperatriz - MA</v>
      </c>
    </row>
    <row r="38" spans="1:14" ht="13.8" customHeight="1">
      <c r="A38" s="7">
        <v>6</v>
      </c>
      <c r="B38" s="7" t="s">
        <v>511</v>
      </c>
      <c r="C38" s="7" t="s">
        <v>111</v>
      </c>
      <c r="D38" s="8">
        <v>10</v>
      </c>
      <c r="E38" s="7" t="s">
        <v>512</v>
      </c>
      <c r="F38" s="14" t="s">
        <v>107</v>
      </c>
      <c r="G38" s="22" t="str">
        <f>VLOOKUP(A38,'JOGOS BASE'!A:F,6,)</f>
        <v>Roberto Santos As</v>
      </c>
      <c r="H38" s="14">
        <v>1</v>
      </c>
      <c r="I38" s="14">
        <v>0</v>
      </c>
      <c r="J38" s="22" t="str">
        <f t="shared" si="5"/>
        <v>610Imperatriz - MA</v>
      </c>
      <c r="K38" s="22">
        <f>INDEX(Escalacao!G:G,MATCH(Cartoes!J38,Escalacao!Q:Q,0))</f>
        <v>293426</v>
      </c>
      <c r="L38" s="22" t="str">
        <f>VLOOKUP(K38,Escalacao!G:I,3,0)</f>
        <v>Henrique S ...</v>
      </c>
      <c r="M38" s="22">
        <f>COUNTIF(Escalacao!G:G,Cartoes!K38)</f>
        <v>5</v>
      </c>
      <c r="N38" s="22" t="str">
        <f>VLOOKUP(A38,Escalacao!A:R,18,0)</f>
        <v>15.01.2025 - Tuntum - MA x Imperatriz - MA</v>
      </c>
    </row>
    <row r="39" spans="1:14" ht="13.8" customHeight="1">
      <c r="A39" s="7">
        <v>6</v>
      </c>
      <c r="B39" s="7" t="s">
        <v>361</v>
      </c>
      <c r="C39" s="7" t="s">
        <v>111</v>
      </c>
      <c r="D39" s="8">
        <v>8</v>
      </c>
      <c r="E39" s="7" t="s">
        <v>513</v>
      </c>
      <c r="F39" s="14" t="s">
        <v>107</v>
      </c>
      <c r="G39" s="22" t="str">
        <f>VLOOKUP(A39,'JOGOS BASE'!A:F,6,)</f>
        <v>Roberto Santos As</v>
      </c>
      <c r="H39" s="14">
        <v>1</v>
      </c>
      <c r="I39" s="14">
        <v>0</v>
      </c>
      <c r="J39" s="22" t="str">
        <f t="shared" si="5"/>
        <v>68Imperatriz - MA</v>
      </c>
      <c r="K39" s="22">
        <f>INDEX(Escalacao!G:G,MATCH(Cartoes!J39,Escalacao!Q:Q,0))</f>
        <v>348355</v>
      </c>
      <c r="L39" s="22" t="str">
        <f>VLOOKUP(K39,Escalacao!G:I,3,0)</f>
        <v>Felipe Macena</v>
      </c>
      <c r="M39" s="22">
        <f>COUNTIF(Escalacao!G:G,Cartoes!K39)</f>
        <v>4</v>
      </c>
      <c r="N39" s="22" t="str">
        <f>VLOOKUP(A39,Escalacao!A:R,18,0)</f>
        <v>15.01.2025 - Tuntum - MA x Imperatriz - MA</v>
      </c>
    </row>
    <row r="40" spans="1:14" ht="13.8" customHeight="1">
      <c r="A40" s="7">
        <v>6</v>
      </c>
      <c r="B40" s="7" t="s">
        <v>514</v>
      </c>
      <c r="C40" s="7" t="s">
        <v>111</v>
      </c>
      <c r="D40" s="8">
        <v>22</v>
      </c>
      <c r="E40" s="7" t="s">
        <v>515</v>
      </c>
      <c r="F40" s="14" t="s">
        <v>107</v>
      </c>
      <c r="G40" s="22" t="str">
        <f>VLOOKUP(A40,'JOGOS BASE'!A:F,6,)</f>
        <v>Roberto Santos As</v>
      </c>
      <c r="H40" s="14">
        <v>1</v>
      </c>
      <c r="I40" s="14">
        <v>0</v>
      </c>
      <c r="J40" s="22" t="str">
        <f t="shared" si="5"/>
        <v>622Imperatriz - MA</v>
      </c>
      <c r="K40" s="22">
        <f>INDEX(Escalacao!G:G,MATCH(Cartoes!J40,Escalacao!Q:Q,0))</f>
        <v>762150</v>
      </c>
      <c r="L40" s="22" t="str">
        <f>VLOOKUP(K40,Escalacao!G:I,3,0)</f>
        <v>Junior</v>
      </c>
      <c r="M40" s="22">
        <f>COUNTIF(Escalacao!G:G,Cartoes!K40)</f>
        <v>5</v>
      </c>
      <c r="N40" s="22" t="str">
        <f>VLOOKUP(A40,Escalacao!A:R,18,0)</f>
        <v>15.01.2025 - Tuntum - MA x Imperatriz - MA</v>
      </c>
    </row>
    <row r="41" spans="1:14" ht="13.8" customHeight="1">
      <c r="A41" s="7">
        <v>6</v>
      </c>
      <c r="B41" s="7" t="s">
        <v>516</v>
      </c>
      <c r="C41" s="7" t="s">
        <v>111</v>
      </c>
      <c r="D41" s="8">
        <v>1</v>
      </c>
      <c r="E41" s="7" t="s">
        <v>517</v>
      </c>
      <c r="F41" s="14" t="s">
        <v>107</v>
      </c>
      <c r="G41" s="22" t="str">
        <f>VLOOKUP(A41,'JOGOS BASE'!A:F,6,)</f>
        <v>Roberto Santos As</v>
      </c>
      <c r="H41" s="14">
        <v>1</v>
      </c>
      <c r="I41" s="14">
        <v>0</v>
      </c>
      <c r="J41" s="22" t="str">
        <f t="shared" si="5"/>
        <v>61Imperatriz - MA</v>
      </c>
      <c r="K41" s="22">
        <f>INDEX(Escalacao!G:G,MATCH(Cartoes!J41,Escalacao!Q:Q,0))</f>
        <v>459328</v>
      </c>
      <c r="L41" s="22" t="str">
        <f>VLOOKUP(K41,Escalacao!G:I,3,0)</f>
        <v>Jr Conceiç ...</v>
      </c>
      <c r="M41" s="22">
        <f>COUNTIF(Escalacao!G:G,Cartoes!K41)</f>
        <v>5</v>
      </c>
      <c r="N41" s="22" t="str">
        <f>VLOOKUP(A41,Escalacao!A:R,18,0)</f>
        <v>15.01.2025 - Tuntum - MA x Imperatriz - MA</v>
      </c>
    </row>
    <row r="42" spans="1:14" ht="15" customHeight="1">
      <c r="A42" s="7">
        <v>6</v>
      </c>
      <c r="B42" s="7" t="s">
        <v>402</v>
      </c>
      <c r="C42" s="7" t="s">
        <v>111</v>
      </c>
      <c r="D42" s="8">
        <v>15</v>
      </c>
      <c r="E42" s="7" t="s">
        <v>518</v>
      </c>
      <c r="F42" s="14" t="s">
        <v>107</v>
      </c>
      <c r="G42" s="22" t="str">
        <f>VLOOKUP(A42,'JOGOS BASE'!A:F,6,)</f>
        <v>Roberto Santos As</v>
      </c>
      <c r="H42" s="14">
        <v>1</v>
      </c>
      <c r="I42" s="14">
        <v>0</v>
      </c>
      <c r="J42" s="22" t="str">
        <f t="shared" si="5"/>
        <v>615Imperatriz - MA</v>
      </c>
      <c r="K42" s="22">
        <f>INDEX(Escalacao!G:G,MATCH(Cartoes!J42,Escalacao!Q:Q,0))</f>
        <v>500483</v>
      </c>
      <c r="L42" s="22" t="str">
        <f>VLOOKUP(K42,Escalacao!G:I,3,0)</f>
        <v>CARLOS</v>
      </c>
      <c r="M42" s="22">
        <f>COUNTIF(Escalacao!G:G,Cartoes!K42)</f>
        <v>5</v>
      </c>
      <c r="N42" s="22" t="str">
        <f>VLOOKUP(A42,Escalacao!A:R,18,0)</f>
        <v>15.01.2025 - Tuntum - MA x Imperatriz - MA</v>
      </c>
    </row>
    <row r="43" spans="1:14" ht="13.8" customHeight="1">
      <c r="A43" s="7">
        <v>7</v>
      </c>
      <c r="B43" s="7" t="s">
        <v>114</v>
      </c>
      <c r="C43" s="7" t="s">
        <v>141</v>
      </c>
      <c r="D43" s="8">
        <v>9</v>
      </c>
      <c r="E43" s="7" t="s">
        <v>583</v>
      </c>
      <c r="F43" s="14" t="s">
        <v>107</v>
      </c>
      <c r="G43" s="22" t="str">
        <f>VLOOKUP(A43,'JOGOS BASE'!A:F,6,)</f>
        <v>Jose Marcos Rocha</v>
      </c>
      <c r="H43" s="14">
        <v>1</v>
      </c>
      <c r="I43" s="14">
        <v>0</v>
      </c>
      <c r="J43" s="22" t="str">
        <f t="shared" ref="J43:J51" si="6">A43&amp;D43&amp;F43</f>
        <v>79Imperatriz - MA</v>
      </c>
      <c r="K43" s="22">
        <f>INDEX(Escalacao!G:G,MATCH(Cartoes!J43,Escalacao!Q:Q,0))</f>
        <v>637641</v>
      </c>
      <c r="L43" s="22" t="str">
        <f>VLOOKUP(K43,Escalacao!G:I,3,0)</f>
        <v>Lussandro</v>
      </c>
      <c r="M43" s="22">
        <f>COUNTIF(Escalacao!G:G,Cartoes!K43)</f>
        <v>5</v>
      </c>
      <c r="N43" s="22" t="str">
        <f>VLOOKUP(A43,Escalacao!A:R,18,0)</f>
        <v>18.01.2025 - Imperatriz - MA x Pinheiro - MA</v>
      </c>
    </row>
    <row r="44" spans="1:14" ht="13.8" customHeight="1">
      <c r="A44" s="7">
        <v>7</v>
      </c>
      <c r="B44" s="7" t="s">
        <v>584</v>
      </c>
      <c r="C44" s="7" t="s">
        <v>141</v>
      </c>
      <c r="D44" s="8">
        <v>3</v>
      </c>
      <c r="E44" s="7" t="s">
        <v>510</v>
      </c>
      <c r="F44" s="14" t="s">
        <v>107</v>
      </c>
      <c r="G44" s="22" t="str">
        <f>VLOOKUP(A44,'JOGOS BASE'!A:F,6,)</f>
        <v>Jose Marcos Rocha</v>
      </c>
      <c r="H44" s="14">
        <v>1</v>
      </c>
      <c r="I44" s="14">
        <v>0</v>
      </c>
      <c r="J44" s="22" t="str">
        <f t="shared" si="6"/>
        <v>73Imperatriz - MA</v>
      </c>
      <c r="K44" s="22">
        <f>INDEX(Escalacao!G:G,MATCH(Cartoes!J44,Escalacao!Q:Q,0))</f>
        <v>393115</v>
      </c>
      <c r="L44" s="22" t="str">
        <f>VLOOKUP(K44,Escalacao!G:I,3,0)</f>
        <v>Andre Penalva</v>
      </c>
      <c r="M44" s="22">
        <f>COUNTIF(Escalacao!G:G,Cartoes!K44)</f>
        <v>5</v>
      </c>
      <c r="N44" s="22" t="str">
        <f>VLOOKUP(A44,Escalacao!A:R,18,0)</f>
        <v>18.01.2025 - Imperatriz - MA x Pinheiro - MA</v>
      </c>
    </row>
    <row r="45" spans="1:14" ht="13.8" customHeight="1">
      <c r="A45" s="7">
        <v>7</v>
      </c>
      <c r="B45" s="7" t="s">
        <v>585</v>
      </c>
      <c r="C45" s="7" t="s">
        <v>141</v>
      </c>
      <c r="D45" s="8">
        <v>10</v>
      </c>
      <c r="E45" s="7" t="s">
        <v>512</v>
      </c>
      <c r="F45" s="14" t="s">
        <v>107</v>
      </c>
      <c r="G45" s="22" t="str">
        <f>VLOOKUP(A45,'JOGOS BASE'!A:F,6,)</f>
        <v>Jose Marcos Rocha</v>
      </c>
      <c r="H45" s="14">
        <v>1</v>
      </c>
      <c r="I45" s="14">
        <v>0</v>
      </c>
      <c r="J45" s="22" t="str">
        <f t="shared" si="6"/>
        <v>710Imperatriz - MA</v>
      </c>
      <c r="K45" s="22">
        <f>INDEX(Escalacao!G:G,MATCH(Cartoes!J45,Escalacao!Q:Q,0))</f>
        <v>293426</v>
      </c>
      <c r="L45" s="22" t="str">
        <f>VLOOKUP(K45,Escalacao!G:I,3,0)</f>
        <v>Henrique S ...</v>
      </c>
      <c r="M45" s="22">
        <f>COUNTIF(Escalacao!G:G,Cartoes!K45)</f>
        <v>5</v>
      </c>
      <c r="N45" s="22" t="str">
        <f>VLOOKUP(A45,Escalacao!A:R,18,0)</f>
        <v>18.01.2025 - Imperatriz - MA x Pinheiro - MA</v>
      </c>
    </row>
    <row r="46" spans="1:14" ht="13.8" customHeight="1">
      <c r="A46" s="7">
        <v>7</v>
      </c>
      <c r="B46" s="7" t="s">
        <v>119</v>
      </c>
      <c r="C46" s="7" t="s">
        <v>141</v>
      </c>
      <c r="D46" s="8">
        <v>5</v>
      </c>
      <c r="E46" s="7" t="s">
        <v>586</v>
      </c>
      <c r="F46" s="14" t="s">
        <v>107</v>
      </c>
      <c r="G46" s="22" t="str">
        <f>VLOOKUP(A46,'JOGOS BASE'!A:F,6,)</f>
        <v>Jose Marcos Rocha</v>
      </c>
      <c r="H46" s="14">
        <v>1</v>
      </c>
      <c r="I46" s="14">
        <v>0</v>
      </c>
      <c r="J46" s="22" t="str">
        <f t="shared" si="6"/>
        <v>75Imperatriz - MA</v>
      </c>
      <c r="K46" s="22">
        <f>INDEX(Escalacao!G:G,MATCH(Cartoes!J46,Escalacao!Q:Q,0))</f>
        <v>345029</v>
      </c>
      <c r="L46" s="22" t="str">
        <f>VLOOKUP(K46,Escalacao!G:I,3,0)</f>
        <v>Jeferson P ...</v>
      </c>
      <c r="M46" s="22">
        <f>COUNTIF(Escalacao!G:G,Cartoes!K46)</f>
        <v>5</v>
      </c>
      <c r="N46" s="22" t="str">
        <f>VLOOKUP(A46,Escalacao!A:R,18,0)</f>
        <v>18.01.2025 - Imperatriz - MA x Pinheiro - MA</v>
      </c>
    </row>
    <row r="47" spans="1:14" ht="13.8" customHeight="1">
      <c r="A47" s="7">
        <v>7</v>
      </c>
      <c r="B47" s="7" t="s">
        <v>484</v>
      </c>
      <c r="C47" s="7" t="s">
        <v>111</v>
      </c>
      <c r="D47" s="8">
        <v>8</v>
      </c>
      <c r="E47" s="7" t="s">
        <v>513</v>
      </c>
      <c r="F47" s="14" t="s">
        <v>107</v>
      </c>
      <c r="G47" s="22" t="str">
        <f>VLOOKUP(A47,'JOGOS BASE'!A:F,6,)</f>
        <v>Jose Marcos Rocha</v>
      </c>
      <c r="H47" s="14">
        <v>1</v>
      </c>
      <c r="I47" s="14">
        <v>0</v>
      </c>
      <c r="J47" s="22" t="str">
        <f t="shared" si="6"/>
        <v>78Imperatriz - MA</v>
      </c>
      <c r="K47" s="22">
        <f>INDEX(Escalacao!G:G,MATCH(Cartoes!J47,Escalacao!Q:Q,0))</f>
        <v>348355</v>
      </c>
      <c r="L47" s="22" t="str">
        <f>VLOOKUP(K47,Escalacao!G:I,3,0)</f>
        <v>Felipe Macena</v>
      </c>
      <c r="M47" s="22">
        <f>COUNTIF(Escalacao!G:G,Cartoes!K47)</f>
        <v>4</v>
      </c>
      <c r="N47" s="22" t="str">
        <f>VLOOKUP(A47,Escalacao!A:R,18,0)</f>
        <v>18.01.2025 - Imperatriz - MA x Pinheiro - MA</v>
      </c>
    </row>
    <row r="48" spans="1:14" ht="13.8" customHeight="1">
      <c r="A48" s="7">
        <v>7</v>
      </c>
      <c r="B48" s="7" t="s">
        <v>398</v>
      </c>
      <c r="C48" s="7" t="s">
        <v>111</v>
      </c>
      <c r="D48" s="8">
        <v>22</v>
      </c>
      <c r="E48" s="7" t="s">
        <v>515</v>
      </c>
      <c r="F48" s="14" t="s">
        <v>107</v>
      </c>
      <c r="G48" s="22" t="str">
        <f>VLOOKUP(A48,'JOGOS BASE'!A:F,6,)</f>
        <v>Jose Marcos Rocha</v>
      </c>
      <c r="H48" s="14">
        <v>1</v>
      </c>
      <c r="I48" s="14">
        <v>0</v>
      </c>
      <c r="J48" s="22" t="str">
        <f t="shared" si="6"/>
        <v>722Imperatriz - MA</v>
      </c>
      <c r="K48" s="22">
        <f>INDEX(Escalacao!G:G,MATCH(Cartoes!J48,Escalacao!Q:Q,0))</f>
        <v>762150</v>
      </c>
      <c r="L48" s="22" t="str">
        <f>VLOOKUP(K48,Escalacao!G:I,3,0)</f>
        <v>Junior</v>
      </c>
      <c r="M48" s="22">
        <f>COUNTIF(Escalacao!G:G,Cartoes!K48)</f>
        <v>5</v>
      </c>
      <c r="N48" s="22" t="str">
        <f>VLOOKUP(A48,Escalacao!A:R,18,0)</f>
        <v>18.01.2025 - Imperatriz - MA x Pinheiro - MA</v>
      </c>
    </row>
    <row r="49" spans="1:14" ht="13.8" customHeight="1">
      <c r="A49" s="7">
        <v>7</v>
      </c>
      <c r="B49" s="7" t="s">
        <v>587</v>
      </c>
      <c r="C49" s="7" t="s">
        <v>141</v>
      </c>
      <c r="D49" s="8">
        <v>6</v>
      </c>
      <c r="E49" s="7" t="s">
        <v>358</v>
      </c>
      <c r="F49" s="14" t="s">
        <v>368</v>
      </c>
      <c r="G49" s="22" t="str">
        <f>VLOOKUP(A49,'JOGOS BASE'!A:F,6,)</f>
        <v>Jose Marcos Rocha</v>
      </c>
      <c r="H49" s="14">
        <v>1</v>
      </c>
      <c r="I49" s="14">
        <v>0</v>
      </c>
      <c r="J49" s="22" t="str">
        <f t="shared" si="6"/>
        <v>76Pinheiro - MA</v>
      </c>
      <c r="K49" s="22">
        <f>INDEX(Escalacao!G:G,MATCH(Cartoes!J49,Escalacao!Q:Q,0))</f>
        <v>637743</v>
      </c>
      <c r="L49" s="22" t="str">
        <f>VLOOKUP(K49,Escalacao!G:I,3,0)</f>
        <v>Gabriel</v>
      </c>
      <c r="M49" s="22">
        <f>COUNTIF(Escalacao!G:G,Cartoes!K49)</f>
        <v>4</v>
      </c>
      <c r="N49" s="22" t="str">
        <f>VLOOKUP(A49,Escalacao!A:R,18,0)</f>
        <v>18.01.2025 - Imperatriz - MA x Pinheiro - MA</v>
      </c>
    </row>
    <row r="50" spans="1:14" ht="13.8" customHeight="1">
      <c r="A50" s="7">
        <v>7</v>
      </c>
      <c r="B50" s="7" t="s">
        <v>584</v>
      </c>
      <c r="C50" s="7" t="s">
        <v>141</v>
      </c>
      <c r="D50" s="8">
        <v>1</v>
      </c>
      <c r="E50" s="7" t="s">
        <v>302</v>
      </c>
      <c r="F50" s="14" t="s">
        <v>368</v>
      </c>
      <c r="G50" s="22" t="str">
        <f>VLOOKUP(A50,'JOGOS BASE'!A:F,6,)</f>
        <v>Jose Marcos Rocha</v>
      </c>
      <c r="H50" s="14">
        <v>1</v>
      </c>
      <c r="I50" s="14">
        <v>0</v>
      </c>
      <c r="J50" s="22" t="str">
        <f t="shared" si="6"/>
        <v>71Pinheiro - MA</v>
      </c>
      <c r="K50" s="22">
        <f>INDEX(Escalacao!G:G,MATCH(Cartoes!J50,Escalacao!Q:Q,0))</f>
        <v>530809</v>
      </c>
      <c r="L50" s="22" t="str">
        <f>VLOOKUP(K50,Escalacao!G:I,3,0)</f>
        <v>Mateus</v>
      </c>
      <c r="M50" s="22">
        <f>COUNTIF(Escalacao!G:G,Cartoes!K50)</f>
        <v>5</v>
      </c>
      <c r="N50" s="22" t="str">
        <f>VLOOKUP(A50,Escalacao!A:R,18,0)</f>
        <v>18.01.2025 - Imperatriz - MA x Pinheiro - MA</v>
      </c>
    </row>
    <row r="51" spans="1:14" ht="13.8" customHeight="1">
      <c r="A51" s="7">
        <v>7</v>
      </c>
      <c r="B51" s="7" t="s">
        <v>156</v>
      </c>
      <c r="C51" s="7" t="s">
        <v>141</v>
      </c>
      <c r="D51" s="8">
        <v>11</v>
      </c>
      <c r="E51" s="7" t="s">
        <v>588</v>
      </c>
      <c r="F51" s="14" t="s">
        <v>368</v>
      </c>
      <c r="G51" s="22" t="str">
        <f>VLOOKUP(A51,'JOGOS BASE'!A:F,6,)</f>
        <v>Jose Marcos Rocha</v>
      </c>
      <c r="H51" s="14">
        <v>1</v>
      </c>
      <c r="I51" s="14">
        <v>0</v>
      </c>
      <c r="J51" s="22" t="str">
        <f t="shared" si="6"/>
        <v>711Pinheiro - MA</v>
      </c>
      <c r="K51" s="22">
        <f>INDEX(Escalacao!G:G,MATCH(Cartoes!J51,Escalacao!Q:Q,0))</f>
        <v>612866</v>
      </c>
      <c r="L51" s="22" t="str">
        <f>VLOOKUP(K51,Escalacao!G:I,3,0)</f>
        <v>Joao Pedro</v>
      </c>
      <c r="M51" s="22">
        <f>COUNTIF(Escalacao!G:G,Cartoes!K51)</f>
        <v>5</v>
      </c>
      <c r="N51" s="22" t="str">
        <f>VLOOKUP(A51,Escalacao!A:R,18,0)</f>
        <v>18.01.2025 - Imperatriz - MA x Pinheiro - MA</v>
      </c>
    </row>
    <row r="52" spans="1:14" ht="13.8" customHeight="1">
      <c r="A52" s="7">
        <v>8</v>
      </c>
      <c r="B52" s="47" t="s">
        <v>114</v>
      </c>
      <c r="C52" s="47" t="s">
        <v>111</v>
      </c>
      <c r="D52" s="46">
        <v>7</v>
      </c>
      <c r="E52" s="45" t="s">
        <v>619</v>
      </c>
      <c r="F52" s="18" t="s">
        <v>381</v>
      </c>
      <c r="G52" s="22" t="str">
        <f>VLOOKUP(A52,'JOGOS BASE'!A:F,6,)</f>
        <v>Ranilton Oliveira de Sousa</v>
      </c>
      <c r="H52" s="14">
        <v>1</v>
      </c>
      <c r="I52" s="14">
        <v>0</v>
      </c>
      <c r="J52" s="22" t="str">
        <f t="shared" ref="J52:J55" si="7">A52&amp;D52&amp;F52</f>
        <v>87Viana - MA</v>
      </c>
      <c r="K52" s="22">
        <f>INDEX(Escalacao!G:G,MATCH(Cartoes!J52,Escalacao!Q:Q,0))</f>
        <v>590716</v>
      </c>
      <c r="L52" s="22" t="str">
        <f>VLOOKUP(K52,Escalacao!G:I,3,0)</f>
        <v>arisco</v>
      </c>
      <c r="M52" s="22">
        <f>COUNTIF(Escalacao!G:G,Cartoes!K52)</f>
        <v>3</v>
      </c>
      <c r="N52" s="22" t="str">
        <f>VLOOKUP(A52,Escalacao!A:R,18,0)</f>
        <v>19.01.2025 - Viana - MA x Sampaio Corrêa - MA</v>
      </c>
    </row>
    <row r="53" spans="1:14" ht="13.8" customHeight="1">
      <c r="A53" s="7">
        <v>8</v>
      </c>
      <c r="B53" s="50" t="s">
        <v>114</v>
      </c>
      <c r="C53" s="50" t="s">
        <v>111</v>
      </c>
      <c r="D53" s="46">
        <v>3</v>
      </c>
      <c r="E53" s="45" t="s">
        <v>620</v>
      </c>
      <c r="F53" s="18" t="s">
        <v>381</v>
      </c>
      <c r="G53" s="22" t="str">
        <f>VLOOKUP(A53,'JOGOS BASE'!A:F,6,)</f>
        <v>Ranilton Oliveira de Sousa</v>
      </c>
      <c r="H53" s="14">
        <v>1</v>
      </c>
      <c r="I53" s="14">
        <v>0</v>
      </c>
      <c r="J53" s="22" t="str">
        <f t="shared" si="7"/>
        <v>83Viana - MA</v>
      </c>
      <c r="K53" s="22">
        <f>INDEX(Escalacao!G:G,MATCH(Cartoes!J53,Escalacao!Q:Q,0))</f>
        <v>396008</v>
      </c>
      <c r="L53" s="22" t="str">
        <f>VLOOKUP(K53,Escalacao!G:I,3,0)</f>
        <v>Brener Bessa</v>
      </c>
      <c r="M53" s="22">
        <f>COUNTIF(Escalacao!G:G,Cartoes!K53)</f>
        <v>4</v>
      </c>
      <c r="N53" s="22" t="str">
        <f>VLOOKUP(A53,Escalacao!A:R,18,0)</f>
        <v>19.01.2025 - Viana - MA x Sampaio Corrêa - MA</v>
      </c>
    </row>
    <row r="54" spans="1:14" ht="13.8" customHeight="1">
      <c r="A54" s="7">
        <v>8</v>
      </c>
      <c r="B54" s="50" t="s">
        <v>585</v>
      </c>
      <c r="C54" s="50" t="s">
        <v>111</v>
      </c>
      <c r="D54" s="51">
        <v>10</v>
      </c>
      <c r="E54" s="45" t="s">
        <v>75</v>
      </c>
      <c r="F54" s="18" t="s">
        <v>122</v>
      </c>
      <c r="G54" s="22" t="str">
        <f>VLOOKUP(A54,'JOGOS BASE'!A:F,6,)</f>
        <v>Ranilton Oliveira de Sousa</v>
      </c>
      <c r="H54" s="14">
        <v>1</v>
      </c>
      <c r="I54" s="14">
        <v>0</v>
      </c>
      <c r="J54" s="22" t="str">
        <f t="shared" si="7"/>
        <v>810Sampaio Corrêa - MA</v>
      </c>
      <c r="K54" s="22">
        <f>INDEX(Escalacao!G:G,MATCH(Cartoes!J54,Escalacao!Q:Q,0))</f>
        <v>668800</v>
      </c>
      <c r="L54" s="22" t="str">
        <f>VLOOKUP(K54,Escalacao!G:I,3,0)</f>
        <v>STENCE</v>
      </c>
      <c r="M54" s="22">
        <f>COUNTIF(Escalacao!G:G,Cartoes!K54)</f>
        <v>4</v>
      </c>
      <c r="N54" s="22" t="str">
        <f>VLOOKUP(A54,Escalacao!A:R,18,0)</f>
        <v>19.01.2025 - Viana - MA x Sampaio Corrêa - MA</v>
      </c>
    </row>
    <row r="55" spans="1:14" ht="13.8" customHeight="1">
      <c r="A55" s="7">
        <v>8</v>
      </c>
      <c r="B55" s="50" t="s">
        <v>621</v>
      </c>
      <c r="C55" s="50" t="s">
        <v>111</v>
      </c>
      <c r="D55" s="51">
        <v>16</v>
      </c>
      <c r="E55" s="45" t="s">
        <v>157</v>
      </c>
      <c r="F55" s="18" t="s">
        <v>122</v>
      </c>
      <c r="G55" s="22" t="str">
        <f>VLOOKUP(A55,'JOGOS BASE'!A:F,6,)</f>
        <v>Ranilton Oliveira de Sousa</v>
      </c>
      <c r="H55" s="14">
        <v>1</v>
      </c>
      <c r="I55" s="14">
        <v>0</v>
      </c>
      <c r="J55" s="22" t="str">
        <f t="shared" si="7"/>
        <v>816Sampaio Corrêa - MA</v>
      </c>
      <c r="K55" s="22">
        <f>INDEX(Escalacao!G:G,MATCH(Cartoes!J55,Escalacao!Q:Q,0))</f>
        <v>748572</v>
      </c>
      <c r="L55" s="22" t="str">
        <f>VLOOKUP(K55,Escalacao!G:I,3,0)</f>
        <v>ADRIANO</v>
      </c>
      <c r="M55" s="22">
        <f>COUNTIF(Escalacao!G:G,Cartoes!K55)</f>
        <v>5</v>
      </c>
      <c r="N55" s="22" t="str">
        <f>VLOOKUP(A55,Escalacao!A:R,18,0)</f>
        <v>19.01.2025 - Viana - MA x Sampaio Corrêa - MA</v>
      </c>
    </row>
    <row r="56" spans="1:14" ht="13.8" customHeight="1">
      <c r="A56" s="7">
        <v>9</v>
      </c>
      <c r="B56" s="50" t="s">
        <v>640</v>
      </c>
      <c r="C56" s="50" t="s">
        <v>111</v>
      </c>
      <c r="D56" s="51">
        <v>8</v>
      </c>
      <c r="E56" s="45" t="s">
        <v>641</v>
      </c>
      <c r="F56" s="18" t="s">
        <v>386</v>
      </c>
      <c r="G56" s="22" t="str">
        <f>VLOOKUP(A56,'JOGOS BASE'!A:F,6,)</f>
        <v>Maykon Matos Nunes</v>
      </c>
      <c r="H56" s="14">
        <v>1</v>
      </c>
      <c r="I56" s="14">
        <v>0</v>
      </c>
      <c r="J56" s="22" t="str">
        <f t="shared" ref="J56:J60" si="8">A56&amp;D56&amp;F56</f>
        <v>98IAPE - MA</v>
      </c>
      <c r="K56" s="22">
        <f>INDEX(Escalacao!G:G,MATCH(Cartoes!J56,Escalacao!Q:Q,0))</f>
        <v>505180</v>
      </c>
      <c r="L56" s="22" t="str">
        <f>VLOOKUP(K56,Escalacao!G:I,3,0)</f>
        <v>VITAO</v>
      </c>
      <c r="M56" s="22">
        <f>COUNTIF(Escalacao!G:G,Cartoes!K56)</f>
        <v>2</v>
      </c>
      <c r="N56" s="22" t="str">
        <f>VLOOKUP(A56,Escalacao!A:R,18,0)</f>
        <v>25.01.2025 - IAPE - MA x Imperatriz - MA</v>
      </c>
    </row>
    <row r="57" spans="1:14" ht="13.8" customHeight="1">
      <c r="A57" s="7">
        <v>9</v>
      </c>
      <c r="B57" s="50" t="s">
        <v>114</v>
      </c>
      <c r="C57" s="50" t="s">
        <v>111</v>
      </c>
      <c r="D57" s="51">
        <v>16</v>
      </c>
      <c r="E57" s="45" t="s">
        <v>451</v>
      </c>
      <c r="F57" s="18" t="s">
        <v>386</v>
      </c>
      <c r="G57" s="22" t="str">
        <f>VLOOKUP(A57,'JOGOS BASE'!A:F,6,)</f>
        <v>Maykon Matos Nunes</v>
      </c>
      <c r="H57" s="14">
        <v>1</v>
      </c>
      <c r="I57" s="14">
        <v>0</v>
      </c>
      <c r="J57" s="22" t="str">
        <f t="shared" si="8"/>
        <v>916IAPE - MA</v>
      </c>
      <c r="K57" s="22">
        <f>INDEX(Escalacao!G:G,MATCH(Cartoes!J57,Escalacao!Q:Q,0))</f>
        <v>419381</v>
      </c>
      <c r="L57" s="22" t="str">
        <f>VLOOKUP(K57,Escalacao!G:I,3,0)</f>
        <v>Guilherme</v>
      </c>
      <c r="M57" s="22">
        <f>COUNTIF(Escalacao!G:G,Cartoes!K57)</f>
        <v>2</v>
      </c>
      <c r="N57" s="22" t="str">
        <f>VLOOKUP(A57,Escalacao!A:R,18,0)</f>
        <v>25.01.2025 - IAPE - MA x Imperatriz - MA</v>
      </c>
    </row>
    <row r="58" spans="1:14" ht="13.8" customHeight="1">
      <c r="A58" s="7">
        <v>9</v>
      </c>
      <c r="B58" s="50" t="s">
        <v>278</v>
      </c>
      <c r="C58" s="50" t="s">
        <v>141</v>
      </c>
      <c r="D58" s="51">
        <v>8</v>
      </c>
      <c r="E58" s="45" t="s">
        <v>513</v>
      </c>
      <c r="F58" s="14" t="s">
        <v>107</v>
      </c>
      <c r="G58" s="22" t="str">
        <f>VLOOKUP(A58,'JOGOS BASE'!A:F,6,)</f>
        <v>Maykon Matos Nunes</v>
      </c>
      <c r="H58" s="14">
        <v>1</v>
      </c>
      <c r="I58" s="14">
        <v>0</v>
      </c>
      <c r="J58" s="22" t="str">
        <f t="shared" si="8"/>
        <v>98Imperatriz - MA</v>
      </c>
      <c r="K58" s="22">
        <f>INDEX(Escalacao!G:G,MATCH(Cartoes!J58,Escalacao!Q:Q,0))</f>
        <v>348355</v>
      </c>
      <c r="L58" s="22" t="str">
        <f>VLOOKUP(K58,Escalacao!G:I,3,0)</f>
        <v>Felipe Macena</v>
      </c>
      <c r="M58" s="22">
        <f>COUNTIF(Escalacao!G:G,Cartoes!K58)</f>
        <v>4</v>
      </c>
      <c r="N58" s="22" t="str">
        <f>VLOOKUP(A58,Escalacao!A:R,18,0)</f>
        <v>25.01.2025 - IAPE - MA x Imperatriz - MA</v>
      </c>
    </row>
    <row r="59" spans="1:14" ht="13.8" customHeight="1">
      <c r="A59" s="7">
        <v>9</v>
      </c>
      <c r="B59" s="50" t="s">
        <v>642</v>
      </c>
      <c r="C59" s="50" t="s">
        <v>623</v>
      </c>
      <c r="D59" s="51">
        <v>6</v>
      </c>
      <c r="E59" s="45" t="s">
        <v>643</v>
      </c>
      <c r="F59" s="14" t="s">
        <v>107</v>
      </c>
      <c r="G59" s="22" t="str">
        <f>VLOOKUP(A59,'JOGOS BASE'!A:F,6,)</f>
        <v>Maykon Matos Nunes</v>
      </c>
      <c r="H59" s="14">
        <v>1</v>
      </c>
      <c r="I59" s="14">
        <v>0</v>
      </c>
      <c r="J59" s="22" t="str">
        <f t="shared" si="8"/>
        <v>96Imperatriz - MA</v>
      </c>
      <c r="K59" s="22">
        <f>INDEX(Escalacao!G:G,MATCH(Cartoes!J59,Escalacao!Q:Q,0))</f>
        <v>634279</v>
      </c>
      <c r="L59" s="22" t="str">
        <f>VLOOKUP(K59,Escalacao!G:I,3,0)</f>
        <v>Negueba</v>
      </c>
      <c r="M59" s="22">
        <f>COUNTIF(Escalacao!G:G,Cartoes!K59)</f>
        <v>5</v>
      </c>
      <c r="N59" s="22" t="str">
        <f>VLOOKUP(A59,Escalacao!A:R,18,0)</f>
        <v>25.01.2025 - IAPE - MA x Imperatriz - MA</v>
      </c>
    </row>
    <row r="60" spans="1:14" ht="13.8" customHeight="1">
      <c r="A60" s="7">
        <v>9</v>
      </c>
      <c r="B60" s="50" t="s">
        <v>644</v>
      </c>
      <c r="C60" s="50" t="s">
        <v>623</v>
      </c>
      <c r="D60" s="51">
        <v>5</v>
      </c>
      <c r="E60" s="45" t="s">
        <v>645</v>
      </c>
      <c r="F60" s="14" t="s">
        <v>107</v>
      </c>
      <c r="G60" s="22" t="str">
        <f>VLOOKUP(A60,'JOGOS BASE'!A:F,6,)</f>
        <v>Maykon Matos Nunes</v>
      </c>
      <c r="H60" s="14">
        <v>1</v>
      </c>
      <c r="I60" s="14">
        <v>0</v>
      </c>
      <c r="J60" s="22" t="str">
        <f t="shared" si="8"/>
        <v>95Imperatriz - MA</v>
      </c>
      <c r="K60" s="22">
        <f>INDEX(Escalacao!G:G,MATCH(Cartoes!J60,Escalacao!Q:Q,0))</f>
        <v>345029</v>
      </c>
      <c r="L60" s="22" t="str">
        <f>VLOOKUP(K60,Escalacao!G:I,3,0)</f>
        <v>Jeferson P ...</v>
      </c>
      <c r="M60" s="22">
        <f>COUNTIF(Escalacao!G:G,Cartoes!K60)</f>
        <v>5</v>
      </c>
      <c r="N60" s="22" t="str">
        <f>VLOOKUP(A60,Escalacao!A:R,18,0)</f>
        <v>25.01.2025 - IAPE - MA x Imperatriz - MA</v>
      </c>
    </row>
    <row r="61" spans="1:14" ht="13.8" customHeight="1">
      <c r="A61" s="7">
        <v>10</v>
      </c>
      <c r="B61" s="47" t="s">
        <v>511</v>
      </c>
      <c r="C61" s="47" t="s">
        <v>111</v>
      </c>
      <c r="D61" s="46">
        <v>5</v>
      </c>
      <c r="E61" s="45" t="s">
        <v>661</v>
      </c>
      <c r="F61" s="14" t="s">
        <v>388</v>
      </c>
      <c r="G61" s="22" t="str">
        <f>VLOOKUP(A61,'JOGOS BASE'!A:F,6,)</f>
        <v>Mayron Frederico dos Reis Novais</v>
      </c>
      <c r="H61" s="14">
        <v>1</v>
      </c>
      <c r="I61" s="14">
        <v>0</v>
      </c>
      <c r="J61" s="22" t="str">
        <f t="shared" ref="J61:J67" si="9">A61&amp;D61&amp;F61</f>
        <v>105Tuntum - MA</v>
      </c>
      <c r="K61" s="22">
        <f>INDEX(Escalacao!G:G,MATCH(Cartoes!J61,Escalacao!Q:Q,0))</f>
        <v>588127</v>
      </c>
      <c r="L61" s="22" t="str">
        <f>VLOOKUP(K61,Escalacao!G:I,3,0)</f>
        <v>Richard</v>
      </c>
      <c r="M61" s="22">
        <f>COUNTIF(Escalacao!G:G,Cartoes!K61)</f>
        <v>2</v>
      </c>
      <c r="N61" s="22" t="str">
        <f>VLOOKUP(A61,Escalacao!A:R,18,0)</f>
        <v>26.01.2025 - Tuntum - MA x Sampaio Corrêa - MA</v>
      </c>
    </row>
    <row r="62" spans="1:14" ht="13.8" customHeight="1">
      <c r="A62" s="7">
        <v>10</v>
      </c>
      <c r="B62" s="50" t="s">
        <v>585</v>
      </c>
      <c r="C62" s="50" t="s">
        <v>111</v>
      </c>
      <c r="D62" s="46">
        <v>6</v>
      </c>
      <c r="E62" s="45" t="s">
        <v>507</v>
      </c>
      <c r="F62" s="14" t="s">
        <v>388</v>
      </c>
      <c r="G62" s="22" t="str">
        <f>VLOOKUP(A62,'JOGOS BASE'!A:F,6,)</f>
        <v>Mayron Frederico dos Reis Novais</v>
      </c>
      <c r="H62" s="14">
        <v>1</v>
      </c>
      <c r="I62" s="14">
        <v>0</v>
      </c>
      <c r="J62" s="22" t="str">
        <f t="shared" si="9"/>
        <v>106Tuntum - MA</v>
      </c>
      <c r="K62" s="22">
        <f>INDEX(Escalacao!G:G,MATCH(Cartoes!J62,Escalacao!Q:Q,0))</f>
        <v>671796</v>
      </c>
      <c r="L62" s="22" t="str">
        <f>VLOOKUP(K62,Escalacao!G:I,3,0)</f>
        <v>Matheus Lima</v>
      </c>
      <c r="M62" s="22">
        <f>COUNTIF(Escalacao!G:G,Cartoes!K62)</f>
        <v>3</v>
      </c>
      <c r="N62" s="22" t="str">
        <f>VLOOKUP(A62,Escalacao!A:R,18,0)</f>
        <v>26.01.2025 - Tuntum - MA x Sampaio Corrêa - MA</v>
      </c>
    </row>
    <row r="63" spans="1:14" ht="13.8" customHeight="1">
      <c r="A63" s="7">
        <v>10</v>
      </c>
      <c r="B63" s="50" t="s">
        <v>417</v>
      </c>
      <c r="C63" s="50" t="s">
        <v>111</v>
      </c>
      <c r="D63" s="46">
        <v>8</v>
      </c>
      <c r="E63" s="45" t="s">
        <v>662</v>
      </c>
      <c r="F63" s="14" t="s">
        <v>388</v>
      </c>
      <c r="G63" s="22" t="str">
        <f>VLOOKUP(A63,'JOGOS BASE'!A:F,6,)</f>
        <v>Mayron Frederico dos Reis Novais</v>
      </c>
      <c r="H63" s="14">
        <v>1</v>
      </c>
      <c r="I63" s="14">
        <v>0</v>
      </c>
      <c r="J63" s="22" t="str">
        <f t="shared" si="9"/>
        <v>108Tuntum - MA</v>
      </c>
      <c r="K63" s="22">
        <f>INDEX(Escalacao!G:G,MATCH(Cartoes!J63,Escalacao!Q:Q,0))</f>
        <v>738478</v>
      </c>
      <c r="L63" s="22" t="str">
        <f>VLOOKUP(K63,Escalacao!G:I,3,0)</f>
        <v>Neto Maran ...</v>
      </c>
      <c r="M63" s="22">
        <f>COUNTIF(Escalacao!G:G,Cartoes!K63)</f>
        <v>3</v>
      </c>
      <c r="N63" s="22" t="str">
        <f>VLOOKUP(A63,Escalacao!A:R,18,0)</f>
        <v>26.01.2025 - Tuntum - MA x Sampaio Corrêa - MA</v>
      </c>
    </row>
    <row r="64" spans="1:14" ht="13.8" customHeight="1">
      <c r="A64" s="7">
        <v>10</v>
      </c>
      <c r="B64" s="50" t="s">
        <v>110</v>
      </c>
      <c r="C64" s="50" t="s">
        <v>111</v>
      </c>
      <c r="D64" s="46">
        <v>8</v>
      </c>
      <c r="E64" s="45" t="s">
        <v>663</v>
      </c>
      <c r="F64" s="18" t="s">
        <v>122</v>
      </c>
      <c r="G64" s="22" t="str">
        <f>VLOOKUP(A64,'JOGOS BASE'!A:F,6,)</f>
        <v>Mayron Frederico dos Reis Novais</v>
      </c>
      <c r="H64" s="14">
        <v>1</v>
      </c>
      <c r="I64" s="14">
        <v>0</v>
      </c>
      <c r="J64" s="22" t="str">
        <f t="shared" si="9"/>
        <v>108Sampaio Corrêa - MA</v>
      </c>
      <c r="K64" s="22">
        <f>INDEX(Escalacao!G:G,MATCH(Cartoes!J64,Escalacao!Q:Q,0))</f>
        <v>525569</v>
      </c>
      <c r="L64" s="22" t="str">
        <f>VLOOKUP(K64,Escalacao!G:I,3,0)</f>
        <v>Isaias</v>
      </c>
      <c r="M64" s="22">
        <f>COUNTIF(Escalacao!G:G,Cartoes!K64)</f>
        <v>3</v>
      </c>
      <c r="N64" s="22" t="str">
        <f>VLOOKUP(A64,Escalacao!A:R,18,0)</f>
        <v>26.01.2025 - Tuntum - MA x Sampaio Corrêa - MA</v>
      </c>
    </row>
    <row r="65" spans="1:14" ht="13.8" customHeight="1">
      <c r="A65" s="7">
        <v>10</v>
      </c>
      <c r="B65" s="50" t="s">
        <v>272</v>
      </c>
      <c r="C65" s="50" t="s">
        <v>111</v>
      </c>
      <c r="D65" s="51">
        <v>17</v>
      </c>
      <c r="E65" s="45" t="s">
        <v>664</v>
      </c>
      <c r="F65" s="18" t="s">
        <v>122</v>
      </c>
      <c r="G65" s="22" t="str">
        <f>VLOOKUP(A65,'JOGOS BASE'!A:F,6,)</f>
        <v>Mayron Frederico dos Reis Novais</v>
      </c>
      <c r="H65" s="14">
        <v>1</v>
      </c>
      <c r="I65" s="14">
        <v>0</v>
      </c>
      <c r="J65" s="22" t="str">
        <f t="shared" si="9"/>
        <v>1017Sampaio Corrêa - MA</v>
      </c>
      <c r="K65" s="22">
        <f>INDEX(Escalacao!G:G,MATCH(Cartoes!J65,Escalacao!Q:Q,0))</f>
        <v>612220</v>
      </c>
      <c r="L65" s="22" t="str">
        <f>VLOOKUP(K65,Escalacao!G:I,3,0)</f>
        <v>Wendell</v>
      </c>
      <c r="M65" s="22">
        <f>COUNTIF(Escalacao!G:G,Cartoes!K65)</f>
        <v>5</v>
      </c>
      <c r="N65" s="22" t="str">
        <f>VLOOKUP(A65,Escalacao!A:R,18,0)</f>
        <v>26.01.2025 - Tuntum - MA x Sampaio Corrêa - MA</v>
      </c>
    </row>
    <row r="66" spans="1:14" ht="13.8" customHeight="1">
      <c r="A66" s="7">
        <v>10</v>
      </c>
      <c r="B66" s="50" t="s">
        <v>486</v>
      </c>
      <c r="C66" s="50" t="s">
        <v>111</v>
      </c>
      <c r="D66" s="46">
        <v>1</v>
      </c>
      <c r="E66" s="45" t="s">
        <v>60</v>
      </c>
      <c r="F66" s="18" t="s">
        <v>122</v>
      </c>
      <c r="G66" s="22" t="str">
        <f>VLOOKUP(A66,'JOGOS BASE'!A:F,6,)</f>
        <v>Mayron Frederico dos Reis Novais</v>
      </c>
      <c r="H66" s="14">
        <v>1</v>
      </c>
      <c r="I66" s="14">
        <v>0</v>
      </c>
      <c r="J66" s="22" t="str">
        <f t="shared" si="9"/>
        <v>101Sampaio Corrêa - MA</v>
      </c>
      <c r="K66" s="22">
        <f>INDEX(Escalacao!G:G,MATCH(Cartoes!J66,Escalacao!Q:Q,0))</f>
        <v>639922</v>
      </c>
      <c r="L66" s="22" t="str">
        <f>VLOOKUP(K66,Escalacao!G:I,3,0)</f>
        <v>ALAN</v>
      </c>
      <c r="M66" s="22">
        <f>COUNTIF(Escalacao!G:G,Cartoes!K66)</f>
        <v>5</v>
      </c>
      <c r="N66" s="22" t="str">
        <f>VLOOKUP(A66,Escalacao!A:R,18,0)</f>
        <v>26.01.2025 - Tuntum - MA x Sampaio Corrêa - MA</v>
      </c>
    </row>
    <row r="67" spans="1:14" ht="13.8" customHeight="1">
      <c r="A67" s="7">
        <v>10</v>
      </c>
      <c r="B67" s="50" t="s">
        <v>269</v>
      </c>
      <c r="C67" s="50" t="s">
        <v>111</v>
      </c>
      <c r="D67" s="46">
        <v>5</v>
      </c>
      <c r="E67" s="45" t="s">
        <v>85</v>
      </c>
      <c r="F67" s="18" t="s">
        <v>122</v>
      </c>
      <c r="G67" s="22" t="str">
        <f>VLOOKUP(A67,'JOGOS BASE'!A:F,6,)</f>
        <v>Mayron Frederico dos Reis Novais</v>
      </c>
      <c r="H67" s="14">
        <v>1</v>
      </c>
      <c r="I67" s="14">
        <v>0</v>
      </c>
      <c r="J67" s="22" t="str">
        <f t="shared" si="9"/>
        <v>105Sampaio Corrêa - MA</v>
      </c>
      <c r="K67" s="22">
        <f>INDEX(Escalacao!G:G,MATCH(Cartoes!J67,Escalacao!Q:Q,0))</f>
        <v>523681</v>
      </c>
      <c r="L67" s="22" t="str">
        <f>VLOOKUP(K67,Escalacao!G:I,3,0)</f>
        <v>Jairzinho</v>
      </c>
      <c r="M67" s="22">
        <f>COUNTIF(Escalacao!G:G,Cartoes!K67)</f>
        <v>5</v>
      </c>
      <c r="N67" s="22" t="str">
        <f>VLOOKUP(A67,Escalacao!A:R,18,0)</f>
        <v>26.01.2025 - Tuntum - MA x Sampaio Corrêa - MA</v>
      </c>
    </row>
    <row r="68" spans="1:14" ht="13.8" customHeight="1">
      <c r="A68" s="7">
        <v>11</v>
      </c>
      <c r="B68" s="7" t="s">
        <v>155</v>
      </c>
      <c r="C68" s="7" t="s">
        <v>141</v>
      </c>
      <c r="D68" s="8">
        <v>5</v>
      </c>
      <c r="E68" s="7" t="s">
        <v>694</v>
      </c>
      <c r="F68" s="14" t="s">
        <v>368</v>
      </c>
      <c r="G68" s="22" t="str">
        <f>VLOOKUP(A68,'JOGOS BASE'!A:F,6,)</f>
        <v>Wallas Martins Lopes</v>
      </c>
      <c r="H68" s="14">
        <v>1</v>
      </c>
      <c r="I68" s="14">
        <v>0</v>
      </c>
      <c r="J68" s="22" t="str">
        <f t="shared" ref="J68:J76" si="10">A68&amp;D68&amp;F68</f>
        <v>115Pinheiro - MA</v>
      </c>
      <c r="K68" s="22">
        <f>INDEX(Escalacao!G:G,MATCH(Cartoes!J68,Escalacao!Q:Q,0))</f>
        <v>537343</v>
      </c>
      <c r="L68" s="22" t="str">
        <f>VLOOKUP(K68,Escalacao!G:I,3,0)</f>
        <v>Rayandeson</v>
      </c>
      <c r="M68" s="22">
        <f>COUNTIF(Escalacao!G:G,Cartoes!K68)</f>
        <v>5</v>
      </c>
      <c r="N68" s="22" t="str">
        <f>VLOOKUP(A68,Escalacao!A:R,18,0)</f>
        <v>26.01.2025 - Pinheiro - MA x Moto Club - MA</v>
      </c>
    </row>
    <row r="69" spans="1:14" ht="13.8" customHeight="1">
      <c r="A69" s="7">
        <v>11</v>
      </c>
      <c r="B69" s="7" t="s">
        <v>514</v>
      </c>
      <c r="C69" s="7" t="s">
        <v>111</v>
      </c>
      <c r="D69" s="8">
        <v>18</v>
      </c>
      <c r="E69" s="7" t="s">
        <v>399</v>
      </c>
      <c r="F69" s="14" t="s">
        <v>368</v>
      </c>
      <c r="G69" s="22" t="str">
        <f>VLOOKUP(A69,'JOGOS BASE'!A:F,6,)</f>
        <v>Wallas Martins Lopes</v>
      </c>
      <c r="H69" s="14">
        <v>1</v>
      </c>
      <c r="I69" s="14">
        <v>0</v>
      </c>
      <c r="J69" s="22" t="str">
        <f t="shared" si="10"/>
        <v>1118Pinheiro - MA</v>
      </c>
      <c r="K69" s="22">
        <f>INDEX(Escalacao!G:G,MATCH(Cartoes!J69,Escalacao!Q:Q,0))</f>
        <v>710709</v>
      </c>
      <c r="L69" s="22" t="str">
        <f>VLOOKUP(K69,Escalacao!G:I,3,0)</f>
        <v>BASTICO</v>
      </c>
      <c r="M69" s="22">
        <f>COUNTIF(Escalacao!G:G,Cartoes!K69)</f>
        <v>5</v>
      </c>
      <c r="N69" s="22" t="str">
        <f>VLOOKUP(A69,Escalacao!A:R,18,0)</f>
        <v>26.01.2025 - Pinheiro - MA x Moto Club - MA</v>
      </c>
    </row>
    <row r="70" spans="1:14" ht="13.8" customHeight="1">
      <c r="A70" s="7">
        <v>11</v>
      </c>
      <c r="B70" s="7" t="s">
        <v>119</v>
      </c>
      <c r="C70" s="7" t="s">
        <v>111</v>
      </c>
      <c r="D70" s="8">
        <v>15</v>
      </c>
      <c r="E70" s="7" t="s">
        <v>695</v>
      </c>
      <c r="F70" s="14" t="s">
        <v>368</v>
      </c>
      <c r="G70" s="22" t="str">
        <f>VLOOKUP(A70,'JOGOS BASE'!A:F,6,)</f>
        <v>Wallas Martins Lopes</v>
      </c>
      <c r="H70" s="14">
        <v>1</v>
      </c>
      <c r="I70" s="14">
        <v>0</v>
      </c>
      <c r="J70" s="22" t="str">
        <f t="shared" si="10"/>
        <v>1115Pinheiro - MA</v>
      </c>
      <c r="K70" s="22">
        <f>INDEX(Escalacao!G:G,MATCH(Cartoes!J70,Escalacao!Q:Q,0))</f>
        <v>593208</v>
      </c>
      <c r="L70" s="22" t="str">
        <f>VLOOKUP(K70,Escalacao!G:I,3,0)</f>
        <v>ALEXANDRE</v>
      </c>
      <c r="M70" s="22">
        <f>COUNTIF(Escalacao!G:G,Cartoes!K70)</f>
        <v>2</v>
      </c>
      <c r="N70" s="22" t="str">
        <f>VLOOKUP(A70,Escalacao!A:R,18,0)</f>
        <v>26.01.2025 - Pinheiro - MA x Moto Club - MA</v>
      </c>
    </row>
    <row r="71" spans="1:14" ht="13.8" customHeight="1">
      <c r="A71" s="7">
        <v>11</v>
      </c>
      <c r="B71" s="7" t="s">
        <v>159</v>
      </c>
      <c r="C71" s="7" t="s">
        <v>111</v>
      </c>
      <c r="D71" s="8">
        <v>3</v>
      </c>
      <c r="E71" s="7" t="s">
        <v>397</v>
      </c>
      <c r="F71" s="14" t="s">
        <v>368</v>
      </c>
      <c r="G71" s="22" t="str">
        <f>VLOOKUP(A71,'JOGOS BASE'!A:F,6,)</f>
        <v>Wallas Martins Lopes</v>
      </c>
      <c r="H71" s="14">
        <v>1</v>
      </c>
      <c r="I71" s="14">
        <v>0</v>
      </c>
      <c r="J71" s="22" t="str">
        <f t="shared" si="10"/>
        <v>113Pinheiro - MA</v>
      </c>
      <c r="K71" s="22">
        <f>INDEX(Escalacao!G:G,MATCH(Cartoes!J71,Escalacao!Q:Q,0))</f>
        <v>619339</v>
      </c>
      <c r="L71" s="22" t="str">
        <f>VLOOKUP(K71,Escalacao!G:I,3,0)</f>
        <v>Henrique</v>
      </c>
      <c r="M71" s="22">
        <f>COUNTIF(Escalacao!G:G,Cartoes!K71)</f>
        <v>5</v>
      </c>
      <c r="N71" s="22" t="str">
        <f>VLOOKUP(A71,Escalacao!A:R,18,0)</f>
        <v>26.01.2025 - Pinheiro - MA x Moto Club - MA</v>
      </c>
    </row>
    <row r="72" spans="1:14" ht="13.8" customHeight="1">
      <c r="A72" s="7">
        <v>11</v>
      </c>
      <c r="B72" s="7" t="s">
        <v>696</v>
      </c>
      <c r="C72" s="7" t="s">
        <v>111</v>
      </c>
      <c r="D72" s="8">
        <v>13</v>
      </c>
      <c r="E72" s="7" t="s">
        <v>697</v>
      </c>
      <c r="F72" s="14" t="s">
        <v>368</v>
      </c>
      <c r="G72" s="22" t="str">
        <f>VLOOKUP(A72,'JOGOS BASE'!A:F,6,)</f>
        <v>Wallas Martins Lopes</v>
      </c>
      <c r="H72" s="14">
        <v>1</v>
      </c>
      <c r="I72" s="14">
        <v>0</v>
      </c>
      <c r="J72" s="22" t="str">
        <f t="shared" si="10"/>
        <v>1113Pinheiro - MA</v>
      </c>
      <c r="K72" s="22">
        <f>INDEX(Escalacao!G:G,MATCH(Cartoes!J72,Escalacao!Q:Q,0))</f>
        <v>554265</v>
      </c>
      <c r="L72" s="22" t="str">
        <f>VLOOKUP(K72,Escalacao!G:I,3,0)</f>
        <v>Aldomir</v>
      </c>
      <c r="M72" s="22">
        <f>COUNTIF(Escalacao!G:G,Cartoes!K72)</f>
        <v>5</v>
      </c>
      <c r="N72" s="22" t="str">
        <f>VLOOKUP(A72,Escalacao!A:R,18,0)</f>
        <v>26.01.2025 - Pinheiro - MA x Moto Club - MA</v>
      </c>
    </row>
    <row r="73" spans="1:14" ht="13.8" customHeight="1">
      <c r="A73" s="7">
        <v>11</v>
      </c>
      <c r="B73" s="7" t="s">
        <v>398</v>
      </c>
      <c r="C73" s="7" t="s">
        <v>141</v>
      </c>
      <c r="D73" s="8">
        <v>9</v>
      </c>
      <c r="E73" s="7" t="s">
        <v>690</v>
      </c>
      <c r="F73" s="14" t="s">
        <v>273</v>
      </c>
      <c r="G73" s="22" t="str">
        <f>VLOOKUP(A73,'JOGOS BASE'!A:F,6,)</f>
        <v>Wallas Martins Lopes</v>
      </c>
      <c r="H73" s="14">
        <v>1</v>
      </c>
      <c r="I73" s="14">
        <v>0</v>
      </c>
      <c r="J73" s="22" t="str">
        <f t="shared" si="10"/>
        <v>119Moto Club - MA</v>
      </c>
      <c r="K73" s="22">
        <f>INDEX(Escalacao!G:G,MATCH(Cartoes!J73,Escalacao!Q:Q,0))</f>
        <v>309323</v>
      </c>
      <c r="L73" s="22" t="str">
        <f>VLOOKUP(K73,Escalacao!G:I,3,0)</f>
        <v>Magno</v>
      </c>
      <c r="M73" s="22">
        <f>COUNTIF(Escalacao!G:G,Cartoes!K73)</f>
        <v>2</v>
      </c>
      <c r="N73" s="22" t="str">
        <f>VLOOKUP(A73,Escalacao!A:R,18,0)</f>
        <v>26.01.2025 - Pinheiro - MA x Moto Club - MA</v>
      </c>
    </row>
    <row r="74" spans="1:14" ht="13.8" customHeight="1">
      <c r="A74" s="7">
        <v>11</v>
      </c>
      <c r="B74" s="7" t="s">
        <v>420</v>
      </c>
      <c r="C74" s="7" t="s">
        <v>111</v>
      </c>
      <c r="D74" s="8">
        <v>6</v>
      </c>
      <c r="E74" s="7" t="s">
        <v>698</v>
      </c>
      <c r="F74" s="14" t="s">
        <v>273</v>
      </c>
      <c r="G74" s="22" t="str">
        <f>VLOOKUP(A74,'JOGOS BASE'!A:F,6,)</f>
        <v>Wallas Martins Lopes</v>
      </c>
      <c r="H74" s="14">
        <v>1</v>
      </c>
      <c r="I74" s="14">
        <v>0</v>
      </c>
      <c r="J74" s="22" t="str">
        <f t="shared" si="10"/>
        <v>116Moto Club - MA</v>
      </c>
      <c r="K74" s="22">
        <f>INDEX(Escalacao!G:G,MATCH(Cartoes!J74,Escalacao!Q:Q,0))</f>
        <v>708589</v>
      </c>
      <c r="L74" s="22" t="str">
        <f>VLOOKUP(K74,Escalacao!G:I,3,0)</f>
        <v>GUSTAVO</v>
      </c>
      <c r="M74" s="22">
        <f>COUNTIF(Escalacao!G:G,Cartoes!K74)</f>
        <v>3</v>
      </c>
      <c r="N74" s="22" t="str">
        <f>VLOOKUP(A74,Escalacao!A:R,18,0)</f>
        <v>26.01.2025 - Pinheiro - MA x Moto Club - MA</v>
      </c>
    </row>
    <row r="75" spans="1:14" ht="13.8" customHeight="1">
      <c r="A75" s="7">
        <v>11</v>
      </c>
      <c r="B75" s="7" t="s">
        <v>585</v>
      </c>
      <c r="C75" s="7" t="s">
        <v>111</v>
      </c>
      <c r="D75" s="8">
        <v>16</v>
      </c>
      <c r="E75" s="7" t="s">
        <v>699</v>
      </c>
      <c r="F75" s="14" t="s">
        <v>273</v>
      </c>
      <c r="G75" s="22" t="str">
        <f>VLOOKUP(A75,'JOGOS BASE'!A:F,6,)</f>
        <v>Wallas Martins Lopes</v>
      </c>
      <c r="H75" s="14">
        <v>1</v>
      </c>
      <c r="I75" s="14">
        <v>0</v>
      </c>
      <c r="J75" s="22" t="str">
        <f t="shared" si="10"/>
        <v>1116Moto Club - MA</v>
      </c>
      <c r="K75" s="22">
        <f>INDEX(Escalacao!G:G,MATCH(Cartoes!J75,Escalacao!Q:Q,0))</f>
        <v>500772</v>
      </c>
      <c r="L75" s="22" t="str">
        <f>VLOOKUP(K75,Escalacao!G:I,3,0)</f>
        <v>Matheus Silva</v>
      </c>
      <c r="M75" s="22">
        <f>COUNTIF(Escalacao!G:G,Cartoes!K75)</f>
        <v>3</v>
      </c>
      <c r="N75" s="22" t="str">
        <f>VLOOKUP(A75,Escalacao!A:R,18,0)</f>
        <v>26.01.2025 - Pinheiro - MA x Moto Club - MA</v>
      </c>
    </row>
    <row r="76" spans="1:14" ht="13.8" customHeight="1">
      <c r="A76" s="7">
        <v>11</v>
      </c>
      <c r="B76" s="7" t="s">
        <v>357</v>
      </c>
      <c r="C76" s="7" t="s">
        <v>111</v>
      </c>
      <c r="D76" s="8">
        <v>17</v>
      </c>
      <c r="E76" s="7" t="s">
        <v>191</v>
      </c>
      <c r="F76" s="14" t="s">
        <v>273</v>
      </c>
      <c r="G76" s="22" t="str">
        <f>VLOOKUP(A76,'JOGOS BASE'!A:F,6,)</f>
        <v>Wallas Martins Lopes</v>
      </c>
      <c r="H76" s="14">
        <v>1</v>
      </c>
      <c r="I76" s="14">
        <v>0</v>
      </c>
      <c r="J76" s="22" t="str">
        <f t="shared" si="10"/>
        <v>1117Moto Club - MA</v>
      </c>
      <c r="K76" s="22">
        <f>INDEX(Escalacao!G:G,MATCH(Cartoes!J76,Escalacao!Q:Q,0))</f>
        <v>302560</v>
      </c>
      <c r="L76" s="22" t="str">
        <f>VLOOKUP(K76,Escalacao!G:I,3,0)</f>
        <v>DANILO PIRE</v>
      </c>
      <c r="M76" s="22">
        <f>COUNTIF(Escalacao!G:G,Cartoes!K76)</f>
        <v>3</v>
      </c>
      <c r="N76" s="22" t="str">
        <f>VLOOKUP(A76,Escalacao!A:R,18,0)</f>
        <v>26.01.2025 - Pinheiro - MA x Moto Club - MA</v>
      </c>
    </row>
    <row r="77" spans="1:14" ht="13.8" customHeight="1">
      <c r="A77" s="7">
        <v>12</v>
      </c>
      <c r="B77" s="7" t="s">
        <v>504</v>
      </c>
      <c r="C77" s="7" t="s">
        <v>141</v>
      </c>
      <c r="D77" s="8">
        <v>7</v>
      </c>
      <c r="E77" s="7" t="s">
        <v>721</v>
      </c>
      <c r="F77" s="14" t="s">
        <v>381</v>
      </c>
      <c r="G77" s="22" t="str">
        <f>VLOOKUP(A77,'JOGOS BASE'!A:F,6,)</f>
        <v>Jose Henrique de Azevedo Junior</v>
      </c>
      <c r="H77" s="14">
        <v>1</v>
      </c>
      <c r="I77" s="14">
        <v>0</v>
      </c>
      <c r="J77" s="22" t="str">
        <f t="shared" ref="J77:J84" si="11">A77&amp;D77&amp;F77</f>
        <v>127Viana - MA</v>
      </c>
      <c r="K77" s="22">
        <f>INDEX(Escalacao!G:G,MATCH(Cartoes!J77,Escalacao!Q:Q,0))</f>
        <v>642816</v>
      </c>
      <c r="L77" s="22" t="str">
        <f>VLOOKUP(K77,Escalacao!G:I,3,0)</f>
        <v>Thiago</v>
      </c>
      <c r="M77" s="22">
        <f>COUNTIF(Escalacao!G:G,Cartoes!K77)</f>
        <v>4</v>
      </c>
      <c r="N77" s="22" t="str">
        <f>VLOOKUP(A77,Escalacao!A:R,18,0)</f>
        <v>26.01.2025 - Viana - MA x Maranhão - MA</v>
      </c>
    </row>
    <row r="78" spans="1:14" ht="13.8" customHeight="1">
      <c r="A78" s="7">
        <v>12</v>
      </c>
      <c r="B78" s="7" t="s">
        <v>110</v>
      </c>
      <c r="C78" s="7" t="s">
        <v>111</v>
      </c>
      <c r="D78" s="8">
        <v>4</v>
      </c>
      <c r="E78" s="7" t="s">
        <v>722</v>
      </c>
      <c r="F78" s="14" t="s">
        <v>381</v>
      </c>
      <c r="G78" s="22" t="str">
        <f>VLOOKUP(A78,'JOGOS BASE'!A:F,6,)</f>
        <v>Jose Henrique de Azevedo Junior</v>
      </c>
      <c r="H78" s="14">
        <v>1</v>
      </c>
      <c r="I78" s="14">
        <v>0</v>
      </c>
      <c r="J78" s="22" t="str">
        <f t="shared" si="11"/>
        <v>124Viana - MA</v>
      </c>
      <c r="K78" s="22">
        <f>INDEX(Escalacao!G:G,MATCH(Cartoes!J78,Escalacao!Q:Q,0))</f>
        <v>709273</v>
      </c>
      <c r="L78" s="22" t="str">
        <f>VLOOKUP(K78,Escalacao!G:I,3,0)</f>
        <v>CAIO</v>
      </c>
      <c r="M78" s="22">
        <f>COUNTIF(Escalacao!G:G,Cartoes!K78)</f>
        <v>3</v>
      </c>
      <c r="N78" s="22" t="str">
        <f>VLOOKUP(A78,Escalacao!A:R,18,0)</f>
        <v>26.01.2025 - Viana - MA x Maranhão - MA</v>
      </c>
    </row>
    <row r="79" spans="1:14" ht="13.8" customHeight="1">
      <c r="A79" s="7">
        <v>12</v>
      </c>
      <c r="B79" s="7" t="s">
        <v>272</v>
      </c>
      <c r="C79" s="7" t="s">
        <v>111</v>
      </c>
      <c r="D79" s="8">
        <v>18</v>
      </c>
      <c r="E79" s="7" t="s">
        <v>723</v>
      </c>
      <c r="F79" s="14" t="s">
        <v>381</v>
      </c>
      <c r="G79" s="22" t="str">
        <f>VLOOKUP(A79,'JOGOS BASE'!A:F,6,)</f>
        <v>Jose Henrique de Azevedo Junior</v>
      </c>
      <c r="H79" s="14">
        <v>1</v>
      </c>
      <c r="I79" s="14">
        <v>0</v>
      </c>
      <c r="J79" s="22" t="str">
        <f t="shared" si="11"/>
        <v>1218Viana - MA</v>
      </c>
      <c r="K79" s="22">
        <f>INDEX(Escalacao!G:G,MATCH(Cartoes!J79,Escalacao!Q:Q,0))</f>
        <v>611781</v>
      </c>
      <c r="L79" s="22" t="str">
        <f>VLOOKUP(K79,Escalacao!G:I,3,0)</f>
        <v>Thiago</v>
      </c>
      <c r="M79" s="22">
        <f>COUNTIF(Escalacao!G:G,Cartoes!K79)</f>
        <v>3</v>
      </c>
      <c r="N79" s="22" t="str">
        <f>VLOOKUP(A79,Escalacao!A:R,18,0)</f>
        <v>26.01.2025 - Viana - MA x Maranhão - MA</v>
      </c>
    </row>
    <row r="80" spans="1:14" ht="13.8" customHeight="1">
      <c r="A80" s="7">
        <v>12</v>
      </c>
      <c r="B80" s="7" t="s">
        <v>621</v>
      </c>
      <c r="C80" s="7" t="s">
        <v>111</v>
      </c>
      <c r="D80" s="8">
        <v>11</v>
      </c>
      <c r="E80" s="7" t="s">
        <v>712</v>
      </c>
      <c r="F80" s="14" t="s">
        <v>381</v>
      </c>
      <c r="G80" s="22" t="str">
        <f>VLOOKUP(A80,'JOGOS BASE'!A:F,6,)</f>
        <v>Jose Henrique de Azevedo Junior</v>
      </c>
      <c r="H80" s="14">
        <v>1</v>
      </c>
      <c r="I80" s="14">
        <v>0</v>
      </c>
      <c r="J80" s="22" t="str">
        <f t="shared" si="11"/>
        <v>1211Viana - MA</v>
      </c>
      <c r="K80" s="22">
        <f>INDEX(Escalacao!G:G,MATCH(Cartoes!J80,Escalacao!Q:Q,0))</f>
        <v>364614</v>
      </c>
      <c r="L80" s="22" t="str">
        <f>VLOOKUP(K80,Escalacao!G:I,3,0)</f>
        <v>Amilcar</v>
      </c>
      <c r="M80" s="22">
        <f>COUNTIF(Escalacao!G:G,Cartoes!K80)</f>
        <v>2</v>
      </c>
      <c r="N80" s="22" t="str">
        <f>VLOOKUP(A80,Escalacao!A:R,18,0)</f>
        <v>26.01.2025 - Viana - MA x Maranhão - MA</v>
      </c>
    </row>
    <row r="81" spans="1:14" ht="13.8" customHeight="1">
      <c r="A81" s="7">
        <v>12</v>
      </c>
      <c r="B81" s="7" t="s">
        <v>359</v>
      </c>
      <c r="C81" s="7" t="s">
        <v>111</v>
      </c>
      <c r="D81" s="8">
        <v>9</v>
      </c>
      <c r="E81" s="7" t="s">
        <v>724</v>
      </c>
      <c r="F81" s="14" t="s">
        <v>381</v>
      </c>
      <c r="G81" s="22" t="str">
        <f>VLOOKUP(A81,'JOGOS BASE'!A:F,6,)</f>
        <v>Jose Henrique de Azevedo Junior</v>
      </c>
      <c r="H81" s="14">
        <v>1</v>
      </c>
      <c r="I81" s="14">
        <v>0</v>
      </c>
      <c r="J81" s="22" t="str">
        <f t="shared" si="11"/>
        <v>129Viana - MA</v>
      </c>
      <c r="K81" s="22">
        <f>INDEX(Escalacao!G:G,MATCH(Cartoes!J81,Escalacao!Q:Q,0))</f>
        <v>545905</v>
      </c>
      <c r="L81" s="22" t="str">
        <f>VLOOKUP(K81,Escalacao!G:I,3,0)</f>
        <v>Kawa</v>
      </c>
      <c r="M81" s="22">
        <f>COUNTIF(Escalacao!G:G,Cartoes!K81)</f>
        <v>2</v>
      </c>
      <c r="N81" s="22" t="str">
        <f>VLOOKUP(A81,Escalacao!A:R,18,0)</f>
        <v>26.01.2025 - Viana - MA x Maranhão - MA</v>
      </c>
    </row>
    <row r="82" spans="1:14" ht="13.8" customHeight="1">
      <c r="A82" s="7">
        <v>12</v>
      </c>
      <c r="B82" s="7" t="s">
        <v>378</v>
      </c>
      <c r="C82" s="7" t="s">
        <v>141</v>
      </c>
      <c r="D82" s="8">
        <v>10</v>
      </c>
      <c r="E82" s="7" t="s">
        <v>725</v>
      </c>
      <c r="F82" s="14" t="s">
        <v>260</v>
      </c>
      <c r="G82" s="22" t="str">
        <f>VLOOKUP(A82,'JOGOS BASE'!A:F,6,)</f>
        <v>Jose Henrique de Azevedo Junior</v>
      </c>
      <c r="H82" s="14">
        <v>1</v>
      </c>
      <c r="I82" s="14">
        <v>0</v>
      </c>
      <c r="J82" s="22" t="str">
        <f t="shared" si="11"/>
        <v>1210Maranhão - MA</v>
      </c>
      <c r="K82" s="22">
        <f>INDEX(Escalacao!G:G,MATCH(Cartoes!J82,Escalacao!Q:Q,0))</f>
        <v>699185</v>
      </c>
      <c r="L82" s="22" t="str">
        <f>VLOOKUP(K82,Escalacao!G:I,3,0)</f>
        <v>Jorge Rocha</v>
      </c>
      <c r="M82" s="22">
        <f>COUNTIF(Escalacao!G:G,Cartoes!K82)</f>
        <v>3</v>
      </c>
      <c r="N82" s="22" t="str">
        <f>VLOOKUP(A82,Escalacao!A:R,18,0)</f>
        <v>26.01.2025 - Viana - MA x Maranhão - MA</v>
      </c>
    </row>
    <row r="83" spans="1:14" ht="13.8" customHeight="1">
      <c r="A83" s="7">
        <v>12</v>
      </c>
      <c r="B83" s="7" t="s">
        <v>516</v>
      </c>
      <c r="C83" s="7" t="s">
        <v>111</v>
      </c>
      <c r="D83" s="8">
        <v>21</v>
      </c>
      <c r="E83" s="7" t="s">
        <v>726</v>
      </c>
      <c r="F83" s="14" t="s">
        <v>260</v>
      </c>
      <c r="G83" s="22" t="str">
        <f>VLOOKUP(A83,'JOGOS BASE'!A:F,6,)</f>
        <v>Jose Henrique de Azevedo Junior</v>
      </c>
      <c r="H83" s="14">
        <v>1</v>
      </c>
      <c r="I83" s="14">
        <v>0</v>
      </c>
      <c r="J83" s="22" t="str">
        <f t="shared" si="11"/>
        <v>1221Maranhão - MA</v>
      </c>
      <c r="K83" s="22">
        <f>INDEX(Escalacao!G:G,MATCH(Cartoes!J83,Escalacao!Q:Q,0))</f>
        <v>673956</v>
      </c>
      <c r="L83" s="22" t="str">
        <f>VLOOKUP(K83,Escalacao!G:I,3,0)</f>
        <v>Diego Cant ...</v>
      </c>
      <c r="M83" s="22">
        <f>COUNTIF(Escalacao!G:G,Cartoes!K83)</f>
        <v>3</v>
      </c>
      <c r="N83" s="22" t="str">
        <f>VLOOKUP(A83,Escalacao!A:R,18,0)</f>
        <v>26.01.2025 - Viana - MA x Maranhão - MA</v>
      </c>
    </row>
    <row r="84" spans="1:14" ht="13.8" customHeight="1">
      <c r="A84" s="7">
        <v>12</v>
      </c>
      <c r="B84" s="7" t="s">
        <v>155</v>
      </c>
      <c r="C84" s="7" t="s">
        <v>111</v>
      </c>
      <c r="D84" s="8">
        <v>18</v>
      </c>
      <c r="E84" s="7" t="s">
        <v>727</v>
      </c>
      <c r="F84" s="14" t="s">
        <v>381</v>
      </c>
      <c r="G84" s="22" t="str">
        <f>VLOOKUP(A84,'JOGOS BASE'!A:F,6,)</f>
        <v>Jose Henrique de Azevedo Junior</v>
      </c>
      <c r="H84" s="14">
        <v>1</v>
      </c>
      <c r="I84" s="14">
        <v>1</v>
      </c>
      <c r="J84" s="22" t="str">
        <f t="shared" si="11"/>
        <v>1218Viana - MA</v>
      </c>
      <c r="K84" s="22">
        <f>INDEX(Escalacao!G:G,MATCH(Cartoes!J84,Escalacao!Q:Q,0))</f>
        <v>611781</v>
      </c>
      <c r="L84" s="22" t="str">
        <f>VLOOKUP(K84,Escalacao!G:I,3,0)</f>
        <v>Thiago</v>
      </c>
      <c r="M84" s="22">
        <f>COUNTIF(Escalacao!G:G,Cartoes!K84)</f>
        <v>3</v>
      </c>
      <c r="N84" s="22" t="str">
        <f>VLOOKUP(A84,Escalacao!A:R,18,0)</f>
        <v>26.01.2025 - Viana - MA x Maranhão - MA</v>
      </c>
    </row>
    <row r="85" spans="1:14" ht="13.8" customHeight="1">
      <c r="A85" s="7">
        <v>13</v>
      </c>
      <c r="B85" s="7" t="s">
        <v>110</v>
      </c>
      <c r="C85" s="7" t="s">
        <v>141</v>
      </c>
      <c r="D85" s="8">
        <v>8</v>
      </c>
      <c r="E85" s="7" t="s">
        <v>741</v>
      </c>
      <c r="F85" s="14" t="s">
        <v>273</v>
      </c>
      <c r="G85" s="22" t="str">
        <f>VLOOKUP(A85,'JOGOS BASE'!A:F,6,)</f>
        <v>Adriano Barros Carneiro</v>
      </c>
      <c r="H85" s="14">
        <v>1</v>
      </c>
      <c r="I85" s="14">
        <v>0</v>
      </c>
      <c r="J85" s="22" t="str">
        <f t="shared" ref="J85:J91" si="12">A85&amp;D85&amp;F85</f>
        <v>138Moto Club - MA</v>
      </c>
      <c r="K85" s="22">
        <f>INDEX(Escalacao!G:G,MATCH(Cartoes!J85,Escalacao!Q:Q,0))</f>
        <v>647538</v>
      </c>
      <c r="L85" s="22" t="str">
        <f>VLOOKUP(K85,Escalacao!G:I,3,0)</f>
        <v>Mauricio G ...</v>
      </c>
      <c r="M85" s="22">
        <f>COUNTIF(Escalacao!G:G,Cartoes!K85)</f>
        <v>3</v>
      </c>
      <c r="N85" s="22" t="str">
        <f>VLOOKUP(A85,Escalacao!A:R,18,0)</f>
        <v>29.01.2025 - Tuntum - MA x Moto Club - MA</v>
      </c>
    </row>
    <row r="86" spans="1:14" ht="13.8" customHeight="1">
      <c r="A86" s="7">
        <v>13</v>
      </c>
      <c r="B86" s="7" t="s">
        <v>402</v>
      </c>
      <c r="C86" s="7" t="s">
        <v>141</v>
      </c>
      <c r="D86" s="8">
        <v>5</v>
      </c>
      <c r="E86" s="7" t="s">
        <v>742</v>
      </c>
      <c r="F86" s="14" t="s">
        <v>273</v>
      </c>
      <c r="G86" s="22" t="str">
        <f>VLOOKUP(A86,'JOGOS BASE'!A:F,6,)</f>
        <v>Adriano Barros Carneiro</v>
      </c>
      <c r="H86" s="14">
        <v>1</v>
      </c>
      <c r="I86" s="14">
        <v>0</v>
      </c>
      <c r="J86" s="22" t="str">
        <f t="shared" si="12"/>
        <v>135Moto Club - MA</v>
      </c>
      <c r="K86" s="22">
        <f>INDEX(Escalacao!G:G,MATCH(Cartoes!J86,Escalacao!Q:Q,0))</f>
        <v>431934</v>
      </c>
      <c r="L86" s="22" t="str">
        <f>VLOOKUP(K86,Escalacao!G:I,3,0)</f>
        <v>Orleans</v>
      </c>
      <c r="M86" s="22">
        <f>COUNTIF(Escalacao!G:G,Cartoes!K86)</f>
        <v>2</v>
      </c>
      <c r="N86" s="22" t="str">
        <f>VLOOKUP(A86,Escalacao!A:R,18,0)</f>
        <v>29.01.2025 - Tuntum - MA x Moto Club - MA</v>
      </c>
    </row>
    <row r="87" spans="1:14" ht="13.8" customHeight="1">
      <c r="A87" s="7">
        <v>13</v>
      </c>
      <c r="B87" s="7" t="s">
        <v>119</v>
      </c>
      <c r="C87" s="7" t="s">
        <v>141</v>
      </c>
      <c r="D87" s="8">
        <v>11</v>
      </c>
      <c r="E87" s="7" t="s">
        <v>185</v>
      </c>
      <c r="F87" s="14" t="s">
        <v>273</v>
      </c>
      <c r="G87" s="22" t="str">
        <f>VLOOKUP(A87,'JOGOS BASE'!A:F,6,)</f>
        <v>Adriano Barros Carneiro</v>
      </c>
      <c r="H87" s="14">
        <v>1</v>
      </c>
      <c r="I87" s="14">
        <v>0</v>
      </c>
      <c r="J87" s="22" t="str">
        <f t="shared" si="12"/>
        <v>1311Moto Club - MA</v>
      </c>
      <c r="K87" s="22">
        <f>INDEX(Escalacao!G:G,MATCH(Cartoes!J87,Escalacao!Q:Q,0))</f>
        <v>562612</v>
      </c>
      <c r="L87" s="22" t="str">
        <f>VLOOKUP(K87,Escalacao!G:I,3,0)</f>
        <v>Gustavo</v>
      </c>
      <c r="M87" s="22">
        <f>COUNTIF(Escalacao!G:G,Cartoes!K87)</f>
        <v>3</v>
      </c>
      <c r="N87" s="22" t="str">
        <f>VLOOKUP(A87,Escalacao!A:R,18,0)</f>
        <v>29.01.2025 - Tuntum - MA x Moto Club - MA</v>
      </c>
    </row>
    <row r="88" spans="1:14" ht="13.8" customHeight="1">
      <c r="A88" s="7">
        <v>13</v>
      </c>
      <c r="B88" s="7" t="s">
        <v>272</v>
      </c>
      <c r="C88" s="7" t="s">
        <v>141</v>
      </c>
      <c r="D88" s="8">
        <v>10</v>
      </c>
      <c r="E88" s="7" t="s">
        <v>505</v>
      </c>
      <c r="F88" s="14" t="s">
        <v>388</v>
      </c>
      <c r="G88" s="22" t="str">
        <f>VLOOKUP(A88,'JOGOS BASE'!A:F,6,)</f>
        <v>Adriano Barros Carneiro</v>
      </c>
      <c r="H88" s="14">
        <v>1</v>
      </c>
      <c r="I88" s="14">
        <v>0</v>
      </c>
      <c r="J88" s="22" t="str">
        <f t="shared" si="12"/>
        <v>1310Tuntum - MA</v>
      </c>
      <c r="K88" s="22">
        <f>INDEX(Escalacao!G:G,MATCH(Cartoes!J88,Escalacao!Q:Q,0))</f>
        <v>591346</v>
      </c>
      <c r="L88" s="22" t="str">
        <f>VLOOKUP(K88,Escalacao!G:I,3,0)</f>
        <v>Cassio</v>
      </c>
      <c r="M88" s="22">
        <f>COUNTIF(Escalacao!G:G,Cartoes!K88)</f>
        <v>3</v>
      </c>
      <c r="N88" s="22" t="str">
        <f>VLOOKUP(A88,Escalacao!A:R,18,0)</f>
        <v>29.01.2025 - Tuntum - MA x Moto Club - MA</v>
      </c>
    </row>
    <row r="89" spans="1:14" ht="13.8" customHeight="1">
      <c r="A89" s="7">
        <v>13</v>
      </c>
      <c r="B89" s="7" t="s">
        <v>640</v>
      </c>
      <c r="C89" s="7" t="s">
        <v>141</v>
      </c>
      <c r="D89" s="8">
        <v>5</v>
      </c>
      <c r="E89" s="7" t="s">
        <v>528</v>
      </c>
      <c r="F89" s="14" t="s">
        <v>388</v>
      </c>
      <c r="G89" s="22" t="str">
        <f>VLOOKUP(A89,'JOGOS BASE'!A:F,6,)</f>
        <v>Adriano Barros Carneiro</v>
      </c>
      <c r="H89" s="14">
        <v>1</v>
      </c>
      <c r="I89" s="14">
        <v>0</v>
      </c>
      <c r="J89" s="22" t="str">
        <f t="shared" si="12"/>
        <v>135Tuntum - MA</v>
      </c>
      <c r="K89" s="22">
        <f>INDEX(Escalacao!G:G,MATCH(Cartoes!J89,Escalacao!Q:Q,0))</f>
        <v>692912</v>
      </c>
      <c r="L89" s="22" t="str">
        <f>VLOOKUP(K89,Escalacao!G:I,3,0)</f>
        <v>LEANDRO</v>
      </c>
      <c r="M89" s="22">
        <f>COUNTIF(Escalacao!G:G,Cartoes!K89)</f>
        <v>3</v>
      </c>
      <c r="N89" s="22" t="str">
        <f>VLOOKUP(A89,Escalacao!A:R,18,0)</f>
        <v>29.01.2025 - Tuntum - MA x Moto Club - MA</v>
      </c>
    </row>
    <row r="90" spans="1:14" ht="13.8" customHeight="1">
      <c r="A90" s="7">
        <v>13</v>
      </c>
      <c r="B90" s="7" t="s">
        <v>504</v>
      </c>
      <c r="C90" s="7" t="s">
        <v>141</v>
      </c>
      <c r="D90" s="8">
        <v>7</v>
      </c>
      <c r="E90" s="7" t="s">
        <v>743</v>
      </c>
      <c r="F90" s="14" t="s">
        <v>388</v>
      </c>
      <c r="G90" s="22" t="str">
        <f>VLOOKUP(A90,'JOGOS BASE'!A:F,6,)</f>
        <v>Adriano Barros Carneiro</v>
      </c>
      <c r="H90" s="14">
        <v>1</v>
      </c>
      <c r="I90" s="14">
        <v>0</v>
      </c>
      <c r="J90" s="22" t="str">
        <f t="shared" si="12"/>
        <v>137Tuntum - MA</v>
      </c>
      <c r="K90" s="22">
        <f>INDEX(Escalacao!G:G,MATCH(Cartoes!J90,Escalacao!Q:Q,0))</f>
        <v>507730</v>
      </c>
      <c r="L90" s="22" t="str">
        <f>VLOOKUP(K90,Escalacao!G:I,3,0)</f>
        <v>Leal</v>
      </c>
      <c r="M90" s="22">
        <f>COUNTIF(Escalacao!G:G,Cartoes!K90)</f>
        <v>3</v>
      </c>
      <c r="N90" s="22" t="str">
        <f>VLOOKUP(A90,Escalacao!A:R,18,0)</f>
        <v>29.01.2025 - Tuntum - MA x Moto Club - MA</v>
      </c>
    </row>
    <row r="91" spans="1:14" ht="13.8" customHeight="1">
      <c r="A91" s="7">
        <v>13</v>
      </c>
      <c r="B91" s="7" t="s">
        <v>417</v>
      </c>
      <c r="C91" s="7" t="s">
        <v>111</v>
      </c>
      <c r="D91" s="8">
        <v>2</v>
      </c>
      <c r="E91" s="7" t="s">
        <v>522</v>
      </c>
      <c r="F91" s="14" t="s">
        <v>388</v>
      </c>
      <c r="G91" s="22" t="str">
        <f>VLOOKUP(A91,'JOGOS BASE'!A:F,6,)</f>
        <v>Adriano Barros Carneiro</v>
      </c>
      <c r="H91" s="14">
        <v>1</v>
      </c>
      <c r="I91" s="14">
        <v>0</v>
      </c>
      <c r="J91" s="22" t="str">
        <f t="shared" si="12"/>
        <v>132Tuntum - MA</v>
      </c>
      <c r="K91" s="22">
        <f>INDEX(Escalacao!G:G,MATCH(Cartoes!J91,Escalacao!Q:Q,0))</f>
        <v>391356</v>
      </c>
      <c r="L91" s="22" t="str">
        <f>VLOOKUP(K91,Escalacao!G:I,3,0)</f>
        <v>Francisco</v>
      </c>
      <c r="M91" s="22">
        <f>COUNTIF(Escalacao!G:G,Cartoes!K91)</f>
        <v>3</v>
      </c>
      <c r="N91" s="22" t="str">
        <f>VLOOKUP(A91,Escalacao!A:R,18,0)</f>
        <v>29.01.2025 - Tuntum - MA x Moto Club - MA</v>
      </c>
    </row>
    <row r="92" spans="1:14" ht="13.8" customHeight="1">
      <c r="A92" s="7">
        <v>14</v>
      </c>
      <c r="B92" s="7" t="s">
        <v>760</v>
      </c>
      <c r="C92" s="7" t="s">
        <v>111</v>
      </c>
      <c r="D92" s="8">
        <v>9</v>
      </c>
      <c r="E92" s="7" t="s">
        <v>761</v>
      </c>
      <c r="F92" s="18" t="s">
        <v>122</v>
      </c>
      <c r="G92" s="22" t="str">
        <f>VLOOKUP(A92,'JOGOS BASE'!A:F,6,)</f>
        <v>Maykon Matos Nunes</v>
      </c>
      <c r="H92" s="14">
        <v>1</v>
      </c>
      <c r="I92" s="14">
        <v>0</v>
      </c>
      <c r="J92" s="22" t="str">
        <f t="shared" ref="J92:J94" si="13">A92&amp;D92&amp;F92</f>
        <v>149Sampaio Corrêa - MA</v>
      </c>
      <c r="K92" s="22">
        <f>INDEX(Escalacao!G:G,MATCH(Cartoes!J92,Escalacao!Q:Q,0))</f>
        <v>436356</v>
      </c>
      <c r="L92" s="22" t="str">
        <f>VLOOKUP(K92,Escalacao!G:I,3,0)</f>
        <v>Alan James</v>
      </c>
      <c r="M92" s="22">
        <f>COUNTIF(Escalacao!G:G,Cartoes!K92)</f>
        <v>3</v>
      </c>
      <c r="N92" s="22" t="str">
        <f>VLOOKUP(A92,Escalacao!A:R,18,0)</f>
        <v>29.01.2025 - Sampaio Corrêa - MA x Pinheiro - MA</v>
      </c>
    </row>
    <row r="93" spans="1:14" ht="13.8" customHeight="1">
      <c r="A93" s="7">
        <v>14</v>
      </c>
      <c r="B93" s="7" t="s">
        <v>621</v>
      </c>
      <c r="C93" s="7" t="s">
        <v>111</v>
      </c>
      <c r="D93" s="8">
        <v>17</v>
      </c>
      <c r="E93" s="7" t="s">
        <v>664</v>
      </c>
      <c r="F93" s="18" t="s">
        <v>122</v>
      </c>
      <c r="G93" s="22" t="str">
        <f>VLOOKUP(A93,'JOGOS BASE'!A:F,6,)</f>
        <v>Maykon Matos Nunes</v>
      </c>
      <c r="H93" s="14">
        <v>1</v>
      </c>
      <c r="I93" s="14">
        <v>0</v>
      </c>
      <c r="J93" s="22" t="str">
        <f t="shared" si="13"/>
        <v>1417Sampaio Corrêa - MA</v>
      </c>
      <c r="K93" s="22">
        <f>INDEX(Escalacao!G:G,MATCH(Cartoes!J93,Escalacao!Q:Q,0))</f>
        <v>612220</v>
      </c>
      <c r="L93" s="22" t="str">
        <f>VLOOKUP(K93,Escalacao!G:I,3,0)</f>
        <v>Wendell</v>
      </c>
      <c r="M93" s="22">
        <f>COUNTIF(Escalacao!G:G,Cartoes!K93)</f>
        <v>5</v>
      </c>
      <c r="N93" s="22" t="str">
        <f>VLOOKUP(A93,Escalacao!A:R,18,0)</f>
        <v>29.01.2025 - Sampaio Corrêa - MA x Pinheiro - MA</v>
      </c>
    </row>
    <row r="94" spans="1:14" ht="13.8" customHeight="1">
      <c r="A94" s="7">
        <v>14</v>
      </c>
      <c r="B94" s="7" t="s">
        <v>584</v>
      </c>
      <c r="C94" s="7" t="s">
        <v>111</v>
      </c>
      <c r="D94" s="8">
        <v>8</v>
      </c>
      <c r="E94" s="7" t="s">
        <v>762</v>
      </c>
      <c r="F94" s="14" t="s">
        <v>368</v>
      </c>
      <c r="G94" s="22" t="str">
        <f>VLOOKUP(A94,'JOGOS BASE'!A:F,6,)</f>
        <v>Maykon Matos Nunes</v>
      </c>
      <c r="H94" s="14">
        <v>1</v>
      </c>
      <c r="I94" s="14">
        <v>0</v>
      </c>
      <c r="J94" s="22" t="str">
        <f t="shared" si="13"/>
        <v>148Pinheiro - MA</v>
      </c>
      <c r="K94" s="22">
        <f>INDEX(Escalacao!G:G,MATCH(Cartoes!J94,Escalacao!Q:Q,0))</f>
        <v>552300</v>
      </c>
      <c r="L94" s="22" t="str">
        <f>VLOOKUP(K94,Escalacao!G:I,3,0)</f>
        <v>Tulio</v>
      </c>
      <c r="M94" s="22">
        <f>COUNTIF(Escalacao!G:G,Cartoes!K94)</f>
        <v>5</v>
      </c>
      <c r="N94" s="22" t="str">
        <f>VLOOKUP(A94,Escalacao!A:R,18,0)</f>
        <v>29.01.2025 - Sampaio Corrêa - MA x Pinheiro - MA</v>
      </c>
    </row>
    <row r="95" spans="1:14" ht="13.8" customHeight="1">
      <c r="A95" s="7">
        <v>15</v>
      </c>
      <c r="B95" s="47" t="s">
        <v>269</v>
      </c>
      <c r="C95" s="47" t="s">
        <v>141</v>
      </c>
      <c r="D95" s="46">
        <v>19</v>
      </c>
      <c r="E95" s="45" t="s">
        <v>777</v>
      </c>
      <c r="F95" s="14" t="s">
        <v>107</v>
      </c>
      <c r="G95" s="22" t="str">
        <f>VLOOKUP(A95,'JOGOS BASE'!A:F,6,)</f>
        <v xml:space="preserve">Ranilton Oliveira de Sousa </v>
      </c>
      <c r="H95" s="14">
        <v>1</v>
      </c>
      <c r="I95" s="14">
        <v>0</v>
      </c>
      <c r="J95" s="22" t="str">
        <f t="shared" ref="J95:J98" si="14">A95&amp;D95&amp;F95</f>
        <v>1519Imperatriz - MA</v>
      </c>
      <c r="K95" s="22">
        <f>INDEX(Escalacao!G:G,MATCH(Cartoes!J95,Escalacao!Q:Q,0))</f>
        <v>386286</v>
      </c>
      <c r="L95" s="22" t="str">
        <f>VLOOKUP(K95,Escalacao!G:I,3,0)</f>
        <v>Café</v>
      </c>
      <c r="M95" s="22">
        <f>COUNTIF(Escalacao!G:G,Cartoes!K95)</f>
        <v>5</v>
      </c>
      <c r="N95" s="22" t="str">
        <f>VLOOKUP(A95,Escalacao!A:R,18,0)</f>
        <v>29.01.2025 - Imperatriz - MA x Viana - MA</v>
      </c>
    </row>
    <row r="96" spans="1:14" ht="13.8" customHeight="1">
      <c r="A96" s="7">
        <v>15</v>
      </c>
      <c r="B96" s="50" t="s">
        <v>110</v>
      </c>
      <c r="C96" s="50" t="s">
        <v>141</v>
      </c>
      <c r="D96" s="46">
        <v>2</v>
      </c>
      <c r="E96" s="45" t="s">
        <v>778</v>
      </c>
      <c r="F96" s="14" t="s">
        <v>381</v>
      </c>
      <c r="G96" s="22" t="str">
        <f>VLOOKUP(A96,'JOGOS BASE'!A:F,6,)</f>
        <v xml:space="preserve">Ranilton Oliveira de Sousa </v>
      </c>
      <c r="H96" s="14">
        <v>1</v>
      </c>
      <c r="I96" s="14">
        <v>0</v>
      </c>
      <c r="J96" s="22" t="str">
        <f t="shared" si="14"/>
        <v>152Viana - MA</v>
      </c>
      <c r="K96" s="22">
        <f>INDEX(Escalacao!G:G,MATCH(Cartoes!J96,Escalacao!Q:Q,0))</f>
        <v>894365</v>
      </c>
      <c r="L96" s="22" t="str">
        <f>VLOOKUP(K96,Escalacao!G:I,3,0)</f>
        <v>JAMILSON</v>
      </c>
      <c r="M96" s="22">
        <f>COUNTIF(Escalacao!G:G,Cartoes!K96)</f>
        <v>3</v>
      </c>
      <c r="N96" s="22" t="str">
        <f>VLOOKUP(A96,Escalacao!A:R,18,0)</f>
        <v>29.01.2025 - Imperatriz - MA x Viana - MA</v>
      </c>
    </row>
    <row r="97" spans="1:14" ht="13.8" customHeight="1">
      <c r="A97" s="7">
        <v>15</v>
      </c>
      <c r="B97" s="7" t="s">
        <v>640</v>
      </c>
      <c r="C97" s="7" t="s">
        <v>141</v>
      </c>
      <c r="D97" s="8">
        <v>3</v>
      </c>
      <c r="E97" s="7" t="s">
        <v>620</v>
      </c>
      <c r="F97" s="14" t="s">
        <v>381</v>
      </c>
      <c r="G97" s="22" t="str">
        <f>VLOOKUP(A97,'JOGOS BASE'!A:F,6,)</f>
        <v xml:space="preserve">Ranilton Oliveira de Sousa </v>
      </c>
      <c r="H97" s="14">
        <v>1</v>
      </c>
      <c r="I97" s="14">
        <v>0</v>
      </c>
      <c r="J97" s="22" t="str">
        <f t="shared" si="14"/>
        <v>153Viana - MA</v>
      </c>
      <c r="K97" s="22">
        <f>INDEX(Escalacao!G:G,MATCH(Cartoes!J97,Escalacao!Q:Q,0))</f>
        <v>396008</v>
      </c>
      <c r="L97" s="22" t="str">
        <f>VLOOKUP(K97,Escalacao!G:I,3,0)</f>
        <v>Brener Bessa</v>
      </c>
      <c r="M97" s="22">
        <f>COUNTIF(Escalacao!G:G,Cartoes!K97)</f>
        <v>4</v>
      </c>
      <c r="N97" s="22" t="str">
        <f>VLOOKUP(A97,Escalacao!A:R,18,0)</f>
        <v>29.01.2025 - Imperatriz - MA x Viana - MA</v>
      </c>
    </row>
    <row r="98" spans="1:14" ht="13.8" customHeight="1">
      <c r="A98" s="7">
        <v>15</v>
      </c>
      <c r="B98" s="7" t="s">
        <v>281</v>
      </c>
      <c r="C98" s="7" t="s">
        <v>111</v>
      </c>
      <c r="D98" s="8">
        <v>5</v>
      </c>
      <c r="E98" s="7" t="s">
        <v>779</v>
      </c>
      <c r="F98" s="14" t="s">
        <v>381</v>
      </c>
      <c r="G98" s="22" t="str">
        <f>VLOOKUP(A98,'JOGOS BASE'!A:F,6,)</f>
        <v xml:space="preserve">Ranilton Oliveira de Sousa </v>
      </c>
      <c r="H98" s="14">
        <v>1</v>
      </c>
      <c r="I98" s="14">
        <v>0</v>
      </c>
      <c r="J98" s="22" t="str">
        <f t="shared" si="14"/>
        <v>155Viana - MA</v>
      </c>
      <c r="K98" s="22">
        <f>INDEX(Escalacao!G:G,MATCH(Cartoes!J98,Escalacao!Q:Q,0))</f>
        <v>799878</v>
      </c>
      <c r="L98" s="22" t="str">
        <f>VLOOKUP(K98,Escalacao!G:I,3,0)</f>
        <v>RIQUELME</v>
      </c>
      <c r="M98" s="22">
        <f>COUNTIF(Escalacao!G:G,Cartoes!K98)</f>
        <v>4</v>
      </c>
      <c r="N98" s="22" t="str">
        <f>VLOOKUP(A98,Escalacao!A:R,18,0)</f>
        <v>29.01.2025 - Imperatriz - MA x Viana - MA</v>
      </c>
    </row>
    <row r="99" spans="1:14" ht="13.8" customHeight="1">
      <c r="A99" s="7"/>
      <c r="B99" s="7"/>
      <c r="C99" s="7"/>
      <c r="D99" s="8"/>
      <c r="E99" s="7"/>
      <c r="F99" s="14"/>
      <c r="G99" s="22"/>
      <c r="H99" s="14"/>
      <c r="I99" s="14"/>
      <c r="J99" s="22"/>
      <c r="K99" s="22"/>
      <c r="L99" s="22"/>
      <c r="M99" s="22"/>
      <c r="N99" s="22"/>
    </row>
    <row r="100" spans="1:14" ht="13.8" customHeight="1">
      <c r="A100" s="7"/>
      <c r="B100" s="7"/>
      <c r="C100" s="7"/>
      <c r="D100" s="8"/>
      <c r="E100" s="7"/>
      <c r="F100" s="14"/>
      <c r="G100" s="22"/>
      <c r="H100" s="14"/>
      <c r="I100" s="14"/>
      <c r="J100" s="22"/>
      <c r="K100" s="22"/>
      <c r="L100" s="22"/>
      <c r="M100" s="22"/>
      <c r="N100" s="22"/>
    </row>
    <row r="101" spans="1:14" ht="13.8" customHeight="1">
      <c r="A101" s="7"/>
      <c r="B101" s="7"/>
      <c r="C101" s="7"/>
      <c r="D101" s="8"/>
      <c r="E101" s="7"/>
      <c r="F101" s="14"/>
      <c r="G101" s="22"/>
      <c r="H101" s="14"/>
      <c r="I101" s="14"/>
      <c r="J101" s="22"/>
      <c r="K101" s="22"/>
      <c r="L101" s="22"/>
      <c r="M101" s="22"/>
      <c r="N101" s="22"/>
    </row>
    <row r="102" spans="1:14" ht="13.8" customHeight="1">
      <c r="A102" s="7"/>
      <c r="B102" s="7"/>
      <c r="C102" s="7"/>
      <c r="D102" s="8"/>
      <c r="E102" s="7"/>
      <c r="F102" s="14"/>
      <c r="G102" s="22"/>
      <c r="H102" s="14"/>
      <c r="I102" s="14"/>
      <c r="J102" s="22"/>
      <c r="K102" s="22"/>
      <c r="L102" s="22"/>
      <c r="M102" s="22"/>
      <c r="N102" s="22"/>
    </row>
    <row r="103" spans="1:14" ht="13.8" customHeight="1">
      <c r="A103" s="7"/>
      <c r="B103" s="7"/>
      <c r="C103" s="7"/>
      <c r="D103" s="8"/>
      <c r="E103" s="7"/>
      <c r="F103" s="14"/>
      <c r="G103" s="22"/>
      <c r="H103" s="14"/>
      <c r="I103" s="14"/>
      <c r="J103" s="22"/>
      <c r="K103" s="22"/>
      <c r="L103" s="22"/>
      <c r="M103" s="22"/>
      <c r="N103" s="22"/>
    </row>
    <row r="104" spans="1:14" ht="13.8" customHeight="1">
      <c r="A104" s="7"/>
      <c r="B104" s="7"/>
      <c r="C104" s="7"/>
      <c r="D104" s="8"/>
      <c r="E104" s="7"/>
      <c r="F104" s="14"/>
      <c r="G104" s="22"/>
      <c r="H104" s="14"/>
      <c r="I104" s="14"/>
      <c r="J104" s="22"/>
      <c r="K104" s="22"/>
      <c r="L104" s="22"/>
      <c r="M104" s="22"/>
      <c r="N104" s="22"/>
    </row>
    <row r="105" spans="1:14" ht="13.8" customHeight="1">
      <c r="A105" s="7"/>
      <c r="B105" s="7"/>
      <c r="C105" s="7"/>
      <c r="D105" s="8"/>
      <c r="E105" s="7"/>
      <c r="F105" s="14"/>
      <c r="G105" s="22"/>
      <c r="H105" s="14"/>
      <c r="I105" s="14"/>
      <c r="J105" s="22"/>
      <c r="K105" s="22"/>
      <c r="L105" s="22"/>
      <c r="M105" s="22"/>
      <c r="N105" s="22"/>
    </row>
    <row r="106" spans="1:14" ht="13.8" customHeight="1">
      <c r="A106" s="7"/>
      <c r="B106" s="7"/>
      <c r="C106" s="7"/>
      <c r="D106" s="8"/>
      <c r="E106" s="7"/>
      <c r="F106" s="14"/>
      <c r="G106" s="22"/>
      <c r="H106" s="14"/>
      <c r="I106" s="14"/>
      <c r="J106" s="22"/>
      <c r="K106" s="22"/>
      <c r="L106" s="22"/>
      <c r="M106" s="22"/>
      <c r="N106" s="22"/>
    </row>
    <row r="107" spans="1:14" ht="13.8" customHeight="1">
      <c r="A107" s="7"/>
      <c r="B107" s="7"/>
      <c r="C107" s="7"/>
      <c r="D107" s="8"/>
      <c r="E107" s="7"/>
      <c r="F107" s="14"/>
      <c r="G107" s="22"/>
      <c r="H107" s="14"/>
      <c r="I107" s="14"/>
      <c r="J107" s="22"/>
      <c r="K107" s="22"/>
      <c r="L107" s="22"/>
      <c r="M107" s="22"/>
      <c r="N107" s="22"/>
    </row>
    <row r="108" spans="1:14" ht="13.8" customHeight="1">
      <c r="A108" s="7"/>
      <c r="B108" s="7"/>
      <c r="C108" s="7"/>
      <c r="D108" s="8"/>
      <c r="E108" s="7"/>
      <c r="F108" s="14"/>
      <c r="G108" s="22"/>
      <c r="H108" s="14"/>
      <c r="I108" s="14"/>
      <c r="J108" s="22"/>
      <c r="K108" s="22"/>
      <c r="L108" s="22"/>
      <c r="M108" s="22"/>
      <c r="N108" s="22"/>
    </row>
    <row r="109" spans="1:14" ht="13.8" customHeight="1">
      <c r="A109" s="7"/>
      <c r="B109" s="7"/>
      <c r="C109" s="7"/>
      <c r="D109" s="8"/>
      <c r="E109" s="7"/>
      <c r="F109" s="14"/>
      <c r="G109" s="22"/>
      <c r="H109" s="14"/>
      <c r="I109" s="14"/>
      <c r="J109" s="22"/>
      <c r="K109" s="22"/>
      <c r="L109" s="22"/>
      <c r="M109" s="22"/>
      <c r="N109" s="22"/>
    </row>
    <row r="110" spans="1:14" ht="13.8" customHeight="1">
      <c r="A110" s="7"/>
      <c r="B110" s="7"/>
      <c r="C110" s="7"/>
      <c r="D110" s="8"/>
      <c r="E110" s="7"/>
      <c r="F110" s="14"/>
      <c r="G110" s="22"/>
      <c r="H110" s="14"/>
      <c r="I110" s="14"/>
      <c r="J110" s="22"/>
      <c r="K110" s="22"/>
      <c r="L110" s="22"/>
      <c r="M110" s="22"/>
      <c r="N110" s="22"/>
    </row>
    <row r="111" spans="1:14" ht="13.8" customHeight="1">
      <c r="A111" s="7"/>
      <c r="B111" s="7"/>
      <c r="C111" s="7"/>
      <c r="D111" s="8"/>
      <c r="E111" s="7"/>
      <c r="F111" s="14"/>
      <c r="G111" s="22"/>
      <c r="H111" s="14"/>
      <c r="I111" s="14"/>
      <c r="J111" s="22"/>
      <c r="K111" s="22"/>
      <c r="L111" s="22"/>
      <c r="M111" s="22"/>
      <c r="N111" s="22"/>
    </row>
    <row r="112" spans="1:14" ht="13.8" customHeight="1">
      <c r="A112" s="7"/>
      <c r="B112" s="7"/>
      <c r="C112" s="7"/>
      <c r="D112" s="8"/>
      <c r="E112" s="7"/>
      <c r="F112" s="14"/>
      <c r="G112" s="22"/>
      <c r="H112" s="14"/>
      <c r="I112" s="14"/>
      <c r="J112" s="22"/>
      <c r="K112" s="22"/>
      <c r="L112" s="22"/>
      <c r="M112" s="22"/>
      <c r="N112" s="22"/>
    </row>
    <row r="113" spans="1:14" ht="13.8" customHeight="1">
      <c r="A113" s="7"/>
      <c r="B113" s="7"/>
      <c r="C113" s="7"/>
      <c r="D113" s="8"/>
      <c r="E113" s="7"/>
      <c r="F113" s="14"/>
      <c r="G113" s="22"/>
      <c r="H113" s="14"/>
      <c r="I113" s="14"/>
      <c r="J113" s="22"/>
      <c r="K113" s="22"/>
      <c r="L113" s="22"/>
      <c r="M113" s="22"/>
      <c r="N113" s="22"/>
    </row>
    <row r="114" spans="1:14" ht="13.8" customHeight="1">
      <c r="A114" s="7"/>
      <c r="B114" s="7"/>
      <c r="C114" s="7"/>
      <c r="D114" s="8"/>
      <c r="E114" s="7"/>
      <c r="F114" s="14"/>
      <c r="G114" s="22"/>
      <c r="H114" s="14"/>
      <c r="I114" s="14"/>
      <c r="J114" s="22"/>
      <c r="K114" s="22"/>
      <c r="L114" s="22"/>
      <c r="M114" s="22"/>
      <c r="N114" s="22"/>
    </row>
    <row r="115" spans="1:14" ht="13.8" customHeight="1">
      <c r="A115" s="7"/>
      <c r="B115" s="7"/>
      <c r="C115" s="7"/>
      <c r="D115" s="8"/>
      <c r="E115" s="7"/>
      <c r="F115" s="14"/>
      <c r="G115" s="22"/>
      <c r="H115" s="14"/>
      <c r="I115" s="14"/>
      <c r="J115" s="22"/>
      <c r="K115" s="22"/>
      <c r="L115" s="22"/>
      <c r="M115" s="22"/>
      <c r="N115" s="22"/>
    </row>
    <row r="116" spans="1:14" ht="13.8" customHeight="1">
      <c r="A116" s="7"/>
      <c r="B116" s="7"/>
      <c r="C116" s="7"/>
      <c r="D116" s="8"/>
      <c r="E116" s="7"/>
      <c r="F116" s="14"/>
      <c r="G116" s="22"/>
      <c r="H116" s="14"/>
      <c r="I116" s="14"/>
      <c r="J116" s="22"/>
      <c r="K116" s="22"/>
      <c r="L116" s="22"/>
      <c r="M116" s="22"/>
      <c r="N116" s="22"/>
    </row>
    <row r="117" spans="1:14" ht="13.8" customHeight="1">
      <c r="A117" s="7"/>
      <c r="B117" s="7"/>
      <c r="C117" s="7"/>
      <c r="D117" s="8"/>
      <c r="E117" s="7"/>
      <c r="F117" s="14"/>
      <c r="G117" s="22"/>
      <c r="H117" s="14"/>
      <c r="I117" s="14"/>
      <c r="J117" s="22"/>
      <c r="K117" s="22"/>
      <c r="L117" s="22"/>
      <c r="M117" s="22"/>
      <c r="N117" s="22"/>
    </row>
    <row r="118" spans="1:14" ht="13.8" customHeight="1">
      <c r="A118" s="7"/>
      <c r="B118" s="7"/>
      <c r="C118" s="7"/>
      <c r="D118" s="8"/>
      <c r="E118" s="7"/>
      <c r="F118" s="14"/>
      <c r="G118" s="22"/>
      <c r="H118" s="14"/>
      <c r="I118" s="14"/>
      <c r="J118" s="22"/>
      <c r="K118" s="22"/>
      <c r="L118" s="22"/>
      <c r="M118" s="22"/>
      <c r="N118" s="22"/>
    </row>
    <row r="119" spans="1:14" ht="13.8" customHeight="1">
      <c r="A119" s="7"/>
      <c r="B119" s="7"/>
      <c r="C119" s="7"/>
      <c r="D119" s="8"/>
      <c r="E119" s="7"/>
      <c r="F119" s="14"/>
      <c r="G119" s="22"/>
      <c r="H119" s="14"/>
      <c r="I119" s="14"/>
      <c r="J119" s="22"/>
      <c r="K119" s="22"/>
      <c r="L119" s="22"/>
      <c r="M119" s="22"/>
      <c r="N119" s="22"/>
    </row>
    <row r="120" spans="1:14" ht="13.8" customHeight="1">
      <c r="A120" s="7"/>
      <c r="B120" s="7"/>
      <c r="C120" s="7"/>
      <c r="D120" s="8"/>
      <c r="E120" s="7"/>
      <c r="F120" s="14"/>
      <c r="G120" s="22"/>
      <c r="H120" s="14"/>
      <c r="I120" s="14"/>
      <c r="J120" s="22"/>
      <c r="K120" s="22"/>
      <c r="L120" s="22"/>
      <c r="M120" s="22"/>
      <c r="N120" s="22"/>
    </row>
    <row r="121" spans="1:14" ht="13.8" customHeight="1">
      <c r="A121" s="7"/>
      <c r="B121" s="7"/>
      <c r="C121" s="7"/>
      <c r="D121" s="8"/>
      <c r="E121" s="7"/>
      <c r="F121" s="14"/>
      <c r="G121" s="22"/>
      <c r="H121" s="14"/>
      <c r="I121" s="14"/>
      <c r="J121" s="22"/>
      <c r="K121" s="22"/>
      <c r="L121" s="22"/>
      <c r="M121" s="22"/>
      <c r="N121" s="22"/>
    </row>
    <row r="122" spans="1:14" ht="13.8" customHeight="1">
      <c r="A122" s="7"/>
      <c r="B122" s="7"/>
      <c r="C122" s="7"/>
      <c r="D122" s="8"/>
      <c r="E122" s="7"/>
      <c r="F122" s="14"/>
      <c r="G122" s="22"/>
      <c r="H122" s="14"/>
      <c r="I122" s="14"/>
      <c r="J122" s="22"/>
      <c r="K122" s="22"/>
      <c r="L122" s="22"/>
      <c r="M122" s="22"/>
      <c r="N122" s="22"/>
    </row>
    <row r="123" spans="1:14" ht="13.8" customHeight="1">
      <c r="A123" s="7"/>
      <c r="B123" s="7"/>
      <c r="C123" s="7"/>
      <c r="D123" s="8"/>
      <c r="E123" s="7"/>
      <c r="F123" s="14"/>
      <c r="G123" s="22"/>
      <c r="H123" s="14"/>
      <c r="I123" s="14"/>
      <c r="J123" s="22"/>
      <c r="K123" s="22"/>
      <c r="L123" s="22"/>
      <c r="M123" s="22"/>
      <c r="N123" s="22"/>
    </row>
    <row r="124" spans="1:14" ht="13.8" customHeight="1">
      <c r="A124" s="7"/>
      <c r="B124" s="7"/>
      <c r="C124" s="7"/>
      <c r="D124" s="8"/>
      <c r="E124" s="7"/>
      <c r="F124" s="14"/>
      <c r="G124" s="22"/>
      <c r="H124" s="14"/>
      <c r="I124" s="14"/>
      <c r="J124" s="22"/>
      <c r="K124" s="22"/>
      <c r="L124" s="22"/>
      <c r="M124" s="22"/>
      <c r="N124" s="22"/>
    </row>
    <row r="125" spans="1:14" ht="13.8" customHeight="1">
      <c r="A125" s="7"/>
      <c r="B125" s="7"/>
      <c r="C125" s="7"/>
      <c r="D125" s="8"/>
      <c r="E125" s="7"/>
      <c r="F125" s="14"/>
      <c r="G125" s="22"/>
      <c r="H125" s="14"/>
      <c r="I125" s="14"/>
      <c r="J125" s="22"/>
      <c r="K125" s="22"/>
      <c r="L125" s="22"/>
      <c r="M125" s="22"/>
      <c r="N125" s="22"/>
    </row>
    <row r="126" spans="1:14" ht="13.8" customHeight="1">
      <c r="A126" s="7"/>
      <c r="B126" s="7"/>
      <c r="C126" s="7"/>
      <c r="D126" s="8"/>
      <c r="E126" s="7"/>
      <c r="F126" s="14"/>
      <c r="G126" s="22"/>
      <c r="H126" s="14"/>
      <c r="I126" s="14"/>
      <c r="J126" s="22"/>
      <c r="K126" s="22"/>
      <c r="L126" s="22"/>
      <c r="M126" s="22"/>
      <c r="N126" s="22"/>
    </row>
    <row r="127" spans="1:14" ht="13.8" customHeight="1">
      <c r="A127" s="7"/>
      <c r="B127" s="7"/>
      <c r="C127" s="7"/>
      <c r="D127" s="8"/>
      <c r="E127" s="7"/>
      <c r="F127" s="14"/>
      <c r="G127" s="22"/>
      <c r="H127" s="14"/>
      <c r="I127" s="14"/>
      <c r="J127" s="22"/>
      <c r="K127" s="22"/>
      <c r="L127" s="22"/>
      <c r="M127" s="22"/>
      <c r="N127" s="22"/>
    </row>
    <row r="128" spans="1:14" ht="13.8" customHeight="1">
      <c r="A128" s="7"/>
      <c r="B128" s="7"/>
      <c r="C128" s="7"/>
      <c r="D128" s="8"/>
      <c r="E128" s="7"/>
      <c r="F128" s="14"/>
      <c r="G128" s="22"/>
      <c r="H128" s="14"/>
      <c r="I128" s="14"/>
      <c r="J128" s="22"/>
      <c r="K128" s="22"/>
      <c r="L128" s="22"/>
      <c r="M128" s="22"/>
      <c r="N128" s="22"/>
    </row>
    <row r="129" spans="1:14" ht="13.8" customHeight="1">
      <c r="A129" s="7"/>
      <c r="B129" s="7"/>
      <c r="C129" s="7"/>
      <c r="D129" s="8"/>
      <c r="E129" s="7"/>
      <c r="F129" s="14"/>
      <c r="G129" s="22"/>
      <c r="H129" s="14"/>
      <c r="I129" s="14"/>
      <c r="J129" s="22"/>
      <c r="K129" s="22"/>
      <c r="L129" s="22"/>
      <c r="M129" s="22"/>
      <c r="N129" s="22"/>
    </row>
    <row r="130" spans="1:14" ht="13.8" customHeight="1">
      <c r="A130" s="7"/>
      <c r="B130" s="7"/>
      <c r="C130" s="7"/>
      <c r="D130" s="8"/>
      <c r="E130" s="7"/>
      <c r="F130" s="14"/>
      <c r="G130" s="22"/>
      <c r="H130" s="14"/>
      <c r="I130" s="14"/>
      <c r="J130" s="22"/>
      <c r="K130" s="22"/>
      <c r="L130" s="22"/>
      <c r="M130" s="22"/>
      <c r="N130" s="22"/>
    </row>
    <row r="131" spans="1:14" ht="13.8" customHeight="1">
      <c r="A131" s="7"/>
      <c r="B131" s="7"/>
      <c r="C131" s="7"/>
      <c r="D131" s="8"/>
      <c r="E131" s="7"/>
      <c r="F131" s="14"/>
      <c r="G131" s="22"/>
      <c r="H131" s="14"/>
      <c r="I131" s="14"/>
      <c r="J131" s="22"/>
      <c r="K131" s="22"/>
      <c r="L131" s="22"/>
      <c r="M131" s="22"/>
      <c r="N131" s="22"/>
    </row>
    <row r="132" spans="1:14" ht="13.8" customHeight="1">
      <c r="A132" s="7"/>
      <c r="B132" s="7"/>
      <c r="C132" s="7"/>
      <c r="D132" s="8"/>
      <c r="E132" s="7"/>
      <c r="F132" s="14"/>
      <c r="G132" s="22"/>
      <c r="H132" s="14"/>
      <c r="I132" s="14"/>
      <c r="J132" s="22"/>
      <c r="K132" s="22"/>
      <c r="L132" s="22"/>
      <c r="M132" s="22"/>
      <c r="N132" s="2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166D-6A5A-45E2-833F-D0524957A1BA}">
  <dimension ref="A1:R138"/>
  <sheetViews>
    <sheetView showGridLines="0" topLeftCell="A122" workbookViewId="0">
      <selection activeCell="G128" sqref="G128:R138"/>
    </sheetView>
  </sheetViews>
  <sheetFormatPr defaultRowHeight="14.4"/>
  <cols>
    <col min="1" max="1" width="5.109375" style="15" customWidth="1"/>
    <col min="2" max="2" width="12.6640625" customWidth="1"/>
    <col min="3" max="3" width="4.21875" bestFit="1" customWidth="1"/>
    <col min="4" max="6" width="15.6640625" customWidth="1"/>
    <col min="7" max="7" width="15.6640625" style="39" customWidth="1"/>
    <col min="8" max="11" width="15.6640625" style="23" customWidth="1"/>
    <col min="12" max="13" width="5.88671875" style="40" customWidth="1"/>
    <col min="14" max="14" width="5.88671875" style="23" customWidth="1"/>
    <col min="15" max="18" width="5.88671875" style="40" customWidth="1"/>
  </cols>
  <sheetData>
    <row r="1" spans="1:18" ht="28.8">
      <c r="A1" s="41" t="s">
        <v>134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30" t="s">
        <v>148</v>
      </c>
      <c r="H1" s="31" t="s">
        <v>146</v>
      </c>
      <c r="I1" s="31" t="s">
        <v>147</v>
      </c>
      <c r="J1" s="31" t="s">
        <v>138</v>
      </c>
      <c r="K1" s="31" t="s">
        <v>139</v>
      </c>
      <c r="L1" s="32" t="s">
        <v>135</v>
      </c>
      <c r="M1" s="32" t="s">
        <v>136</v>
      </c>
      <c r="N1" s="31" t="s">
        <v>140</v>
      </c>
      <c r="O1" s="33" t="s">
        <v>142</v>
      </c>
      <c r="P1" s="33" t="s">
        <v>143</v>
      </c>
      <c r="Q1" s="33" t="s">
        <v>149</v>
      </c>
      <c r="R1" s="33" t="s">
        <v>150</v>
      </c>
    </row>
    <row r="2" spans="1:18" ht="20.399999999999999">
      <c r="A2" s="42">
        <v>1</v>
      </c>
      <c r="B2" s="3" t="s">
        <v>105</v>
      </c>
      <c r="C2" s="3" t="s">
        <v>106</v>
      </c>
      <c r="D2" s="2" t="s">
        <v>107</v>
      </c>
      <c r="E2" s="2" t="s">
        <v>108</v>
      </c>
      <c r="F2" s="2" t="s">
        <v>109</v>
      </c>
      <c r="G2" s="34">
        <f>VALUE(LEFT(B2,2))</f>
        <v>0</v>
      </c>
      <c r="H2" s="35">
        <f>IF(VALUE(LEFT(E2,2))&lt;10,VALUE(LEFT(E2,1)),VALUE(LEFT(E2,2)))</f>
        <v>19</v>
      </c>
      <c r="I2" s="35">
        <f>IF(VALUE(LEFT(F2,2))&lt;10,VALUE(LEFT(F2,1)),VALUE(LEFT(F2,2)))</f>
        <v>10</v>
      </c>
      <c r="J2" s="36" t="str">
        <f>$A2&amp;$D2&amp;H2</f>
        <v>1Imperatriz - MA19</v>
      </c>
      <c r="K2" s="36" t="str">
        <f>$A2&amp;$D2&amp;I2</f>
        <v>1Imperatriz - MA10</v>
      </c>
      <c r="L2" s="37">
        <f>VLOOKUP(A2,'JOGOS BASE'!A:E,4,0)</f>
        <v>49</v>
      </c>
      <c r="M2" s="37">
        <f>VLOOKUP(A2,'JOGOS BASE'!A:E,5,0)</f>
        <v>50</v>
      </c>
      <c r="N2" s="38" t="str">
        <f>LEFT(C2,1)</f>
        <v>I</v>
      </c>
      <c r="O2" s="37">
        <f>IF(N2="1",L2-G2,0)</f>
        <v>0</v>
      </c>
      <c r="P2" s="37">
        <f>IF(N2="1",M2,IF(OR(N2="2",N2="I"),M2-G2,0))</f>
        <v>50</v>
      </c>
      <c r="Q2" s="37">
        <f>IF(N2="1",G2,L2)</f>
        <v>49</v>
      </c>
      <c r="R2" s="37">
        <f>IF(OR(N2="1",N2="I"),0,G2)</f>
        <v>0</v>
      </c>
    </row>
    <row r="3" spans="1:18" ht="20.399999999999999">
      <c r="A3" s="42">
        <v>1</v>
      </c>
      <c r="B3" s="3" t="s">
        <v>110</v>
      </c>
      <c r="C3" s="3" t="s">
        <v>111</v>
      </c>
      <c r="D3" s="2" t="s">
        <v>107</v>
      </c>
      <c r="E3" s="2" t="s">
        <v>112</v>
      </c>
      <c r="F3" s="2" t="s">
        <v>113</v>
      </c>
      <c r="G3" s="34">
        <f t="shared" ref="G3:G11" si="0">VALUE(LEFT(B3,2))</f>
        <v>13</v>
      </c>
      <c r="H3" s="35">
        <f t="shared" ref="H3:H11" si="1">IF(VALUE(LEFT(E3,2))&lt;10,VALUE(LEFT(E3,1)),VALUE(LEFT(E3,2)))</f>
        <v>21</v>
      </c>
      <c r="I3" s="35">
        <f t="shared" ref="I3:I11" si="2">IF(VALUE(LEFT(F3,2))&lt;10,VALUE(LEFT(F3,1)),VALUE(LEFT(F3,2)))</f>
        <v>11</v>
      </c>
      <c r="J3" s="36" t="str">
        <f t="shared" ref="J3:J11" si="3">$A3&amp;$D3&amp;H3</f>
        <v>1Imperatriz - MA21</v>
      </c>
      <c r="K3" s="36" t="str">
        <f t="shared" ref="K3:K11" si="4">$A3&amp;$D3&amp;I3</f>
        <v>1Imperatriz - MA11</v>
      </c>
      <c r="L3" s="37">
        <f>VLOOKUP(A3,'JOGOS BASE'!A:E,4,0)</f>
        <v>49</v>
      </c>
      <c r="M3" s="37">
        <f>VLOOKUP(A3,'JOGOS BASE'!A:E,5,0)</f>
        <v>50</v>
      </c>
      <c r="N3" s="38" t="str">
        <f t="shared" ref="N3:N11" si="5">LEFT(C3,1)</f>
        <v>2</v>
      </c>
      <c r="O3" s="37">
        <f t="shared" ref="O3:O11" si="6">IF(N3="1",L3-G3,0)</f>
        <v>0</v>
      </c>
      <c r="P3" s="37">
        <f t="shared" ref="P3:P11" si="7">IF(N3="1",M3,IF(OR(N3="2",N3="I"),M3-G3,0))</f>
        <v>37</v>
      </c>
      <c r="Q3" s="37">
        <f t="shared" ref="Q3:Q11" si="8">IF(N3="1",G3,L3)</f>
        <v>49</v>
      </c>
      <c r="R3" s="37">
        <f t="shared" ref="R3:R11" si="9">IF(OR(N3="1",N3="I"),0,G3)</f>
        <v>13</v>
      </c>
    </row>
    <row r="4" spans="1:18" ht="20.399999999999999">
      <c r="A4" s="42">
        <v>1</v>
      </c>
      <c r="B4" s="3" t="s">
        <v>114</v>
      </c>
      <c r="C4" s="3" t="s">
        <v>111</v>
      </c>
      <c r="D4" s="2" t="s">
        <v>107</v>
      </c>
      <c r="E4" s="2" t="s">
        <v>115</v>
      </c>
      <c r="F4" s="2" t="s">
        <v>116</v>
      </c>
      <c r="G4" s="34">
        <f t="shared" si="0"/>
        <v>27</v>
      </c>
      <c r="H4" s="35">
        <f t="shared" si="1"/>
        <v>22</v>
      </c>
      <c r="I4" s="35">
        <f t="shared" si="2"/>
        <v>9</v>
      </c>
      <c r="J4" s="36" t="str">
        <f t="shared" si="3"/>
        <v>1Imperatriz - MA22</v>
      </c>
      <c r="K4" s="36" t="str">
        <f t="shared" si="4"/>
        <v>1Imperatriz - MA9</v>
      </c>
      <c r="L4" s="37">
        <f>VLOOKUP(A4,'JOGOS BASE'!A:E,4,0)</f>
        <v>49</v>
      </c>
      <c r="M4" s="37">
        <f>VLOOKUP(A4,'JOGOS BASE'!A:E,5,0)</f>
        <v>50</v>
      </c>
      <c r="N4" s="38" t="str">
        <f t="shared" si="5"/>
        <v>2</v>
      </c>
      <c r="O4" s="37">
        <f t="shared" si="6"/>
        <v>0</v>
      </c>
      <c r="P4" s="37">
        <f t="shared" si="7"/>
        <v>23</v>
      </c>
      <c r="Q4" s="37">
        <f t="shared" si="8"/>
        <v>49</v>
      </c>
      <c r="R4" s="37">
        <f t="shared" si="9"/>
        <v>27</v>
      </c>
    </row>
    <row r="5" spans="1:18" ht="20.399999999999999">
      <c r="A5" s="42">
        <v>1</v>
      </c>
      <c r="B5" s="3" t="s">
        <v>114</v>
      </c>
      <c r="C5" s="3" t="s">
        <v>111</v>
      </c>
      <c r="D5" s="2" t="s">
        <v>107</v>
      </c>
      <c r="E5" s="2" t="s">
        <v>117</v>
      </c>
      <c r="F5" s="2" t="s">
        <v>118</v>
      </c>
      <c r="G5" s="34">
        <f t="shared" si="0"/>
        <v>27</v>
      </c>
      <c r="H5" s="35">
        <f t="shared" si="1"/>
        <v>17</v>
      </c>
      <c r="I5" s="35">
        <f t="shared" si="2"/>
        <v>5</v>
      </c>
      <c r="J5" s="36" t="str">
        <f t="shared" si="3"/>
        <v>1Imperatriz - MA17</v>
      </c>
      <c r="K5" s="36" t="str">
        <f t="shared" si="4"/>
        <v>1Imperatriz - MA5</v>
      </c>
      <c r="L5" s="37">
        <f>VLOOKUP(A5,'JOGOS BASE'!A:E,4,0)</f>
        <v>49</v>
      </c>
      <c r="M5" s="37">
        <f>VLOOKUP(A5,'JOGOS BASE'!A:E,5,0)</f>
        <v>50</v>
      </c>
      <c r="N5" s="38" t="str">
        <f t="shared" si="5"/>
        <v>2</v>
      </c>
      <c r="O5" s="37">
        <f t="shared" si="6"/>
        <v>0</v>
      </c>
      <c r="P5" s="37">
        <f t="shared" si="7"/>
        <v>23</v>
      </c>
      <c r="Q5" s="37">
        <f t="shared" si="8"/>
        <v>49</v>
      </c>
      <c r="R5" s="37">
        <f t="shared" si="9"/>
        <v>27</v>
      </c>
    </row>
    <row r="6" spans="1:18" ht="20.399999999999999">
      <c r="A6" s="42">
        <v>1</v>
      </c>
      <c r="B6" s="3" t="s">
        <v>119</v>
      </c>
      <c r="C6" s="3" t="s">
        <v>111</v>
      </c>
      <c r="D6" s="2" t="s">
        <v>107</v>
      </c>
      <c r="E6" s="2" t="s">
        <v>120</v>
      </c>
      <c r="F6" s="2" t="s">
        <v>121</v>
      </c>
      <c r="G6" s="34">
        <f t="shared" si="0"/>
        <v>40</v>
      </c>
      <c r="H6" s="35">
        <f t="shared" si="1"/>
        <v>20</v>
      </c>
      <c r="I6" s="35">
        <f t="shared" si="2"/>
        <v>7</v>
      </c>
      <c r="J6" s="36" t="str">
        <f t="shared" si="3"/>
        <v>1Imperatriz - MA20</v>
      </c>
      <c r="K6" s="36" t="str">
        <f t="shared" si="4"/>
        <v>1Imperatriz - MA7</v>
      </c>
      <c r="L6" s="37">
        <f>VLOOKUP(A6,'JOGOS BASE'!A:E,4,0)</f>
        <v>49</v>
      </c>
      <c r="M6" s="37">
        <f>VLOOKUP(A6,'JOGOS BASE'!A:E,5,0)</f>
        <v>50</v>
      </c>
      <c r="N6" s="38" t="str">
        <f t="shared" si="5"/>
        <v>2</v>
      </c>
      <c r="O6" s="37">
        <f t="shared" si="6"/>
        <v>0</v>
      </c>
      <c r="P6" s="37">
        <f t="shared" si="7"/>
        <v>10</v>
      </c>
      <c r="Q6" s="37">
        <f t="shared" si="8"/>
        <v>49</v>
      </c>
      <c r="R6" s="37">
        <f t="shared" si="9"/>
        <v>40</v>
      </c>
    </row>
    <row r="7" spans="1:18" ht="20.399999999999999">
      <c r="A7" s="42">
        <v>1</v>
      </c>
      <c r="B7" s="3" t="s">
        <v>105</v>
      </c>
      <c r="C7" s="3" t="s">
        <v>106</v>
      </c>
      <c r="D7" s="2" t="s">
        <v>122</v>
      </c>
      <c r="E7" s="2" t="s">
        <v>123</v>
      </c>
      <c r="F7" s="2" t="s">
        <v>124</v>
      </c>
      <c r="G7" s="34">
        <f t="shared" si="0"/>
        <v>0</v>
      </c>
      <c r="H7" s="35">
        <f t="shared" si="1"/>
        <v>19</v>
      </c>
      <c r="I7" s="35">
        <f t="shared" si="2"/>
        <v>7</v>
      </c>
      <c r="J7" s="36" t="str">
        <f t="shared" si="3"/>
        <v>1Sampaio Corrêa - MA19</v>
      </c>
      <c r="K7" s="36" t="str">
        <f t="shared" si="4"/>
        <v>1Sampaio Corrêa - MA7</v>
      </c>
      <c r="L7" s="37">
        <f>VLOOKUP(A7,'JOGOS BASE'!A:E,4,0)</f>
        <v>49</v>
      </c>
      <c r="M7" s="37">
        <f>VLOOKUP(A7,'JOGOS BASE'!A:E,5,0)</f>
        <v>50</v>
      </c>
      <c r="N7" s="38" t="str">
        <f t="shared" si="5"/>
        <v>I</v>
      </c>
      <c r="O7" s="37">
        <f t="shared" si="6"/>
        <v>0</v>
      </c>
      <c r="P7" s="37">
        <f t="shared" si="7"/>
        <v>50</v>
      </c>
      <c r="Q7" s="37">
        <f t="shared" si="8"/>
        <v>49</v>
      </c>
      <c r="R7" s="37">
        <f t="shared" si="9"/>
        <v>0</v>
      </c>
    </row>
    <row r="8" spans="1:18" ht="20.399999999999999">
      <c r="A8" s="42">
        <v>1</v>
      </c>
      <c r="B8" s="3" t="s">
        <v>110</v>
      </c>
      <c r="C8" s="3" t="s">
        <v>111</v>
      </c>
      <c r="D8" s="2" t="s">
        <v>122</v>
      </c>
      <c r="E8" s="2" t="s">
        <v>125</v>
      </c>
      <c r="F8" s="2" t="s">
        <v>126</v>
      </c>
      <c r="G8" s="34">
        <f t="shared" si="0"/>
        <v>13</v>
      </c>
      <c r="H8" s="35">
        <f t="shared" si="1"/>
        <v>18</v>
      </c>
      <c r="I8" s="35">
        <f t="shared" si="2"/>
        <v>10</v>
      </c>
      <c r="J8" s="36" t="str">
        <f t="shared" si="3"/>
        <v>1Sampaio Corrêa - MA18</v>
      </c>
      <c r="K8" s="36" t="str">
        <f t="shared" si="4"/>
        <v>1Sampaio Corrêa - MA10</v>
      </c>
      <c r="L8" s="37">
        <f>VLOOKUP(A8,'JOGOS BASE'!A:E,4,0)</f>
        <v>49</v>
      </c>
      <c r="M8" s="37">
        <f>VLOOKUP(A8,'JOGOS BASE'!A:E,5,0)</f>
        <v>50</v>
      </c>
      <c r="N8" s="38" t="str">
        <f t="shared" si="5"/>
        <v>2</v>
      </c>
      <c r="O8" s="37">
        <f t="shared" si="6"/>
        <v>0</v>
      </c>
      <c r="P8" s="37">
        <f t="shared" si="7"/>
        <v>37</v>
      </c>
      <c r="Q8" s="37">
        <f t="shared" si="8"/>
        <v>49</v>
      </c>
      <c r="R8" s="37">
        <f t="shared" si="9"/>
        <v>13</v>
      </c>
    </row>
    <row r="9" spans="1:18" ht="20.399999999999999">
      <c r="A9" s="42">
        <v>1</v>
      </c>
      <c r="B9" s="3" t="s">
        <v>110</v>
      </c>
      <c r="C9" s="3" t="s">
        <v>111</v>
      </c>
      <c r="D9" s="2" t="s">
        <v>122</v>
      </c>
      <c r="E9" s="2" t="s">
        <v>127</v>
      </c>
      <c r="F9" s="2" t="s">
        <v>128</v>
      </c>
      <c r="G9" s="34">
        <f t="shared" si="0"/>
        <v>13</v>
      </c>
      <c r="H9" s="35">
        <f t="shared" si="1"/>
        <v>15</v>
      </c>
      <c r="I9" s="35">
        <f t="shared" si="2"/>
        <v>6</v>
      </c>
      <c r="J9" s="36" t="str">
        <f t="shared" si="3"/>
        <v>1Sampaio Corrêa - MA15</v>
      </c>
      <c r="K9" s="36" t="str">
        <f t="shared" si="4"/>
        <v>1Sampaio Corrêa - MA6</v>
      </c>
      <c r="L9" s="37">
        <f>VLOOKUP(A9,'JOGOS BASE'!A:E,4,0)</f>
        <v>49</v>
      </c>
      <c r="M9" s="37">
        <f>VLOOKUP(A9,'JOGOS BASE'!A:E,5,0)</f>
        <v>50</v>
      </c>
      <c r="N9" s="38" t="str">
        <f t="shared" si="5"/>
        <v>2</v>
      </c>
      <c r="O9" s="37">
        <f t="shared" si="6"/>
        <v>0</v>
      </c>
      <c r="P9" s="37">
        <f t="shared" si="7"/>
        <v>37</v>
      </c>
      <c r="Q9" s="37">
        <f t="shared" si="8"/>
        <v>49</v>
      </c>
      <c r="R9" s="37">
        <f t="shared" si="9"/>
        <v>13</v>
      </c>
    </row>
    <row r="10" spans="1:18" ht="20.399999999999999">
      <c r="A10" s="42">
        <v>1</v>
      </c>
      <c r="B10" s="3" t="s">
        <v>114</v>
      </c>
      <c r="C10" s="3" t="s">
        <v>111</v>
      </c>
      <c r="D10" s="2" t="s">
        <v>122</v>
      </c>
      <c r="E10" s="2" t="s">
        <v>129</v>
      </c>
      <c r="F10" s="2" t="s">
        <v>130</v>
      </c>
      <c r="G10" s="34">
        <f t="shared" si="0"/>
        <v>27</v>
      </c>
      <c r="H10" s="35">
        <f t="shared" si="1"/>
        <v>21</v>
      </c>
      <c r="I10" s="35">
        <f t="shared" si="2"/>
        <v>11</v>
      </c>
      <c r="J10" s="36" t="str">
        <f t="shared" si="3"/>
        <v>1Sampaio Corrêa - MA21</v>
      </c>
      <c r="K10" s="36" t="str">
        <f t="shared" si="4"/>
        <v>1Sampaio Corrêa - MA11</v>
      </c>
      <c r="L10" s="37">
        <f>VLOOKUP(A10,'JOGOS BASE'!A:E,4,0)</f>
        <v>49</v>
      </c>
      <c r="M10" s="37">
        <f>VLOOKUP(A10,'JOGOS BASE'!A:E,5,0)</f>
        <v>50</v>
      </c>
      <c r="N10" s="38" t="str">
        <f t="shared" si="5"/>
        <v>2</v>
      </c>
      <c r="O10" s="37">
        <f t="shared" si="6"/>
        <v>0</v>
      </c>
      <c r="P10" s="37">
        <f t="shared" si="7"/>
        <v>23</v>
      </c>
      <c r="Q10" s="37">
        <f t="shared" si="8"/>
        <v>49</v>
      </c>
      <c r="R10" s="37">
        <f t="shared" si="9"/>
        <v>27</v>
      </c>
    </row>
    <row r="11" spans="1:18" ht="20.399999999999999">
      <c r="A11" s="42">
        <v>1</v>
      </c>
      <c r="B11" s="3" t="s">
        <v>131</v>
      </c>
      <c r="C11" s="3" t="s">
        <v>111</v>
      </c>
      <c r="D11" s="2" t="s">
        <v>122</v>
      </c>
      <c r="E11" s="2" t="s">
        <v>132</v>
      </c>
      <c r="F11" s="2" t="s">
        <v>133</v>
      </c>
      <c r="G11" s="34">
        <f t="shared" si="0"/>
        <v>41</v>
      </c>
      <c r="H11" s="35">
        <f t="shared" si="1"/>
        <v>17</v>
      </c>
      <c r="I11" s="35">
        <f t="shared" si="2"/>
        <v>9</v>
      </c>
      <c r="J11" s="36" t="str">
        <f t="shared" si="3"/>
        <v>1Sampaio Corrêa - MA17</v>
      </c>
      <c r="K11" s="36" t="str">
        <f t="shared" si="4"/>
        <v>1Sampaio Corrêa - MA9</v>
      </c>
      <c r="L11" s="37">
        <f>VLOOKUP(A11,'JOGOS BASE'!A:E,4,0)</f>
        <v>49</v>
      </c>
      <c r="M11" s="37">
        <f>VLOOKUP(A11,'JOGOS BASE'!A:E,5,0)</f>
        <v>50</v>
      </c>
      <c r="N11" s="38" t="str">
        <f t="shared" si="5"/>
        <v>2</v>
      </c>
      <c r="O11" s="37">
        <f t="shared" si="6"/>
        <v>0</v>
      </c>
      <c r="P11" s="37">
        <f t="shared" si="7"/>
        <v>9</v>
      </c>
      <c r="Q11" s="37">
        <f t="shared" si="8"/>
        <v>49</v>
      </c>
      <c r="R11" s="37">
        <f t="shared" si="9"/>
        <v>41</v>
      </c>
    </row>
    <row r="12" spans="1:18" ht="20.399999999999999">
      <c r="A12" s="15">
        <v>2</v>
      </c>
      <c r="B12" s="48">
        <v>2.25</v>
      </c>
      <c r="C12" s="47" t="s">
        <v>111</v>
      </c>
      <c r="D12" s="45" t="s">
        <v>260</v>
      </c>
      <c r="E12" s="45" t="s">
        <v>261</v>
      </c>
      <c r="F12" s="45" t="s">
        <v>262</v>
      </c>
      <c r="G12" s="34">
        <f t="shared" ref="G12:G21" si="10">VALUE(LEFT(B12,2))</f>
        <v>2</v>
      </c>
      <c r="H12" s="35">
        <f t="shared" ref="H12:H21" si="11">IF(VALUE(LEFT(E12,2))&lt;10,VALUE(LEFT(E12,1)),VALUE(LEFT(E12,2)))</f>
        <v>14</v>
      </c>
      <c r="I12" s="35">
        <f t="shared" ref="I12:I21" si="12">IF(VALUE(LEFT(F12,2))&lt;10,VALUE(LEFT(F12,1)),VALUE(LEFT(F12,2)))</f>
        <v>11</v>
      </c>
      <c r="J12" s="36" t="str">
        <f t="shared" ref="J12:J21" si="13">$A12&amp;$D12&amp;H12</f>
        <v>2Maranhão - MA14</v>
      </c>
      <c r="K12" s="36" t="str">
        <f t="shared" ref="K12:K21" si="14">$A12&amp;$D12&amp;I12</f>
        <v>2Maranhão - MA11</v>
      </c>
      <c r="L12" s="37">
        <f>VLOOKUP(A12,'JOGOS BASE'!A:E,4,0)</f>
        <v>47</v>
      </c>
      <c r="M12" s="37">
        <f>VLOOKUP(A12,'JOGOS BASE'!A:E,5,0)</f>
        <v>50</v>
      </c>
      <c r="N12" s="38" t="str">
        <f t="shared" ref="N12:N21" si="15">LEFT(C12,1)</f>
        <v>2</v>
      </c>
      <c r="O12" s="37">
        <f t="shared" ref="O12:O21" si="16">IF(N12="1",L12-G12,0)</f>
        <v>0</v>
      </c>
      <c r="P12" s="37">
        <f t="shared" ref="P12:P21" si="17">IF(N12="1",M12,IF(OR(N12="2",N12="I"),M12-G12,0))</f>
        <v>48</v>
      </c>
      <c r="Q12" s="37">
        <f t="shared" ref="Q12:Q21" si="18">IF(N12="1",G12,L12)</f>
        <v>47</v>
      </c>
      <c r="R12" s="37">
        <f t="shared" ref="R12:R21" si="19">IF(OR(N12="1",N12="I"),0,G12)</f>
        <v>2</v>
      </c>
    </row>
    <row r="13" spans="1:18" ht="20.399999999999999">
      <c r="A13" s="15">
        <v>2</v>
      </c>
      <c r="B13" s="47" t="s">
        <v>105</v>
      </c>
      <c r="C13" s="47" t="s">
        <v>106</v>
      </c>
      <c r="D13" s="45" t="s">
        <v>260</v>
      </c>
      <c r="E13" s="45" t="s">
        <v>263</v>
      </c>
      <c r="F13" s="45" t="s">
        <v>264</v>
      </c>
      <c r="G13" s="34">
        <f t="shared" si="10"/>
        <v>0</v>
      </c>
      <c r="H13" s="35">
        <f t="shared" si="11"/>
        <v>19</v>
      </c>
      <c r="I13" s="35">
        <f t="shared" si="12"/>
        <v>10</v>
      </c>
      <c r="J13" s="36" t="str">
        <f t="shared" si="13"/>
        <v>2Maranhão - MA19</v>
      </c>
      <c r="K13" s="36" t="str">
        <f t="shared" si="14"/>
        <v>2Maranhão - MA10</v>
      </c>
      <c r="L13" s="37">
        <f>VLOOKUP(A13,'JOGOS BASE'!A:E,4,0)</f>
        <v>47</v>
      </c>
      <c r="M13" s="37">
        <f>VLOOKUP(A13,'JOGOS BASE'!A:E,5,0)</f>
        <v>50</v>
      </c>
      <c r="N13" s="38" t="str">
        <f t="shared" si="15"/>
        <v>I</v>
      </c>
      <c r="O13" s="37">
        <f t="shared" si="16"/>
        <v>0</v>
      </c>
      <c r="P13" s="37">
        <f t="shared" si="17"/>
        <v>50</v>
      </c>
      <c r="Q13" s="37">
        <f t="shared" si="18"/>
        <v>47</v>
      </c>
      <c r="R13" s="37">
        <f t="shared" si="19"/>
        <v>0</v>
      </c>
    </row>
    <row r="14" spans="1:18" ht="20.399999999999999">
      <c r="A14" s="15">
        <v>2</v>
      </c>
      <c r="B14" s="47" t="s">
        <v>105</v>
      </c>
      <c r="C14" s="47" t="s">
        <v>106</v>
      </c>
      <c r="D14" s="45" t="s">
        <v>260</v>
      </c>
      <c r="E14" s="45" t="s">
        <v>265</v>
      </c>
      <c r="F14" s="45" t="s">
        <v>266</v>
      </c>
      <c r="G14" s="34">
        <f t="shared" si="10"/>
        <v>0</v>
      </c>
      <c r="H14" s="35">
        <f t="shared" si="11"/>
        <v>18</v>
      </c>
      <c r="I14" s="35">
        <f t="shared" si="12"/>
        <v>8</v>
      </c>
      <c r="J14" s="36" t="str">
        <f t="shared" si="13"/>
        <v>2Maranhão - MA18</v>
      </c>
      <c r="K14" s="36" t="str">
        <f t="shared" si="14"/>
        <v>2Maranhão - MA8</v>
      </c>
      <c r="L14" s="37">
        <f>VLOOKUP(A14,'JOGOS BASE'!A:E,4,0)</f>
        <v>47</v>
      </c>
      <c r="M14" s="37">
        <f>VLOOKUP(A14,'JOGOS BASE'!A:E,5,0)</f>
        <v>50</v>
      </c>
      <c r="N14" s="38" t="str">
        <f t="shared" si="15"/>
        <v>I</v>
      </c>
      <c r="O14" s="37">
        <f t="shared" si="16"/>
        <v>0</v>
      </c>
      <c r="P14" s="37">
        <f t="shared" si="17"/>
        <v>50</v>
      </c>
      <c r="Q14" s="37">
        <f t="shared" si="18"/>
        <v>47</v>
      </c>
      <c r="R14" s="37">
        <f t="shared" si="19"/>
        <v>0</v>
      </c>
    </row>
    <row r="15" spans="1:18" ht="20.399999999999999">
      <c r="A15" s="15">
        <v>2</v>
      </c>
      <c r="B15" s="47" t="s">
        <v>105</v>
      </c>
      <c r="C15" s="47" t="s">
        <v>106</v>
      </c>
      <c r="D15" s="45" t="s">
        <v>260</v>
      </c>
      <c r="E15" s="45" t="s">
        <v>267</v>
      </c>
      <c r="F15" s="45" t="s">
        <v>268</v>
      </c>
      <c r="G15" s="34">
        <f t="shared" si="10"/>
        <v>0</v>
      </c>
      <c r="H15" s="35">
        <f t="shared" si="11"/>
        <v>20</v>
      </c>
      <c r="I15" s="35">
        <f t="shared" si="12"/>
        <v>22</v>
      </c>
      <c r="J15" s="36" t="str">
        <f t="shared" si="13"/>
        <v>2Maranhão - MA20</v>
      </c>
      <c r="K15" s="36" t="str">
        <f t="shared" si="14"/>
        <v>2Maranhão - MA22</v>
      </c>
      <c r="L15" s="37">
        <f>VLOOKUP(A15,'JOGOS BASE'!A:E,4,0)</f>
        <v>47</v>
      </c>
      <c r="M15" s="37">
        <f>VLOOKUP(A15,'JOGOS BASE'!A:E,5,0)</f>
        <v>50</v>
      </c>
      <c r="N15" s="38" t="str">
        <f t="shared" si="15"/>
        <v>I</v>
      </c>
      <c r="O15" s="37">
        <f t="shared" si="16"/>
        <v>0</v>
      </c>
      <c r="P15" s="37">
        <f t="shared" si="17"/>
        <v>50</v>
      </c>
      <c r="Q15" s="37">
        <f t="shared" si="18"/>
        <v>47</v>
      </c>
      <c r="R15" s="37">
        <f t="shared" si="19"/>
        <v>0</v>
      </c>
    </row>
    <row r="16" spans="1:18" ht="20.399999999999999">
      <c r="A16" s="15">
        <v>2</v>
      </c>
      <c r="B16" s="47" t="s">
        <v>269</v>
      </c>
      <c r="C16" s="47" t="s">
        <v>111</v>
      </c>
      <c r="D16" s="45" t="s">
        <v>260</v>
      </c>
      <c r="E16" s="45" t="s">
        <v>270</v>
      </c>
      <c r="F16" s="45" t="s">
        <v>271</v>
      </c>
      <c r="G16" s="34">
        <f t="shared" si="10"/>
        <v>23</v>
      </c>
      <c r="H16" s="35">
        <f t="shared" si="11"/>
        <v>13</v>
      </c>
      <c r="I16" s="35">
        <f t="shared" si="12"/>
        <v>2</v>
      </c>
      <c r="J16" s="36" t="str">
        <f t="shared" si="13"/>
        <v>2Maranhão - MA13</v>
      </c>
      <c r="K16" s="36" t="str">
        <f t="shared" si="14"/>
        <v>2Maranhão - MA2</v>
      </c>
      <c r="L16" s="37">
        <f>VLOOKUP(A16,'JOGOS BASE'!A:E,4,0)</f>
        <v>47</v>
      </c>
      <c r="M16" s="37">
        <f>VLOOKUP(A16,'JOGOS BASE'!A:E,5,0)</f>
        <v>50</v>
      </c>
      <c r="N16" s="38" t="str">
        <f t="shared" si="15"/>
        <v>2</v>
      </c>
      <c r="O16" s="37">
        <f t="shared" si="16"/>
        <v>0</v>
      </c>
      <c r="P16" s="37">
        <f t="shared" si="17"/>
        <v>27</v>
      </c>
      <c r="Q16" s="37">
        <f t="shared" si="18"/>
        <v>47</v>
      </c>
      <c r="R16" s="37">
        <f t="shared" si="19"/>
        <v>23</v>
      </c>
    </row>
    <row r="17" spans="1:18" ht="20.399999999999999">
      <c r="A17" s="15">
        <v>2</v>
      </c>
      <c r="B17" s="47" t="s">
        <v>272</v>
      </c>
      <c r="C17" s="47" t="s">
        <v>111</v>
      </c>
      <c r="D17" s="45" t="s">
        <v>273</v>
      </c>
      <c r="E17" s="45" t="s">
        <v>274</v>
      </c>
      <c r="F17" s="45" t="s">
        <v>275</v>
      </c>
      <c r="G17" s="34">
        <f t="shared" si="10"/>
        <v>15</v>
      </c>
      <c r="H17" s="35">
        <f t="shared" si="11"/>
        <v>19</v>
      </c>
      <c r="I17" s="35">
        <f t="shared" si="12"/>
        <v>10</v>
      </c>
      <c r="J17" s="36" t="str">
        <f t="shared" si="13"/>
        <v>2Moto Club - MA19</v>
      </c>
      <c r="K17" s="36" t="str">
        <f t="shared" si="14"/>
        <v>2Moto Club - MA10</v>
      </c>
      <c r="L17" s="37">
        <f>VLOOKUP(A17,'JOGOS BASE'!A:E,4,0)</f>
        <v>47</v>
      </c>
      <c r="M17" s="37">
        <f>VLOOKUP(A17,'JOGOS BASE'!A:E,5,0)</f>
        <v>50</v>
      </c>
      <c r="N17" s="38" t="str">
        <f t="shared" si="15"/>
        <v>2</v>
      </c>
      <c r="O17" s="37">
        <f t="shared" si="16"/>
        <v>0</v>
      </c>
      <c r="P17" s="37">
        <f t="shared" si="17"/>
        <v>35</v>
      </c>
      <c r="Q17" s="37">
        <f t="shared" si="18"/>
        <v>47</v>
      </c>
      <c r="R17" s="37">
        <f t="shared" si="19"/>
        <v>15</v>
      </c>
    </row>
    <row r="18" spans="1:18" ht="20.399999999999999">
      <c r="A18" s="15">
        <v>2</v>
      </c>
      <c r="B18" s="47" t="s">
        <v>272</v>
      </c>
      <c r="C18" s="47" t="s">
        <v>111</v>
      </c>
      <c r="D18" s="45" t="s">
        <v>273</v>
      </c>
      <c r="E18" s="45" t="s">
        <v>276</v>
      </c>
      <c r="F18" s="45" t="s">
        <v>277</v>
      </c>
      <c r="G18" s="34">
        <f t="shared" si="10"/>
        <v>15</v>
      </c>
      <c r="H18" s="35">
        <f t="shared" si="11"/>
        <v>15</v>
      </c>
      <c r="I18" s="35">
        <f t="shared" si="12"/>
        <v>9</v>
      </c>
      <c r="J18" s="36" t="str">
        <f t="shared" si="13"/>
        <v>2Moto Club - MA15</v>
      </c>
      <c r="K18" s="36" t="str">
        <f t="shared" si="14"/>
        <v>2Moto Club - MA9</v>
      </c>
      <c r="L18" s="37">
        <f>VLOOKUP(A18,'JOGOS BASE'!A:E,4,0)</f>
        <v>47</v>
      </c>
      <c r="M18" s="37">
        <f>VLOOKUP(A18,'JOGOS BASE'!A:E,5,0)</f>
        <v>50</v>
      </c>
      <c r="N18" s="38" t="str">
        <f t="shared" si="15"/>
        <v>2</v>
      </c>
      <c r="O18" s="37">
        <f t="shared" si="16"/>
        <v>0</v>
      </c>
      <c r="P18" s="37">
        <f t="shared" si="17"/>
        <v>35</v>
      </c>
      <c r="Q18" s="37">
        <f t="shared" si="18"/>
        <v>47</v>
      </c>
      <c r="R18" s="37">
        <f t="shared" si="19"/>
        <v>15</v>
      </c>
    </row>
    <row r="19" spans="1:18" ht="20.399999999999999">
      <c r="A19" s="15">
        <v>2</v>
      </c>
      <c r="B19" s="47" t="s">
        <v>278</v>
      </c>
      <c r="C19" s="47" t="s">
        <v>111</v>
      </c>
      <c r="D19" s="45" t="s">
        <v>273</v>
      </c>
      <c r="E19" s="45" t="s">
        <v>279</v>
      </c>
      <c r="F19" s="45" t="s">
        <v>280</v>
      </c>
      <c r="G19" s="34">
        <f t="shared" si="10"/>
        <v>20</v>
      </c>
      <c r="H19" s="35">
        <f t="shared" si="11"/>
        <v>16</v>
      </c>
      <c r="I19" s="35">
        <f t="shared" si="12"/>
        <v>6</v>
      </c>
      <c r="J19" s="36" t="str">
        <f t="shared" si="13"/>
        <v>2Moto Club - MA16</v>
      </c>
      <c r="K19" s="36" t="str">
        <f t="shared" si="14"/>
        <v>2Moto Club - MA6</v>
      </c>
      <c r="L19" s="37">
        <f>VLOOKUP(A19,'JOGOS BASE'!A:E,4,0)</f>
        <v>47</v>
      </c>
      <c r="M19" s="37">
        <f>VLOOKUP(A19,'JOGOS BASE'!A:E,5,0)</f>
        <v>50</v>
      </c>
      <c r="N19" s="38" t="str">
        <f t="shared" si="15"/>
        <v>2</v>
      </c>
      <c r="O19" s="37">
        <f t="shared" si="16"/>
        <v>0</v>
      </c>
      <c r="P19" s="37">
        <f t="shared" si="17"/>
        <v>30</v>
      </c>
      <c r="Q19" s="37">
        <f t="shared" si="18"/>
        <v>47</v>
      </c>
      <c r="R19" s="37">
        <f t="shared" si="19"/>
        <v>20</v>
      </c>
    </row>
    <row r="20" spans="1:18" ht="20.399999999999999">
      <c r="A20" s="15">
        <v>2</v>
      </c>
      <c r="B20" s="47" t="s">
        <v>281</v>
      </c>
      <c r="C20" s="47" t="s">
        <v>111</v>
      </c>
      <c r="D20" s="45" t="s">
        <v>273</v>
      </c>
      <c r="E20" s="45" t="s">
        <v>282</v>
      </c>
      <c r="F20" s="45" t="s">
        <v>283</v>
      </c>
      <c r="G20" s="34">
        <f t="shared" si="10"/>
        <v>24</v>
      </c>
      <c r="H20" s="35">
        <f t="shared" si="11"/>
        <v>17</v>
      </c>
      <c r="I20" s="35">
        <f t="shared" si="12"/>
        <v>3</v>
      </c>
      <c r="J20" s="36" t="str">
        <f t="shared" si="13"/>
        <v>2Moto Club - MA17</v>
      </c>
      <c r="K20" s="36" t="str">
        <f t="shared" si="14"/>
        <v>2Moto Club - MA3</v>
      </c>
      <c r="L20" s="37">
        <f>VLOOKUP(A20,'JOGOS BASE'!A:E,4,0)</f>
        <v>47</v>
      </c>
      <c r="M20" s="37">
        <f>VLOOKUP(A20,'JOGOS BASE'!A:E,5,0)</f>
        <v>50</v>
      </c>
      <c r="N20" s="38" t="str">
        <f t="shared" si="15"/>
        <v>2</v>
      </c>
      <c r="O20" s="37">
        <f t="shared" si="16"/>
        <v>0</v>
      </c>
      <c r="P20" s="37">
        <f t="shared" si="17"/>
        <v>26</v>
      </c>
      <c r="Q20" s="37">
        <f t="shared" si="18"/>
        <v>47</v>
      </c>
      <c r="R20" s="37">
        <f t="shared" si="19"/>
        <v>24</v>
      </c>
    </row>
    <row r="21" spans="1:18" ht="20.399999999999999">
      <c r="A21" s="15">
        <v>2</v>
      </c>
      <c r="B21" s="47" t="s">
        <v>281</v>
      </c>
      <c r="C21" s="47" t="s">
        <v>111</v>
      </c>
      <c r="D21" s="45" t="s">
        <v>273</v>
      </c>
      <c r="E21" s="45" t="s">
        <v>284</v>
      </c>
      <c r="F21" s="45" t="s">
        <v>285</v>
      </c>
      <c r="G21" s="34">
        <f t="shared" si="10"/>
        <v>24</v>
      </c>
      <c r="H21" s="35">
        <f t="shared" si="11"/>
        <v>20</v>
      </c>
      <c r="I21" s="35">
        <f t="shared" si="12"/>
        <v>8</v>
      </c>
      <c r="J21" s="36" t="str">
        <f t="shared" si="13"/>
        <v>2Moto Club - MA20</v>
      </c>
      <c r="K21" s="36" t="str">
        <f t="shared" si="14"/>
        <v>2Moto Club - MA8</v>
      </c>
      <c r="L21" s="37">
        <f>VLOOKUP(A21,'JOGOS BASE'!A:E,4,0)</f>
        <v>47</v>
      </c>
      <c r="M21" s="37">
        <f>VLOOKUP(A21,'JOGOS BASE'!A:E,5,0)</f>
        <v>50</v>
      </c>
      <c r="N21" s="38" t="str">
        <f t="shared" si="15"/>
        <v>2</v>
      </c>
      <c r="O21" s="37">
        <f t="shared" si="16"/>
        <v>0</v>
      </c>
      <c r="P21" s="37">
        <f t="shared" si="17"/>
        <v>26</v>
      </c>
      <c r="Q21" s="37">
        <f t="shared" si="18"/>
        <v>47</v>
      </c>
      <c r="R21" s="37">
        <f t="shared" si="19"/>
        <v>24</v>
      </c>
    </row>
    <row r="22" spans="1:18" ht="20.399999999999999">
      <c r="A22" s="15">
        <v>3</v>
      </c>
      <c r="B22" s="47" t="s">
        <v>367</v>
      </c>
      <c r="C22" s="47" t="s">
        <v>111</v>
      </c>
      <c r="D22" s="45" t="s">
        <v>368</v>
      </c>
      <c r="E22" s="45" t="s">
        <v>369</v>
      </c>
      <c r="F22" s="45" t="s">
        <v>370</v>
      </c>
      <c r="G22" s="34">
        <f t="shared" ref="G22:G27" si="20">VALUE(LEFT(B22,2))</f>
        <v>25</v>
      </c>
      <c r="H22" s="35">
        <f t="shared" ref="H22:H27" si="21">IF(VALUE(LEFT(E22,2))&lt;10,VALUE(LEFT(E22,1)),VALUE(LEFT(E22,2)))</f>
        <v>18</v>
      </c>
      <c r="I22" s="35">
        <f t="shared" ref="I22:I27" si="22">IF(VALUE(LEFT(F22,2))&lt;10,VALUE(LEFT(F22,1)),VALUE(LEFT(F22,2)))</f>
        <v>11</v>
      </c>
      <c r="J22" s="36" t="str">
        <f t="shared" ref="J22:J27" si="23">$A22&amp;$D22&amp;H22</f>
        <v>3Pinheiro - MA18</v>
      </c>
      <c r="K22" s="36" t="str">
        <f t="shared" ref="K22:K27" si="24">$A22&amp;$D22&amp;I22</f>
        <v>3Pinheiro - MA11</v>
      </c>
      <c r="L22" s="37">
        <f>VLOOKUP(A22,'JOGOS BASE'!A:E,4,0)</f>
        <v>50</v>
      </c>
      <c r="M22" s="37">
        <f>VLOOKUP(A22,'JOGOS BASE'!A:E,5,0)</f>
        <v>47</v>
      </c>
      <c r="N22" s="38" t="str">
        <f t="shared" ref="N22:N27" si="25">LEFT(C22,1)</f>
        <v>2</v>
      </c>
      <c r="O22" s="37">
        <f t="shared" ref="O22:O27" si="26">IF(N22="1",L22-G22,0)</f>
        <v>0</v>
      </c>
      <c r="P22" s="37">
        <f t="shared" ref="P22:P27" si="27">IF(N22="1",M22,IF(OR(N22="2",N22="I"),M22-G22,0))</f>
        <v>22</v>
      </c>
      <c r="Q22" s="37">
        <f t="shared" ref="Q22:Q27" si="28">IF(N22="1",G22,L22)</f>
        <v>50</v>
      </c>
      <c r="R22" s="37">
        <f t="shared" ref="R22:R27" si="29">IF(OR(N22="1",N22="I"),0,G22)</f>
        <v>25</v>
      </c>
    </row>
    <row r="23" spans="1:18" ht="20.399999999999999">
      <c r="A23" s="15">
        <v>3</v>
      </c>
      <c r="B23" s="47" t="s">
        <v>371</v>
      </c>
      <c r="C23" s="47" t="s">
        <v>111</v>
      </c>
      <c r="D23" s="45" t="s">
        <v>368</v>
      </c>
      <c r="E23" s="45" t="s">
        <v>372</v>
      </c>
      <c r="F23" s="45" t="s">
        <v>373</v>
      </c>
      <c r="G23" s="34">
        <f t="shared" si="20"/>
        <v>32</v>
      </c>
      <c r="H23" s="35">
        <f t="shared" si="21"/>
        <v>13</v>
      </c>
      <c r="I23" s="35">
        <f t="shared" si="22"/>
        <v>7</v>
      </c>
      <c r="J23" s="36" t="str">
        <f t="shared" si="23"/>
        <v>3Pinheiro - MA13</v>
      </c>
      <c r="K23" s="36" t="str">
        <f t="shared" si="24"/>
        <v>3Pinheiro - MA7</v>
      </c>
      <c r="L23" s="37">
        <f>VLOOKUP(A23,'JOGOS BASE'!A:E,4,0)</f>
        <v>50</v>
      </c>
      <c r="M23" s="37">
        <f>VLOOKUP(A23,'JOGOS BASE'!A:E,5,0)</f>
        <v>47</v>
      </c>
      <c r="N23" s="38" t="str">
        <f t="shared" si="25"/>
        <v>2</v>
      </c>
      <c r="O23" s="37">
        <f t="shared" si="26"/>
        <v>0</v>
      </c>
      <c r="P23" s="37">
        <f t="shared" si="27"/>
        <v>15</v>
      </c>
      <c r="Q23" s="37">
        <f t="shared" si="28"/>
        <v>50</v>
      </c>
      <c r="R23" s="37">
        <f t="shared" si="29"/>
        <v>32</v>
      </c>
    </row>
    <row r="24" spans="1:18" ht="20.399999999999999">
      <c r="A24" s="15">
        <v>3</v>
      </c>
      <c r="B24" s="47" t="s">
        <v>371</v>
      </c>
      <c r="C24" s="47" t="s">
        <v>111</v>
      </c>
      <c r="D24" s="45" t="s">
        <v>368</v>
      </c>
      <c r="E24" s="45" t="s">
        <v>374</v>
      </c>
      <c r="F24" s="45" t="s">
        <v>375</v>
      </c>
      <c r="G24" s="34">
        <f t="shared" si="20"/>
        <v>32</v>
      </c>
      <c r="H24" s="35">
        <f t="shared" si="21"/>
        <v>17</v>
      </c>
      <c r="I24" s="35">
        <f t="shared" si="22"/>
        <v>9</v>
      </c>
      <c r="J24" s="36" t="str">
        <f t="shared" si="23"/>
        <v>3Pinheiro - MA17</v>
      </c>
      <c r="K24" s="36" t="str">
        <f t="shared" si="24"/>
        <v>3Pinheiro - MA9</v>
      </c>
      <c r="L24" s="37">
        <f>VLOOKUP(A24,'JOGOS BASE'!A:E,4,0)</f>
        <v>50</v>
      </c>
      <c r="M24" s="37">
        <f>VLOOKUP(A24,'JOGOS BASE'!A:E,5,0)</f>
        <v>47</v>
      </c>
      <c r="N24" s="38" t="str">
        <f t="shared" si="25"/>
        <v>2</v>
      </c>
      <c r="O24" s="37">
        <f t="shared" si="26"/>
        <v>0</v>
      </c>
      <c r="P24" s="37">
        <f t="shared" si="27"/>
        <v>15</v>
      </c>
      <c r="Q24" s="37">
        <f t="shared" si="28"/>
        <v>50</v>
      </c>
      <c r="R24" s="37">
        <f t="shared" si="29"/>
        <v>32</v>
      </c>
    </row>
    <row r="25" spans="1:18" ht="20.399999999999999">
      <c r="A25" s="15">
        <v>3</v>
      </c>
      <c r="B25" s="47" t="s">
        <v>371</v>
      </c>
      <c r="C25" s="47" t="s">
        <v>111</v>
      </c>
      <c r="D25" s="45" t="s">
        <v>368</v>
      </c>
      <c r="E25" s="45" t="s">
        <v>376</v>
      </c>
      <c r="F25" s="45" t="s">
        <v>377</v>
      </c>
      <c r="G25" s="34">
        <f t="shared" si="20"/>
        <v>32</v>
      </c>
      <c r="H25" s="35">
        <f t="shared" si="21"/>
        <v>15</v>
      </c>
      <c r="I25" s="35">
        <f t="shared" si="22"/>
        <v>6</v>
      </c>
      <c r="J25" s="36" t="str">
        <f t="shared" si="23"/>
        <v>3Pinheiro - MA15</v>
      </c>
      <c r="K25" s="36" t="str">
        <f t="shared" si="24"/>
        <v>3Pinheiro - MA6</v>
      </c>
      <c r="L25" s="37">
        <f>VLOOKUP(A25,'JOGOS BASE'!A:E,4,0)</f>
        <v>50</v>
      </c>
      <c r="M25" s="37">
        <f>VLOOKUP(A25,'JOGOS BASE'!A:E,5,0)</f>
        <v>47</v>
      </c>
      <c r="N25" s="38" t="str">
        <f t="shared" si="25"/>
        <v>2</v>
      </c>
      <c r="O25" s="37">
        <f t="shared" si="26"/>
        <v>0</v>
      </c>
      <c r="P25" s="37">
        <f t="shared" si="27"/>
        <v>15</v>
      </c>
      <c r="Q25" s="37">
        <f t="shared" si="28"/>
        <v>50</v>
      </c>
      <c r="R25" s="37">
        <f t="shared" si="29"/>
        <v>32</v>
      </c>
    </row>
    <row r="26" spans="1:18" ht="20.399999999999999">
      <c r="A26" s="15">
        <v>3</v>
      </c>
      <c r="B26" s="47" t="s">
        <v>378</v>
      </c>
      <c r="C26" s="47" t="s">
        <v>141</v>
      </c>
      <c r="D26" s="45" t="s">
        <v>368</v>
      </c>
      <c r="E26" s="45" t="s">
        <v>379</v>
      </c>
      <c r="F26" s="45" t="s">
        <v>380</v>
      </c>
      <c r="G26" s="34">
        <f t="shared" si="20"/>
        <v>42</v>
      </c>
      <c r="H26" s="35">
        <f t="shared" si="21"/>
        <v>14</v>
      </c>
      <c r="I26" s="35">
        <f t="shared" si="22"/>
        <v>2</v>
      </c>
      <c r="J26" s="36" t="str">
        <f t="shared" si="23"/>
        <v>3Pinheiro - MA14</v>
      </c>
      <c r="K26" s="36" t="str">
        <f t="shared" si="24"/>
        <v>3Pinheiro - MA2</v>
      </c>
      <c r="L26" s="37">
        <f>VLOOKUP(A26,'JOGOS BASE'!A:E,4,0)</f>
        <v>50</v>
      </c>
      <c r="M26" s="37">
        <f>VLOOKUP(A26,'JOGOS BASE'!A:E,5,0)</f>
        <v>47</v>
      </c>
      <c r="N26" s="38" t="str">
        <f t="shared" si="25"/>
        <v>1</v>
      </c>
      <c r="O26" s="37">
        <f t="shared" si="26"/>
        <v>8</v>
      </c>
      <c r="P26" s="37">
        <f t="shared" si="27"/>
        <v>47</v>
      </c>
      <c r="Q26" s="37">
        <f t="shared" si="28"/>
        <v>42</v>
      </c>
      <c r="R26" s="37">
        <f t="shared" si="29"/>
        <v>0</v>
      </c>
    </row>
    <row r="27" spans="1:18" ht="20.399999999999999">
      <c r="A27" s="15">
        <v>3</v>
      </c>
      <c r="B27" s="47" t="s">
        <v>371</v>
      </c>
      <c r="C27" s="47" t="s">
        <v>111</v>
      </c>
      <c r="D27" s="45" t="s">
        <v>381</v>
      </c>
      <c r="E27" s="45" t="s">
        <v>382</v>
      </c>
      <c r="F27" s="45" t="s">
        <v>383</v>
      </c>
      <c r="G27" s="34">
        <f t="shared" si="20"/>
        <v>32</v>
      </c>
      <c r="H27" s="35">
        <f t="shared" si="21"/>
        <v>13</v>
      </c>
      <c r="I27" s="35">
        <f t="shared" si="22"/>
        <v>8</v>
      </c>
      <c r="J27" s="36" t="str">
        <f t="shared" si="23"/>
        <v>3Viana - MA13</v>
      </c>
      <c r="K27" s="36" t="str">
        <f t="shared" si="24"/>
        <v>3Viana - MA8</v>
      </c>
      <c r="L27" s="37">
        <f>VLOOKUP(A27,'JOGOS BASE'!A:E,4,0)</f>
        <v>50</v>
      </c>
      <c r="M27" s="37">
        <f>VLOOKUP(A27,'JOGOS BASE'!A:E,5,0)</f>
        <v>47</v>
      </c>
      <c r="N27" s="38" t="str">
        <f t="shared" si="25"/>
        <v>2</v>
      </c>
      <c r="O27" s="37">
        <f t="shared" si="26"/>
        <v>0</v>
      </c>
      <c r="P27" s="37">
        <f t="shared" si="27"/>
        <v>15</v>
      </c>
      <c r="Q27" s="37">
        <f t="shared" si="28"/>
        <v>50</v>
      </c>
      <c r="R27" s="37">
        <f t="shared" si="29"/>
        <v>32</v>
      </c>
    </row>
    <row r="28" spans="1:18" ht="20.399999999999999">
      <c r="A28" s="15">
        <v>4</v>
      </c>
      <c r="B28" s="47" t="s">
        <v>404</v>
      </c>
      <c r="C28" s="47" t="s">
        <v>111</v>
      </c>
      <c r="D28" s="45" t="s">
        <v>368</v>
      </c>
      <c r="E28" s="45" t="s">
        <v>369</v>
      </c>
      <c r="F28" s="45" t="s">
        <v>370</v>
      </c>
      <c r="G28" s="34">
        <f t="shared" ref="G28:G36" si="30">VALUE(LEFT(B28,2))</f>
        <v>17</v>
      </c>
      <c r="H28" s="35">
        <f t="shared" ref="H28:H36" si="31">IF(VALUE(LEFT(E28,2))&lt;10,VALUE(LEFT(E28,1)),VALUE(LEFT(E28,2)))</f>
        <v>18</v>
      </c>
      <c r="I28" s="35">
        <f t="shared" ref="I28:I36" si="32">IF(VALUE(LEFT(F28,2))&lt;10,VALUE(LEFT(F28,1)),VALUE(LEFT(F28,2)))</f>
        <v>11</v>
      </c>
      <c r="J28" s="36" t="str">
        <f t="shared" ref="J28:J36" si="33">$A28&amp;$D28&amp;H28</f>
        <v>4Pinheiro - MA18</v>
      </c>
      <c r="K28" s="36" t="str">
        <f t="shared" ref="K28:K36" si="34">$A28&amp;$D28&amp;I28</f>
        <v>4Pinheiro - MA11</v>
      </c>
      <c r="L28" s="37">
        <f>VLOOKUP(A28,'JOGOS BASE'!A:E,4,0)</f>
        <v>49</v>
      </c>
      <c r="M28" s="37">
        <f>VLOOKUP(A28,'JOGOS BASE'!A:E,5,0)</f>
        <v>51</v>
      </c>
      <c r="N28" s="38" t="str">
        <f t="shared" ref="N28:N36" si="35">LEFT(C28,1)</f>
        <v>2</v>
      </c>
      <c r="O28" s="37">
        <f t="shared" ref="O28:O36" si="36">IF(N28="1",L28-G28,0)</f>
        <v>0</v>
      </c>
      <c r="P28" s="37">
        <f t="shared" ref="P28:P36" si="37">IF(N28="1",M28,IF(OR(N28="2",N28="I"),M28-G28,0))</f>
        <v>34</v>
      </c>
      <c r="Q28" s="37">
        <f t="shared" ref="Q28:Q36" si="38">IF(N28="1",G28,L28)</f>
        <v>49</v>
      </c>
      <c r="R28" s="37">
        <f t="shared" ref="R28:R36" si="39">IF(OR(N28="1",N28="I"),0,G28)</f>
        <v>17</v>
      </c>
    </row>
    <row r="29" spans="1:18" ht="20.399999999999999">
      <c r="A29" s="15">
        <v>4</v>
      </c>
      <c r="B29" s="47" t="s">
        <v>281</v>
      </c>
      <c r="C29" s="47" t="s">
        <v>111</v>
      </c>
      <c r="D29" s="45" t="s">
        <v>368</v>
      </c>
      <c r="E29" s="45" t="s">
        <v>372</v>
      </c>
      <c r="F29" s="45" t="s">
        <v>375</v>
      </c>
      <c r="G29" s="34">
        <f t="shared" si="30"/>
        <v>24</v>
      </c>
      <c r="H29" s="35">
        <f t="shared" si="31"/>
        <v>13</v>
      </c>
      <c r="I29" s="35">
        <f t="shared" si="32"/>
        <v>9</v>
      </c>
      <c r="J29" s="36" t="str">
        <f t="shared" si="33"/>
        <v>4Pinheiro - MA13</v>
      </c>
      <c r="K29" s="36" t="str">
        <f t="shared" si="34"/>
        <v>4Pinheiro - MA9</v>
      </c>
      <c r="L29" s="37">
        <f>VLOOKUP(A29,'JOGOS BASE'!A:E,4,0)</f>
        <v>49</v>
      </c>
      <c r="M29" s="37">
        <f>VLOOKUP(A29,'JOGOS BASE'!A:E,5,0)</f>
        <v>51</v>
      </c>
      <c r="N29" s="38" t="str">
        <f t="shared" si="35"/>
        <v>2</v>
      </c>
      <c r="O29" s="37">
        <f t="shared" si="36"/>
        <v>0</v>
      </c>
      <c r="P29" s="37">
        <f t="shared" si="37"/>
        <v>27</v>
      </c>
      <c r="Q29" s="37">
        <f t="shared" si="38"/>
        <v>49</v>
      </c>
      <c r="R29" s="37">
        <f t="shared" si="39"/>
        <v>24</v>
      </c>
    </row>
    <row r="30" spans="1:18" ht="20.399999999999999">
      <c r="A30" s="15">
        <v>4</v>
      </c>
      <c r="B30" s="47" t="s">
        <v>159</v>
      </c>
      <c r="C30" s="47" t="s">
        <v>111</v>
      </c>
      <c r="D30" s="45" t="s">
        <v>368</v>
      </c>
      <c r="E30" s="45" t="s">
        <v>374</v>
      </c>
      <c r="F30" s="45" t="s">
        <v>373</v>
      </c>
      <c r="G30" s="34">
        <f t="shared" si="30"/>
        <v>43</v>
      </c>
      <c r="H30" s="35">
        <f t="shared" si="31"/>
        <v>17</v>
      </c>
      <c r="I30" s="35">
        <f t="shared" si="32"/>
        <v>7</v>
      </c>
      <c r="J30" s="36" t="str">
        <f t="shared" si="33"/>
        <v>4Pinheiro - MA17</v>
      </c>
      <c r="K30" s="36" t="str">
        <f t="shared" si="34"/>
        <v>4Pinheiro - MA7</v>
      </c>
      <c r="L30" s="37">
        <f>VLOOKUP(A30,'JOGOS BASE'!A:E,4,0)</f>
        <v>49</v>
      </c>
      <c r="M30" s="37">
        <f>VLOOKUP(A30,'JOGOS BASE'!A:E,5,0)</f>
        <v>51</v>
      </c>
      <c r="N30" s="38" t="str">
        <f t="shared" si="35"/>
        <v>2</v>
      </c>
      <c r="O30" s="37">
        <f t="shared" si="36"/>
        <v>0</v>
      </c>
      <c r="P30" s="37">
        <f t="shared" si="37"/>
        <v>8</v>
      </c>
      <c r="Q30" s="37">
        <f t="shared" si="38"/>
        <v>49</v>
      </c>
      <c r="R30" s="37">
        <f t="shared" si="39"/>
        <v>43</v>
      </c>
    </row>
    <row r="31" spans="1:18" ht="20.399999999999999">
      <c r="A31" s="15">
        <v>4</v>
      </c>
      <c r="B31" s="47" t="s">
        <v>159</v>
      </c>
      <c r="C31" s="47" t="s">
        <v>111</v>
      </c>
      <c r="D31" s="45" t="s">
        <v>368</v>
      </c>
      <c r="E31" s="45" t="s">
        <v>379</v>
      </c>
      <c r="F31" s="45" t="s">
        <v>405</v>
      </c>
      <c r="G31" s="34">
        <f t="shared" si="30"/>
        <v>43</v>
      </c>
      <c r="H31" s="35">
        <f t="shared" si="31"/>
        <v>14</v>
      </c>
      <c r="I31" s="35">
        <f t="shared" si="32"/>
        <v>10</v>
      </c>
      <c r="J31" s="36" t="str">
        <f t="shared" si="33"/>
        <v>4Pinheiro - MA14</v>
      </c>
      <c r="K31" s="36" t="str">
        <f t="shared" si="34"/>
        <v>4Pinheiro - MA10</v>
      </c>
      <c r="L31" s="37">
        <f>VLOOKUP(A31,'JOGOS BASE'!A:E,4,0)</f>
        <v>49</v>
      </c>
      <c r="M31" s="37">
        <f>VLOOKUP(A31,'JOGOS BASE'!A:E,5,0)</f>
        <v>51</v>
      </c>
      <c r="N31" s="38" t="str">
        <f t="shared" si="35"/>
        <v>2</v>
      </c>
      <c r="O31" s="37">
        <f t="shared" si="36"/>
        <v>0</v>
      </c>
      <c r="P31" s="37">
        <f t="shared" si="37"/>
        <v>8</v>
      </c>
      <c r="Q31" s="37">
        <f t="shared" si="38"/>
        <v>49</v>
      </c>
      <c r="R31" s="37">
        <f t="shared" si="39"/>
        <v>43</v>
      </c>
    </row>
    <row r="32" spans="1:18" ht="20.399999999999999">
      <c r="A32" s="15">
        <v>4</v>
      </c>
      <c r="B32" s="47" t="s">
        <v>404</v>
      </c>
      <c r="C32" s="47" t="s">
        <v>111</v>
      </c>
      <c r="D32" s="45" t="s">
        <v>260</v>
      </c>
      <c r="E32" s="45" t="s">
        <v>268</v>
      </c>
      <c r="F32" s="45" t="s">
        <v>267</v>
      </c>
      <c r="G32" s="34">
        <f t="shared" si="30"/>
        <v>17</v>
      </c>
      <c r="H32" s="35">
        <f t="shared" si="31"/>
        <v>22</v>
      </c>
      <c r="I32" s="35">
        <f t="shared" si="32"/>
        <v>20</v>
      </c>
      <c r="J32" s="36" t="str">
        <f t="shared" si="33"/>
        <v>4Maranhão - MA22</v>
      </c>
      <c r="K32" s="36" t="str">
        <f t="shared" si="34"/>
        <v>4Maranhão - MA20</v>
      </c>
      <c r="L32" s="37">
        <f>VLOOKUP(A32,'JOGOS BASE'!A:E,4,0)</f>
        <v>49</v>
      </c>
      <c r="M32" s="37">
        <f>VLOOKUP(A32,'JOGOS BASE'!A:E,5,0)</f>
        <v>51</v>
      </c>
      <c r="N32" s="38" t="str">
        <f t="shared" si="35"/>
        <v>2</v>
      </c>
      <c r="O32" s="37">
        <f t="shared" si="36"/>
        <v>0</v>
      </c>
      <c r="P32" s="37">
        <f t="shared" si="37"/>
        <v>34</v>
      </c>
      <c r="Q32" s="37">
        <f t="shared" si="38"/>
        <v>49</v>
      </c>
      <c r="R32" s="37">
        <f t="shared" si="39"/>
        <v>17</v>
      </c>
    </row>
    <row r="33" spans="1:18" ht="20.399999999999999">
      <c r="A33" s="15">
        <v>4</v>
      </c>
      <c r="B33" s="47" t="s">
        <v>404</v>
      </c>
      <c r="C33" s="47" t="s">
        <v>111</v>
      </c>
      <c r="D33" s="45" t="s">
        <v>260</v>
      </c>
      <c r="E33" s="45" t="s">
        <v>406</v>
      </c>
      <c r="F33" s="45" t="s">
        <v>262</v>
      </c>
      <c r="G33" s="34">
        <f t="shared" si="30"/>
        <v>17</v>
      </c>
      <c r="H33" s="35">
        <f t="shared" si="31"/>
        <v>7</v>
      </c>
      <c r="I33" s="35">
        <f t="shared" si="32"/>
        <v>11</v>
      </c>
      <c r="J33" s="36" t="str">
        <f t="shared" si="33"/>
        <v>4Maranhão - MA7</v>
      </c>
      <c r="K33" s="36" t="str">
        <f t="shared" si="34"/>
        <v>4Maranhão - MA11</v>
      </c>
      <c r="L33" s="37">
        <f>VLOOKUP(A33,'JOGOS BASE'!A:E,4,0)</f>
        <v>49</v>
      </c>
      <c r="M33" s="37">
        <f>VLOOKUP(A33,'JOGOS BASE'!A:E,5,0)</f>
        <v>51</v>
      </c>
      <c r="N33" s="38" t="str">
        <f t="shared" si="35"/>
        <v>2</v>
      </c>
      <c r="O33" s="37">
        <f t="shared" si="36"/>
        <v>0</v>
      </c>
      <c r="P33" s="37">
        <f t="shared" si="37"/>
        <v>34</v>
      </c>
      <c r="Q33" s="37">
        <f t="shared" si="38"/>
        <v>49</v>
      </c>
      <c r="R33" s="37">
        <f t="shared" si="39"/>
        <v>17</v>
      </c>
    </row>
    <row r="34" spans="1:18" ht="20.399999999999999">
      <c r="A34" s="15">
        <v>4</v>
      </c>
      <c r="B34" s="47" t="s">
        <v>404</v>
      </c>
      <c r="C34" s="47" t="s">
        <v>111</v>
      </c>
      <c r="D34" s="45" t="s">
        <v>260</v>
      </c>
      <c r="E34" s="45" t="s">
        <v>407</v>
      </c>
      <c r="F34" s="45" t="s">
        <v>408</v>
      </c>
      <c r="G34" s="34">
        <f t="shared" si="30"/>
        <v>17</v>
      </c>
      <c r="H34" s="35">
        <f t="shared" si="31"/>
        <v>18</v>
      </c>
      <c r="I34" s="35">
        <f t="shared" si="32"/>
        <v>8</v>
      </c>
      <c r="J34" s="36" t="str">
        <f t="shared" si="33"/>
        <v>4Maranhão - MA18</v>
      </c>
      <c r="K34" s="36" t="str">
        <f t="shared" si="34"/>
        <v>4Maranhão - MA8</v>
      </c>
      <c r="L34" s="37">
        <f>VLOOKUP(A34,'JOGOS BASE'!A:E,4,0)</f>
        <v>49</v>
      </c>
      <c r="M34" s="37">
        <f>VLOOKUP(A34,'JOGOS BASE'!A:E,5,0)</f>
        <v>51</v>
      </c>
      <c r="N34" s="38" t="str">
        <f t="shared" si="35"/>
        <v>2</v>
      </c>
      <c r="O34" s="37">
        <f t="shared" si="36"/>
        <v>0</v>
      </c>
      <c r="P34" s="37">
        <f t="shared" si="37"/>
        <v>34</v>
      </c>
      <c r="Q34" s="37">
        <f t="shared" si="38"/>
        <v>49</v>
      </c>
      <c r="R34" s="37">
        <f t="shared" si="39"/>
        <v>17</v>
      </c>
    </row>
    <row r="35" spans="1:18" ht="20.399999999999999">
      <c r="A35" s="15">
        <v>4</v>
      </c>
      <c r="B35" s="47" t="s">
        <v>281</v>
      </c>
      <c r="C35" s="47" t="s">
        <v>111</v>
      </c>
      <c r="D35" s="45" t="s">
        <v>260</v>
      </c>
      <c r="E35" s="45" t="s">
        <v>261</v>
      </c>
      <c r="F35" s="45" t="s">
        <v>409</v>
      </c>
      <c r="G35" s="34">
        <f t="shared" si="30"/>
        <v>24</v>
      </c>
      <c r="H35" s="35">
        <f t="shared" si="31"/>
        <v>14</v>
      </c>
      <c r="I35" s="35">
        <f t="shared" si="32"/>
        <v>4</v>
      </c>
      <c r="J35" s="36" t="str">
        <f t="shared" si="33"/>
        <v>4Maranhão - MA14</v>
      </c>
      <c r="K35" s="36" t="str">
        <f t="shared" si="34"/>
        <v>4Maranhão - MA4</v>
      </c>
      <c r="L35" s="37">
        <f>VLOOKUP(A35,'JOGOS BASE'!A:E,4,0)</f>
        <v>49</v>
      </c>
      <c r="M35" s="37">
        <f>VLOOKUP(A35,'JOGOS BASE'!A:E,5,0)</f>
        <v>51</v>
      </c>
      <c r="N35" s="38" t="str">
        <f t="shared" si="35"/>
        <v>2</v>
      </c>
      <c r="O35" s="37">
        <f t="shared" si="36"/>
        <v>0</v>
      </c>
      <c r="P35" s="37">
        <f t="shared" si="37"/>
        <v>27</v>
      </c>
      <c r="Q35" s="37">
        <f t="shared" si="38"/>
        <v>49</v>
      </c>
      <c r="R35" s="37">
        <f t="shared" si="39"/>
        <v>24</v>
      </c>
    </row>
    <row r="36" spans="1:18" ht="20.399999999999999">
      <c r="A36" s="15">
        <v>4</v>
      </c>
      <c r="B36" s="47" t="s">
        <v>131</v>
      </c>
      <c r="C36" s="47" t="s">
        <v>111</v>
      </c>
      <c r="D36" s="45" t="s">
        <v>260</v>
      </c>
      <c r="E36" s="45" t="s">
        <v>410</v>
      </c>
      <c r="F36" s="45" t="s">
        <v>411</v>
      </c>
      <c r="G36" s="34">
        <f t="shared" si="30"/>
        <v>41</v>
      </c>
      <c r="H36" s="35">
        <f t="shared" si="31"/>
        <v>19</v>
      </c>
      <c r="I36" s="35">
        <f t="shared" si="32"/>
        <v>10</v>
      </c>
      <c r="J36" s="36" t="str">
        <f t="shared" si="33"/>
        <v>4Maranhão - MA19</v>
      </c>
      <c r="K36" s="36" t="str">
        <f t="shared" si="34"/>
        <v>4Maranhão - MA10</v>
      </c>
      <c r="L36" s="37">
        <f>VLOOKUP(A36,'JOGOS BASE'!A:E,4,0)</f>
        <v>49</v>
      </c>
      <c r="M36" s="37">
        <f>VLOOKUP(A36,'JOGOS BASE'!A:E,5,0)</f>
        <v>51</v>
      </c>
      <c r="N36" s="38" t="str">
        <f t="shared" si="35"/>
        <v>2</v>
      </c>
      <c r="O36" s="37">
        <f t="shared" si="36"/>
        <v>0</v>
      </c>
      <c r="P36" s="37">
        <f t="shared" si="37"/>
        <v>10</v>
      </c>
      <c r="Q36" s="37">
        <f t="shared" si="38"/>
        <v>49</v>
      </c>
      <c r="R36" s="37">
        <f t="shared" si="39"/>
        <v>41</v>
      </c>
    </row>
    <row r="37" spans="1:18" ht="20.399999999999999">
      <c r="A37" s="15">
        <v>5</v>
      </c>
      <c r="B37" s="47" t="s">
        <v>105</v>
      </c>
      <c r="C37" s="47" t="s">
        <v>106</v>
      </c>
      <c r="D37" s="45" t="s">
        <v>412</v>
      </c>
      <c r="E37" s="45" t="s">
        <v>413</v>
      </c>
      <c r="F37" s="45" t="s">
        <v>414</v>
      </c>
      <c r="G37" s="34">
        <f t="shared" ref="G37:G46" si="40">VALUE(LEFT(B37,2))</f>
        <v>0</v>
      </c>
      <c r="H37" s="35">
        <f t="shared" ref="H37:H46" si="41">IF(VALUE(LEFT(E37,2))&lt;10,VALUE(LEFT(E37,1)),VALUE(LEFT(E37,2)))</f>
        <v>8</v>
      </c>
      <c r="I37" s="35">
        <f t="shared" ref="I37:I46" si="42">IF(VALUE(LEFT(F37,2))&lt;10,VALUE(LEFT(F37,1)),VALUE(LEFT(F37,2)))</f>
        <v>11</v>
      </c>
      <c r="J37" s="36" t="str">
        <f t="shared" ref="J37:J46" si="43">$A37&amp;$D37&amp;H37</f>
        <v>5Iape - MA8</v>
      </c>
      <c r="K37" s="36" t="str">
        <f t="shared" ref="K37:K46" si="44">$A37&amp;$D37&amp;I37</f>
        <v>5Iape - MA11</v>
      </c>
      <c r="L37" s="37">
        <f>VLOOKUP(A37,'JOGOS BASE'!A:E,4,0)</f>
        <v>46</v>
      </c>
      <c r="M37" s="37">
        <f>VLOOKUP(A37,'JOGOS BASE'!A:E,5,0)</f>
        <v>48</v>
      </c>
      <c r="N37" s="38" t="str">
        <f t="shared" ref="N37:N46" si="45">LEFT(C37,1)</f>
        <v>I</v>
      </c>
      <c r="O37" s="37">
        <f t="shared" ref="O37:O46" si="46">IF(N37="1",L37-G37,0)</f>
        <v>0</v>
      </c>
      <c r="P37" s="37">
        <f t="shared" ref="P37:P46" si="47">IF(N37="1",M37,IF(OR(N37="2",N37="I"),M37-G37,0))</f>
        <v>48</v>
      </c>
      <c r="Q37" s="37">
        <f t="shared" ref="Q37:Q46" si="48">IF(N37="1",G37,L37)</f>
        <v>46</v>
      </c>
      <c r="R37" s="37">
        <f t="shared" ref="R37:R46" si="49">IF(OR(N37="1",N37="I"),0,G37)</f>
        <v>0</v>
      </c>
    </row>
    <row r="38" spans="1:18" ht="20.399999999999999">
      <c r="A38" s="15">
        <v>5</v>
      </c>
      <c r="B38" s="47" t="s">
        <v>105</v>
      </c>
      <c r="C38" s="47" t="s">
        <v>106</v>
      </c>
      <c r="D38" s="45" t="s">
        <v>412</v>
      </c>
      <c r="E38" s="45" t="s">
        <v>415</v>
      </c>
      <c r="F38" s="45" t="s">
        <v>416</v>
      </c>
      <c r="G38" s="34">
        <f t="shared" si="40"/>
        <v>0</v>
      </c>
      <c r="H38" s="35">
        <f t="shared" si="41"/>
        <v>14</v>
      </c>
      <c r="I38" s="35">
        <f t="shared" si="42"/>
        <v>7</v>
      </c>
      <c r="J38" s="36" t="str">
        <f t="shared" si="43"/>
        <v>5Iape - MA14</v>
      </c>
      <c r="K38" s="36" t="str">
        <f t="shared" si="44"/>
        <v>5Iape - MA7</v>
      </c>
      <c r="L38" s="37">
        <f>VLOOKUP(A38,'JOGOS BASE'!A:E,4,0)</f>
        <v>46</v>
      </c>
      <c r="M38" s="37">
        <f>VLOOKUP(A38,'JOGOS BASE'!A:E,5,0)</f>
        <v>48</v>
      </c>
      <c r="N38" s="38" t="str">
        <f t="shared" si="45"/>
        <v>I</v>
      </c>
      <c r="O38" s="37">
        <f t="shared" si="46"/>
        <v>0</v>
      </c>
      <c r="P38" s="37">
        <f t="shared" si="47"/>
        <v>48</v>
      </c>
      <c r="Q38" s="37">
        <f t="shared" si="48"/>
        <v>46</v>
      </c>
      <c r="R38" s="37">
        <f t="shared" si="49"/>
        <v>0</v>
      </c>
    </row>
    <row r="39" spans="1:18" ht="20.399999999999999">
      <c r="A39" s="15">
        <v>5</v>
      </c>
      <c r="B39" s="47" t="s">
        <v>417</v>
      </c>
      <c r="C39" s="47" t="s">
        <v>111</v>
      </c>
      <c r="D39" s="45" t="s">
        <v>412</v>
      </c>
      <c r="E39" s="45" t="s">
        <v>418</v>
      </c>
      <c r="F39" s="45" t="s">
        <v>419</v>
      </c>
      <c r="G39" s="34">
        <f t="shared" si="40"/>
        <v>10</v>
      </c>
      <c r="H39" s="35">
        <f t="shared" si="41"/>
        <v>22</v>
      </c>
      <c r="I39" s="35">
        <f t="shared" si="42"/>
        <v>25</v>
      </c>
      <c r="J39" s="36" t="str">
        <f t="shared" si="43"/>
        <v>5Iape - MA22</v>
      </c>
      <c r="K39" s="36" t="str">
        <f t="shared" si="44"/>
        <v>5Iape - MA25</v>
      </c>
      <c r="L39" s="37">
        <f>VLOOKUP(A39,'JOGOS BASE'!A:E,4,0)</f>
        <v>46</v>
      </c>
      <c r="M39" s="37">
        <f>VLOOKUP(A39,'JOGOS BASE'!A:E,5,0)</f>
        <v>48</v>
      </c>
      <c r="N39" s="38" t="str">
        <f t="shared" si="45"/>
        <v>2</v>
      </c>
      <c r="O39" s="37">
        <f t="shared" si="46"/>
        <v>0</v>
      </c>
      <c r="P39" s="37">
        <f t="shared" si="47"/>
        <v>38</v>
      </c>
      <c r="Q39" s="37">
        <f t="shared" si="48"/>
        <v>46</v>
      </c>
      <c r="R39" s="37">
        <f t="shared" si="49"/>
        <v>10</v>
      </c>
    </row>
    <row r="40" spans="1:18" ht="20.399999999999999">
      <c r="A40" s="15">
        <v>5</v>
      </c>
      <c r="B40" s="47" t="s">
        <v>420</v>
      </c>
      <c r="C40" s="47" t="s">
        <v>111</v>
      </c>
      <c r="D40" s="45" t="s">
        <v>412</v>
      </c>
      <c r="E40" s="45" t="s">
        <v>421</v>
      </c>
      <c r="F40" s="45" t="s">
        <v>422</v>
      </c>
      <c r="G40" s="34">
        <f t="shared" si="40"/>
        <v>16</v>
      </c>
      <c r="H40" s="35">
        <f t="shared" si="41"/>
        <v>17</v>
      </c>
      <c r="I40" s="35">
        <f t="shared" si="42"/>
        <v>9</v>
      </c>
      <c r="J40" s="36" t="str">
        <f t="shared" si="43"/>
        <v>5Iape - MA17</v>
      </c>
      <c r="K40" s="36" t="str">
        <f t="shared" si="44"/>
        <v>5Iape - MA9</v>
      </c>
      <c r="L40" s="37">
        <f>VLOOKUP(A40,'JOGOS BASE'!A:E,4,0)</f>
        <v>46</v>
      </c>
      <c r="M40" s="37">
        <f>VLOOKUP(A40,'JOGOS BASE'!A:E,5,0)</f>
        <v>48</v>
      </c>
      <c r="N40" s="38" t="str">
        <f t="shared" si="45"/>
        <v>2</v>
      </c>
      <c r="O40" s="37">
        <f t="shared" si="46"/>
        <v>0</v>
      </c>
      <c r="P40" s="37">
        <f t="shared" si="47"/>
        <v>32</v>
      </c>
      <c r="Q40" s="37">
        <f t="shared" si="48"/>
        <v>46</v>
      </c>
      <c r="R40" s="37">
        <f t="shared" si="49"/>
        <v>16</v>
      </c>
    </row>
    <row r="41" spans="1:18" ht="20.399999999999999">
      <c r="A41" s="15">
        <v>5</v>
      </c>
      <c r="B41" s="47" t="s">
        <v>281</v>
      </c>
      <c r="C41" s="47" t="s">
        <v>111</v>
      </c>
      <c r="D41" s="45" t="s">
        <v>412</v>
      </c>
      <c r="E41" s="45" t="s">
        <v>423</v>
      </c>
      <c r="F41" s="45" t="s">
        <v>424</v>
      </c>
      <c r="G41" s="34">
        <f t="shared" si="40"/>
        <v>24</v>
      </c>
      <c r="H41" s="35">
        <f t="shared" si="41"/>
        <v>20</v>
      </c>
      <c r="I41" s="35">
        <f t="shared" si="42"/>
        <v>10</v>
      </c>
      <c r="J41" s="36" t="str">
        <f t="shared" si="43"/>
        <v>5Iape - MA20</v>
      </c>
      <c r="K41" s="36" t="str">
        <f t="shared" si="44"/>
        <v>5Iape - MA10</v>
      </c>
      <c r="L41" s="37">
        <f>VLOOKUP(A41,'JOGOS BASE'!A:E,4,0)</f>
        <v>46</v>
      </c>
      <c r="M41" s="37">
        <f>VLOOKUP(A41,'JOGOS BASE'!A:E,5,0)</f>
        <v>48</v>
      </c>
      <c r="N41" s="38" t="str">
        <f t="shared" si="45"/>
        <v>2</v>
      </c>
      <c r="O41" s="37">
        <f t="shared" si="46"/>
        <v>0</v>
      </c>
      <c r="P41" s="37">
        <f t="shared" si="47"/>
        <v>24</v>
      </c>
      <c r="Q41" s="37">
        <f t="shared" si="48"/>
        <v>46</v>
      </c>
      <c r="R41" s="37">
        <f t="shared" si="49"/>
        <v>24</v>
      </c>
    </row>
    <row r="42" spans="1:18" ht="20.399999999999999">
      <c r="A42" s="15">
        <v>5</v>
      </c>
      <c r="B42" s="47" t="s">
        <v>105</v>
      </c>
      <c r="C42" s="47" t="s">
        <v>106</v>
      </c>
      <c r="D42" s="45" t="s">
        <v>122</v>
      </c>
      <c r="E42" s="45" t="s">
        <v>425</v>
      </c>
      <c r="F42" s="45" t="s">
        <v>426</v>
      </c>
      <c r="G42" s="34">
        <f t="shared" si="40"/>
        <v>0</v>
      </c>
      <c r="H42" s="35">
        <f t="shared" si="41"/>
        <v>23</v>
      </c>
      <c r="I42" s="35">
        <f t="shared" si="42"/>
        <v>17</v>
      </c>
      <c r="J42" s="36" t="str">
        <f t="shared" si="43"/>
        <v>5Sampaio Corrêa - MA23</v>
      </c>
      <c r="K42" s="36" t="str">
        <f t="shared" si="44"/>
        <v>5Sampaio Corrêa - MA17</v>
      </c>
      <c r="L42" s="37">
        <f>VLOOKUP(A42,'JOGOS BASE'!A:E,4,0)</f>
        <v>46</v>
      </c>
      <c r="M42" s="37">
        <f>VLOOKUP(A42,'JOGOS BASE'!A:E,5,0)</f>
        <v>48</v>
      </c>
      <c r="N42" s="38" t="str">
        <f t="shared" si="45"/>
        <v>I</v>
      </c>
      <c r="O42" s="37">
        <f t="shared" si="46"/>
        <v>0</v>
      </c>
      <c r="P42" s="37">
        <f t="shared" si="47"/>
        <v>48</v>
      </c>
      <c r="Q42" s="37">
        <f t="shared" si="48"/>
        <v>46</v>
      </c>
      <c r="R42" s="37">
        <f t="shared" si="49"/>
        <v>0</v>
      </c>
    </row>
    <row r="43" spans="1:18" ht="20.399999999999999">
      <c r="A43" s="15">
        <v>5</v>
      </c>
      <c r="B43" s="47" t="s">
        <v>105</v>
      </c>
      <c r="C43" s="47" t="s">
        <v>106</v>
      </c>
      <c r="D43" s="45" t="s">
        <v>122</v>
      </c>
      <c r="E43" s="45" t="s">
        <v>125</v>
      </c>
      <c r="F43" s="45" t="s">
        <v>126</v>
      </c>
      <c r="G43" s="34">
        <f t="shared" si="40"/>
        <v>0</v>
      </c>
      <c r="H43" s="35">
        <f t="shared" si="41"/>
        <v>18</v>
      </c>
      <c r="I43" s="35">
        <f t="shared" si="42"/>
        <v>10</v>
      </c>
      <c r="J43" s="36" t="str">
        <f t="shared" si="43"/>
        <v>5Sampaio Corrêa - MA18</v>
      </c>
      <c r="K43" s="36" t="str">
        <f t="shared" si="44"/>
        <v>5Sampaio Corrêa - MA10</v>
      </c>
      <c r="L43" s="37">
        <f>VLOOKUP(A43,'JOGOS BASE'!A:E,4,0)</f>
        <v>46</v>
      </c>
      <c r="M43" s="37">
        <f>VLOOKUP(A43,'JOGOS BASE'!A:E,5,0)</f>
        <v>48</v>
      </c>
      <c r="N43" s="38" t="str">
        <f t="shared" si="45"/>
        <v>I</v>
      </c>
      <c r="O43" s="37">
        <f t="shared" si="46"/>
        <v>0</v>
      </c>
      <c r="P43" s="37">
        <f t="shared" si="47"/>
        <v>48</v>
      </c>
      <c r="Q43" s="37">
        <f t="shared" si="48"/>
        <v>46</v>
      </c>
      <c r="R43" s="37">
        <f t="shared" si="49"/>
        <v>0</v>
      </c>
    </row>
    <row r="44" spans="1:18" ht="30.6">
      <c r="A44" s="15">
        <v>5</v>
      </c>
      <c r="B44" s="47" t="s">
        <v>361</v>
      </c>
      <c r="C44" s="47" t="s">
        <v>111</v>
      </c>
      <c r="D44" s="45" t="s">
        <v>122</v>
      </c>
      <c r="E44" s="45" t="s">
        <v>427</v>
      </c>
      <c r="F44" s="45" t="s">
        <v>428</v>
      </c>
      <c r="G44" s="34">
        <f t="shared" si="40"/>
        <v>14</v>
      </c>
      <c r="H44" s="35">
        <f t="shared" si="41"/>
        <v>11</v>
      </c>
      <c r="I44" s="35">
        <f t="shared" si="42"/>
        <v>7</v>
      </c>
      <c r="J44" s="36" t="str">
        <f t="shared" si="43"/>
        <v>5Sampaio Corrêa - MA11</v>
      </c>
      <c r="K44" s="36" t="str">
        <f t="shared" si="44"/>
        <v>5Sampaio Corrêa - MA7</v>
      </c>
      <c r="L44" s="37">
        <f>VLOOKUP(A44,'JOGOS BASE'!A:E,4,0)</f>
        <v>46</v>
      </c>
      <c r="M44" s="37">
        <f>VLOOKUP(A44,'JOGOS BASE'!A:E,5,0)</f>
        <v>48</v>
      </c>
      <c r="N44" s="38" t="str">
        <f t="shared" si="45"/>
        <v>2</v>
      </c>
      <c r="O44" s="37">
        <f t="shared" si="46"/>
        <v>0</v>
      </c>
      <c r="P44" s="37">
        <f t="shared" si="47"/>
        <v>34</v>
      </c>
      <c r="Q44" s="37">
        <f t="shared" si="48"/>
        <v>46</v>
      </c>
      <c r="R44" s="37">
        <f t="shared" si="49"/>
        <v>14</v>
      </c>
    </row>
    <row r="45" spans="1:18" ht="20.399999999999999">
      <c r="A45" s="15">
        <v>5</v>
      </c>
      <c r="B45" s="47" t="s">
        <v>429</v>
      </c>
      <c r="C45" s="47" t="s">
        <v>111</v>
      </c>
      <c r="D45" s="45" t="s">
        <v>122</v>
      </c>
      <c r="E45" s="45" t="s">
        <v>127</v>
      </c>
      <c r="F45" s="45" t="s">
        <v>430</v>
      </c>
      <c r="G45" s="34">
        <f t="shared" si="40"/>
        <v>33</v>
      </c>
      <c r="H45" s="35">
        <f t="shared" si="41"/>
        <v>15</v>
      </c>
      <c r="I45" s="35">
        <f t="shared" si="42"/>
        <v>8</v>
      </c>
      <c r="J45" s="36" t="str">
        <f t="shared" si="43"/>
        <v>5Sampaio Corrêa - MA15</v>
      </c>
      <c r="K45" s="36" t="str">
        <f t="shared" si="44"/>
        <v>5Sampaio Corrêa - MA8</v>
      </c>
      <c r="L45" s="37">
        <f>VLOOKUP(A45,'JOGOS BASE'!A:E,4,0)</f>
        <v>46</v>
      </c>
      <c r="M45" s="37">
        <f>VLOOKUP(A45,'JOGOS BASE'!A:E,5,0)</f>
        <v>48</v>
      </c>
      <c r="N45" s="38" t="str">
        <f t="shared" si="45"/>
        <v>2</v>
      </c>
      <c r="O45" s="37">
        <f t="shared" si="46"/>
        <v>0</v>
      </c>
      <c r="P45" s="37">
        <f t="shared" si="47"/>
        <v>15</v>
      </c>
      <c r="Q45" s="37">
        <f t="shared" si="48"/>
        <v>46</v>
      </c>
      <c r="R45" s="37">
        <f t="shared" si="49"/>
        <v>33</v>
      </c>
    </row>
    <row r="46" spans="1:18" ht="20.399999999999999">
      <c r="A46" s="15">
        <v>5</v>
      </c>
      <c r="B46" s="47" t="s">
        <v>155</v>
      </c>
      <c r="C46" s="47" t="s">
        <v>111</v>
      </c>
      <c r="D46" s="45" t="s">
        <v>122</v>
      </c>
      <c r="E46" s="45" t="s">
        <v>431</v>
      </c>
      <c r="F46" s="45" t="s">
        <v>133</v>
      </c>
      <c r="G46" s="34">
        <f t="shared" si="40"/>
        <v>35</v>
      </c>
      <c r="H46" s="35">
        <f t="shared" si="41"/>
        <v>19</v>
      </c>
      <c r="I46" s="35">
        <f t="shared" si="42"/>
        <v>9</v>
      </c>
      <c r="J46" s="36" t="str">
        <f t="shared" si="43"/>
        <v>5Sampaio Corrêa - MA19</v>
      </c>
      <c r="K46" s="36" t="str">
        <f t="shared" si="44"/>
        <v>5Sampaio Corrêa - MA9</v>
      </c>
      <c r="L46" s="37">
        <f>VLOOKUP(A46,'JOGOS BASE'!A:E,4,0)</f>
        <v>46</v>
      </c>
      <c r="M46" s="37">
        <f>VLOOKUP(A46,'JOGOS BASE'!A:E,5,0)</f>
        <v>48</v>
      </c>
      <c r="N46" s="38" t="str">
        <f t="shared" si="45"/>
        <v>2</v>
      </c>
      <c r="O46" s="37">
        <f t="shared" si="46"/>
        <v>0</v>
      </c>
      <c r="P46" s="37">
        <f t="shared" si="47"/>
        <v>13</v>
      </c>
      <c r="Q46" s="37">
        <f t="shared" si="48"/>
        <v>46</v>
      </c>
      <c r="R46" s="37">
        <f t="shared" si="49"/>
        <v>35</v>
      </c>
    </row>
    <row r="47" spans="1:18" ht="20.399999999999999">
      <c r="A47" s="15">
        <v>6</v>
      </c>
      <c r="B47" s="47" t="s">
        <v>486</v>
      </c>
      <c r="C47" s="47" t="s">
        <v>141</v>
      </c>
      <c r="D47" s="45" t="s">
        <v>388</v>
      </c>
      <c r="E47" s="45" t="s">
        <v>487</v>
      </c>
      <c r="F47" s="45" t="s">
        <v>488</v>
      </c>
      <c r="G47" s="34">
        <f t="shared" ref="G47:G56" si="50">VALUE(LEFT(B47,2))</f>
        <v>22</v>
      </c>
      <c r="H47" s="35">
        <f t="shared" ref="H47:H56" si="51">IF(VALUE(LEFT(E47,2))&lt;10,VALUE(LEFT(E47,1)),VALUE(LEFT(E47,2)))</f>
        <v>12</v>
      </c>
      <c r="I47" s="35">
        <f t="shared" ref="I47:I56" si="52">IF(VALUE(LEFT(F47,2))&lt;10,VALUE(LEFT(F47,1)),VALUE(LEFT(F47,2)))</f>
        <v>1</v>
      </c>
      <c r="J47" s="36" t="str">
        <f t="shared" ref="J47:J56" si="53">$A47&amp;$D47&amp;H47</f>
        <v>6Tuntum - MA12</v>
      </c>
      <c r="K47" s="36" t="str">
        <f t="shared" ref="K47:K56" si="54">$A47&amp;$D47&amp;I47</f>
        <v>6Tuntum - MA1</v>
      </c>
      <c r="L47" s="37">
        <f>VLOOKUP(A47,'JOGOS BASE'!A:E,4,0)</f>
        <v>50</v>
      </c>
      <c r="M47" s="37">
        <f>VLOOKUP(A47,'JOGOS BASE'!A:E,5,0)</f>
        <v>50</v>
      </c>
      <c r="N47" s="38" t="str">
        <f t="shared" ref="N47:N56" si="55">LEFT(C47,1)</f>
        <v>1</v>
      </c>
      <c r="O47" s="37">
        <f t="shared" ref="O47:O56" si="56">IF(N47="1",L47-G47,0)</f>
        <v>28</v>
      </c>
      <c r="P47" s="37">
        <f t="shared" ref="P47:P56" si="57">IF(N47="1",M47,IF(OR(N47="2",N47="I"),M47-G47,0))</f>
        <v>50</v>
      </c>
      <c r="Q47" s="37">
        <f t="shared" ref="Q47:Q56" si="58">IF(N47="1",G47,L47)</f>
        <v>22</v>
      </c>
      <c r="R47" s="37">
        <f t="shared" ref="R47:R56" si="59">IF(OR(N47="1",N47="I"),0,G47)</f>
        <v>0</v>
      </c>
    </row>
    <row r="48" spans="1:18" ht="20.399999999999999">
      <c r="A48" s="15">
        <v>6</v>
      </c>
      <c r="B48" s="47" t="s">
        <v>272</v>
      </c>
      <c r="C48" s="47" t="s">
        <v>111</v>
      </c>
      <c r="D48" s="45" t="s">
        <v>388</v>
      </c>
      <c r="E48" s="45" t="s">
        <v>489</v>
      </c>
      <c r="F48" s="45" t="s">
        <v>490</v>
      </c>
      <c r="G48" s="34">
        <f t="shared" si="50"/>
        <v>15</v>
      </c>
      <c r="H48" s="35">
        <f t="shared" si="51"/>
        <v>19</v>
      </c>
      <c r="I48" s="35">
        <f t="shared" si="52"/>
        <v>9</v>
      </c>
      <c r="J48" s="36" t="str">
        <f t="shared" si="53"/>
        <v>6Tuntum - MA19</v>
      </c>
      <c r="K48" s="36" t="str">
        <f t="shared" si="54"/>
        <v>6Tuntum - MA9</v>
      </c>
      <c r="L48" s="37">
        <f>VLOOKUP(A48,'JOGOS BASE'!A:E,4,0)</f>
        <v>50</v>
      </c>
      <c r="M48" s="37">
        <f>VLOOKUP(A48,'JOGOS BASE'!A:E,5,0)</f>
        <v>50</v>
      </c>
      <c r="N48" s="38" t="str">
        <f t="shared" si="55"/>
        <v>2</v>
      </c>
      <c r="O48" s="37">
        <f t="shared" si="56"/>
        <v>0</v>
      </c>
      <c r="P48" s="37">
        <f t="shared" si="57"/>
        <v>35</v>
      </c>
      <c r="Q48" s="37">
        <f t="shared" si="58"/>
        <v>50</v>
      </c>
      <c r="R48" s="37">
        <f t="shared" si="59"/>
        <v>15</v>
      </c>
    </row>
    <row r="49" spans="1:18" ht="20.399999999999999">
      <c r="A49" s="15">
        <v>6</v>
      </c>
      <c r="B49" s="47" t="s">
        <v>272</v>
      </c>
      <c r="C49" s="47" t="s">
        <v>111</v>
      </c>
      <c r="D49" s="45" t="s">
        <v>388</v>
      </c>
      <c r="E49" s="45" t="s">
        <v>491</v>
      </c>
      <c r="F49" s="45" t="s">
        <v>492</v>
      </c>
      <c r="G49" s="34">
        <f t="shared" si="50"/>
        <v>15</v>
      </c>
      <c r="H49" s="35">
        <f t="shared" si="51"/>
        <v>20</v>
      </c>
      <c r="I49" s="35">
        <f t="shared" si="52"/>
        <v>8</v>
      </c>
      <c r="J49" s="36" t="str">
        <f t="shared" si="53"/>
        <v>6Tuntum - MA20</v>
      </c>
      <c r="K49" s="36" t="str">
        <f t="shared" si="54"/>
        <v>6Tuntum - MA8</v>
      </c>
      <c r="L49" s="37">
        <f>VLOOKUP(A49,'JOGOS BASE'!A:E,4,0)</f>
        <v>50</v>
      </c>
      <c r="M49" s="37">
        <f>VLOOKUP(A49,'JOGOS BASE'!A:E,5,0)</f>
        <v>50</v>
      </c>
      <c r="N49" s="38" t="str">
        <f t="shared" si="55"/>
        <v>2</v>
      </c>
      <c r="O49" s="37">
        <f t="shared" si="56"/>
        <v>0</v>
      </c>
      <c r="P49" s="37">
        <f t="shared" si="57"/>
        <v>35</v>
      </c>
      <c r="Q49" s="37">
        <f t="shared" si="58"/>
        <v>50</v>
      </c>
      <c r="R49" s="37">
        <f t="shared" si="59"/>
        <v>15</v>
      </c>
    </row>
    <row r="50" spans="1:18" ht="20.399999999999999">
      <c r="A50" s="15">
        <v>6</v>
      </c>
      <c r="B50" s="47" t="s">
        <v>156</v>
      </c>
      <c r="C50" s="47" t="s">
        <v>111</v>
      </c>
      <c r="D50" s="45" t="s">
        <v>388</v>
      </c>
      <c r="E50" s="45" t="s">
        <v>493</v>
      </c>
      <c r="F50" s="45" t="s">
        <v>494</v>
      </c>
      <c r="G50" s="34">
        <f t="shared" si="50"/>
        <v>31</v>
      </c>
      <c r="H50" s="35">
        <f t="shared" si="51"/>
        <v>13</v>
      </c>
      <c r="I50" s="35">
        <f t="shared" si="52"/>
        <v>2</v>
      </c>
      <c r="J50" s="36" t="str">
        <f t="shared" si="53"/>
        <v>6Tuntum - MA13</v>
      </c>
      <c r="K50" s="36" t="str">
        <f t="shared" si="54"/>
        <v>6Tuntum - MA2</v>
      </c>
      <c r="L50" s="37">
        <f>VLOOKUP(A50,'JOGOS BASE'!A:E,4,0)</f>
        <v>50</v>
      </c>
      <c r="M50" s="37">
        <f>VLOOKUP(A50,'JOGOS BASE'!A:E,5,0)</f>
        <v>50</v>
      </c>
      <c r="N50" s="38" t="str">
        <f t="shared" si="55"/>
        <v>2</v>
      </c>
      <c r="O50" s="37">
        <f t="shared" si="56"/>
        <v>0</v>
      </c>
      <c r="P50" s="37">
        <f t="shared" si="57"/>
        <v>19</v>
      </c>
      <c r="Q50" s="37">
        <f t="shared" si="58"/>
        <v>50</v>
      </c>
      <c r="R50" s="37">
        <f t="shared" si="59"/>
        <v>31</v>
      </c>
    </row>
    <row r="51" spans="1:18" ht="20.399999999999999">
      <c r="A51" s="15">
        <v>6</v>
      </c>
      <c r="B51" s="47" t="s">
        <v>156</v>
      </c>
      <c r="C51" s="47" t="s">
        <v>111</v>
      </c>
      <c r="D51" s="45" t="s">
        <v>388</v>
      </c>
      <c r="E51" s="45" t="s">
        <v>495</v>
      </c>
      <c r="F51" s="45" t="s">
        <v>496</v>
      </c>
      <c r="G51" s="34">
        <f t="shared" si="50"/>
        <v>31</v>
      </c>
      <c r="H51" s="35">
        <f t="shared" si="51"/>
        <v>21</v>
      </c>
      <c r="I51" s="35">
        <f t="shared" si="52"/>
        <v>10</v>
      </c>
      <c r="J51" s="36" t="str">
        <f t="shared" si="53"/>
        <v>6Tuntum - MA21</v>
      </c>
      <c r="K51" s="36" t="str">
        <f t="shared" si="54"/>
        <v>6Tuntum - MA10</v>
      </c>
      <c r="L51" s="37">
        <f>VLOOKUP(A51,'JOGOS BASE'!A:E,4,0)</f>
        <v>50</v>
      </c>
      <c r="M51" s="37">
        <f>VLOOKUP(A51,'JOGOS BASE'!A:E,5,0)</f>
        <v>50</v>
      </c>
      <c r="N51" s="38" t="str">
        <f t="shared" si="55"/>
        <v>2</v>
      </c>
      <c r="O51" s="37">
        <f t="shared" si="56"/>
        <v>0</v>
      </c>
      <c r="P51" s="37">
        <f t="shared" si="57"/>
        <v>19</v>
      </c>
      <c r="Q51" s="37">
        <f t="shared" si="58"/>
        <v>50</v>
      </c>
      <c r="R51" s="37">
        <f t="shared" si="59"/>
        <v>31</v>
      </c>
    </row>
    <row r="52" spans="1:18" ht="20.399999999999999">
      <c r="A52" s="15">
        <v>6</v>
      </c>
      <c r="B52" s="47" t="s">
        <v>404</v>
      </c>
      <c r="C52" s="47" t="s">
        <v>111</v>
      </c>
      <c r="D52" s="45" t="s">
        <v>107</v>
      </c>
      <c r="E52" s="45" t="s">
        <v>115</v>
      </c>
      <c r="F52" s="45" t="s">
        <v>497</v>
      </c>
      <c r="G52" s="34">
        <f t="shared" si="50"/>
        <v>17</v>
      </c>
      <c r="H52" s="35">
        <f t="shared" si="51"/>
        <v>22</v>
      </c>
      <c r="I52" s="35">
        <f t="shared" si="52"/>
        <v>19</v>
      </c>
      <c r="J52" s="36" t="str">
        <f t="shared" si="53"/>
        <v>6Imperatriz - MA22</v>
      </c>
      <c r="K52" s="36" t="str">
        <f t="shared" si="54"/>
        <v>6Imperatriz - MA19</v>
      </c>
      <c r="L52" s="37">
        <f>VLOOKUP(A52,'JOGOS BASE'!A:E,4,0)</f>
        <v>50</v>
      </c>
      <c r="M52" s="37">
        <f>VLOOKUP(A52,'JOGOS BASE'!A:E,5,0)</f>
        <v>50</v>
      </c>
      <c r="N52" s="38" t="str">
        <f t="shared" si="55"/>
        <v>2</v>
      </c>
      <c r="O52" s="37">
        <f t="shared" si="56"/>
        <v>0</v>
      </c>
      <c r="P52" s="37">
        <f t="shared" si="57"/>
        <v>33</v>
      </c>
      <c r="Q52" s="37">
        <f t="shared" si="58"/>
        <v>50</v>
      </c>
      <c r="R52" s="37">
        <f t="shared" si="59"/>
        <v>17</v>
      </c>
    </row>
    <row r="53" spans="1:18" ht="20.399999999999999">
      <c r="A53" s="15">
        <v>6</v>
      </c>
      <c r="B53" s="47" t="s">
        <v>404</v>
      </c>
      <c r="C53" s="47" t="s">
        <v>111</v>
      </c>
      <c r="D53" s="45" t="s">
        <v>107</v>
      </c>
      <c r="E53" s="45" t="s">
        <v>498</v>
      </c>
      <c r="F53" s="45" t="s">
        <v>109</v>
      </c>
      <c r="G53" s="34">
        <f t="shared" si="50"/>
        <v>17</v>
      </c>
      <c r="H53" s="35">
        <f t="shared" si="51"/>
        <v>11</v>
      </c>
      <c r="I53" s="35">
        <f t="shared" si="52"/>
        <v>10</v>
      </c>
      <c r="J53" s="36" t="str">
        <f t="shared" si="53"/>
        <v>6Imperatriz - MA11</v>
      </c>
      <c r="K53" s="36" t="str">
        <f t="shared" si="54"/>
        <v>6Imperatriz - MA10</v>
      </c>
      <c r="L53" s="37">
        <f>VLOOKUP(A53,'JOGOS BASE'!A:E,4,0)</f>
        <v>50</v>
      </c>
      <c r="M53" s="37">
        <f>VLOOKUP(A53,'JOGOS BASE'!A:E,5,0)</f>
        <v>50</v>
      </c>
      <c r="N53" s="38" t="str">
        <f t="shared" si="55"/>
        <v>2</v>
      </c>
      <c r="O53" s="37">
        <f t="shared" si="56"/>
        <v>0</v>
      </c>
      <c r="P53" s="37">
        <f t="shared" si="57"/>
        <v>33</v>
      </c>
      <c r="Q53" s="37">
        <f t="shared" si="58"/>
        <v>50</v>
      </c>
      <c r="R53" s="37">
        <f t="shared" si="59"/>
        <v>17</v>
      </c>
    </row>
    <row r="54" spans="1:18" ht="20.399999999999999">
      <c r="A54" s="15">
        <v>6</v>
      </c>
      <c r="B54" s="47" t="s">
        <v>156</v>
      </c>
      <c r="C54" s="47" t="s">
        <v>111</v>
      </c>
      <c r="D54" s="45" t="s">
        <v>107</v>
      </c>
      <c r="E54" s="45" t="s">
        <v>499</v>
      </c>
      <c r="F54" s="45" t="s">
        <v>116</v>
      </c>
      <c r="G54" s="34">
        <f t="shared" si="50"/>
        <v>31</v>
      </c>
      <c r="H54" s="35">
        <f t="shared" si="51"/>
        <v>18</v>
      </c>
      <c r="I54" s="35">
        <f t="shared" si="52"/>
        <v>9</v>
      </c>
      <c r="J54" s="36" t="str">
        <f t="shared" si="53"/>
        <v>6Imperatriz - MA18</v>
      </c>
      <c r="K54" s="36" t="str">
        <f t="shared" si="54"/>
        <v>6Imperatriz - MA9</v>
      </c>
      <c r="L54" s="37">
        <f>VLOOKUP(A54,'JOGOS BASE'!A:E,4,0)</f>
        <v>50</v>
      </c>
      <c r="M54" s="37">
        <f>VLOOKUP(A54,'JOGOS BASE'!A:E,5,0)</f>
        <v>50</v>
      </c>
      <c r="N54" s="38" t="str">
        <f t="shared" si="55"/>
        <v>2</v>
      </c>
      <c r="O54" s="37">
        <f t="shared" si="56"/>
        <v>0</v>
      </c>
      <c r="P54" s="37">
        <f t="shared" si="57"/>
        <v>19</v>
      </c>
      <c r="Q54" s="37">
        <f t="shared" si="58"/>
        <v>50</v>
      </c>
      <c r="R54" s="37">
        <f t="shared" si="59"/>
        <v>31</v>
      </c>
    </row>
    <row r="55" spans="1:18" ht="20.399999999999999">
      <c r="A55" s="15">
        <v>6</v>
      </c>
      <c r="B55" s="47" t="s">
        <v>156</v>
      </c>
      <c r="C55" s="47" t="s">
        <v>111</v>
      </c>
      <c r="D55" s="45" t="s">
        <v>107</v>
      </c>
      <c r="E55" s="45" t="s">
        <v>500</v>
      </c>
      <c r="F55" s="45" t="s">
        <v>501</v>
      </c>
      <c r="G55" s="34">
        <f t="shared" si="50"/>
        <v>31</v>
      </c>
      <c r="H55" s="35">
        <f t="shared" si="51"/>
        <v>16</v>
      </c>
      <c r="I55" s="35">
        <f t="shared" si="52"/>
        <v>8</v>
      </c>
      <c r="J55" s="36" t="str">
        <f t="shared" si="53"/>
        <v>6Imperatriz - MA16</v>
      </c>
      <c r="K55" s="36" t="str">
        <f t="shared" si="54"/>
        <v>6Imperatriz - MA8</v>
      </c>
      <c r="L55" s="37">
        <f>VLOOKUP(A55,'JOGOS BASE'!A:E,4,0)</f>
        <v>50</v>
      </c>
      <c r="M55" s="37">
        <f>VLOOKUP(A55,'JOGOS BASE'!A:E,5,0)</f>
        <v>50</v>
      </c>
      <c r="N55" s="38" t="str">
        <f t="shared" si="55"/>
        <v>2</v>
      </c>
      <c r="O55" s="37">
        <f t="shared" si="56"/>
        <v>0</v>
      </c>
      <c r="P55" s="37">
        <f t="shared" si="57"/>
        <v>19</v>
      </c>
      <c r="Q55" s="37">
        <f t="shared" si="58"/>
        <v>50</v>
      </c>
      <c r="R55" s="37">
        <f t="shared" si="59"/>
        <v>31</v>
      </c>
    </row>
    <row r="56" spans="1:18" ht="20.399999999999999">
      <c r="A56" s="15">
        <v>6</v>
      </c>
      <c r="B56" s="47" t="s">
        <v>131</v>
      </c>
      <c r="C56" s="47" t="s">
        <v>111</v>
      </c>
      <c r="D56" s="45" t="s">
        <v>107</v>
      </c>
      <c r="E56" s="45" t="s">
        <v>502</v>
      </c>
      <c r="F56" s="45" t="s">
        <v>121</v>
      </c>
      <c r="G56" s="34">
        <f t="shared" si="50"/>
        <v>41</v>
      </c>
      <c r="H56" s="35">
        <f t="shared" si="51"/>
        <v>15</v>
      </c>
      <c r="I56" s="35">
        <f t="shared" si="52"/>
        <v>7</v>
      </c>
      <c r="J56" s="36" t="str">
        <f t="shared" si="53"/>
        <v>6Imperatriz - MA15</v>
      </c>
      <c r="K56" s="36" t="str">
        <f t="shared" si="54"/>
        <v>6Imperatriz - MA7</v>
      </c>
      <c r="L56" s="37">
        <f>VLOOKUP(A56,'JOGOS BASE'!A:E,4,0)</f>
        <v>50</v>
      </c>
      <c r="M56" s="37">
        <f>VLOOKUP(A56,'JOGOS BASE'!A:E,5,0)</f>
        <v>50</v>
      </c>
      <c r="N56" s="38" t="str">
        <f t="shared" si="55"/>
        <v>2</v>
      </c>
      <c r="O56" s="37">
        <f t="shared" si="56"/>
        <v>0</v>
      </c>
      <c r="P56" s="37">
        <f t="shared" si="57"/>
        <v>9</v>
      </c>
      <c r="Q56" s="37">
        <f t="shared" si="58"/>
        <v>50</v>
      </c>
      <c r="R56" s="37">
        <f t="shared" si="59"/>
        <v>41</v>
      </c>
    </row>
    <row r="57" spans="1:18" ht="20.399999999999999">
      <c r="A57" s="15">
        <v>7</v>
      </c>
      <c r="B57" s="47" t="s">
        <v>281</v>
      </c>
      <c r="C57" s="47" t="s">
        <v>111</v>
      </c>
      <c r="D57" s="45" t="s">
        <v>107</v>
      </c>
      <c r="E57" s="45" t="s">
        <v>115</v>
      </c>
      <c r="F57" s="45" t="s">
        <v>116</v>
      </c>
      <c r="G57" s="34">
        <f t="shared" ref="G57:G64" si="60">VALUE(LEFT(B57,2))</f>
        <v>24</v>
      </c>
      <c r="H57" s="35">
        <f t="shared" ref="H57:H64" si="61">IF(VALUE(LEFT(E57,2))&lt;10,VALUE(LEFT(E57,1)),VALUE(LEFT(E57,2)))</f>
        <v>22</v>
      </c>
      <c r="I57" s="35">
        <f t="shared" ref="I57:I64" si="62">IF(VALUE(LEFT(F57,2))&lt;10,VALUE(LEFT(F57,1)),VALUE(LEFT(F57,2)))</f>
        <v>9</v>
      </c>
      <c r="J57" s="36" t="str">
        <f t="shared" ref="J57:J64" si="63">$A57&amp;$D57&amp;H57</f>
        <v>7Imperatriz - MA22</v>
      </c>
      <c r="K57" s="36" t="str">
        <f t="shared" ref="K57:K64" si="64">$A57&amp;$D57&amp;I57</f>
        <v>7Imperatriz - MA9</v>
      </c>
      <c r="L57" s="37">
        <f>VLOOKUP(A57,'JOGOS BASE'!A:E,4,0)</f>
        <v>48</v>
      </c>
      <c r="M57" s="37">
        <f>VLOOKUP(A57,'JOGOS BASE'!A:E,5,0)</f>
        <v>51</v>
      </c>
      <c r="N57" s="38" t="str">
        <f t="shared" ref="N57:N64" si="65">LEFT(C57,1)</f>
        <v>2</v>
      </c>
      <c r="O57" s="37">
        <f t="shared" ref="O57:O64" si="66">IF(N57="1",L57-G57,0)</f>
        <v>0</v>
      </c>
      <c r="P57" s="37">
        <f t="shared" ref="P57:P64" si="67">IF(N57="1",M57,IF(OR(N57="2",N57="I"),M57-G57,0))</f>
        <v>27</v>
      </c>
      <c r="Q57" s="37">
        <f t="shared" ref="Q57:Q64" si="68">IF(N57="1",G57,L57)</f>
        <v>48</v>
      </c>
      <c r="R57" s="37">
        <f t="shared" ref="R57:R64" si="69">IF(OR(N57="1",N57="I"),0,G57)</f>
        <v>24</v>
      </c>
    </row>
    <row r="58" spans="1:18" ht="20.399999999999999">
      <c r="A58" s="15">
        <v>7</v>
      </c>
      <c r="B58" s="47" t="s">
        <v>281</v>
      </c>
      <c r="C58" s="47" t="s">
        <v>111</v>
      </c>
      <c r="D58" s="45" t="s">
        <v>107</v>
      </c>
      <c r="E58" s="45" t="s">
        <v>571</v>
      </c>
      <c r="F58" s="45" t="s">
        <v>497</v>
      </c>
      <c r="G58" s="34">
        <f t="shared" si="60"/>
        <v>24</v>
      </c>
      <c r="H58" s="35">
        <f t="shared" si="61"/>
        <v>21</v>
      </c>
      <c r="I58" s="35">
        <f t="shared" si="62"/>
        <v>19</v>
      </c>
      <c r="J58" s="36" t="str">
        <f t="shared" si="63"/>
        <v>7Imperatriz - MA21</v>
      </c>
      <c r="K58" s="36" t="str">
        <f t="shared" si="64"/>
        <v>7Imperatriz - MA19</v>
      </c>
      <c r="L58" s="37">
        <f>VLOOKUP(A58,'JOGOS BASE'!A:E,4,0)</f>
        <v>48</v>
      </c>
      <c r="M58" s="37">
        <f>VLOOKUP(A58,'JOGOS BASE'!A:E,5,0)</f>
        <v>51</v>
      </c>
      <c r="N58" s="38" t="str">
        <f t="shared" si="65"/>
        <v>2</v>
      </c>
      <c r="O58" s="37">
        <f t="shared" si="66"/>
        <v>0</v>
      </c>
      <c r="P58" s="37">
        <f t="shared" si="67"/>
        <v>27</v>
      </c>
      <c r="Q58" s="37">
        <f t="shared" si="68"/>
        <v>48</v>
      </c>
      <c r="R58" s="37">
        <f t="shared" si="69"/>
        <v>24</v>
      </c>
    </row>
    <row r="59" spans="1:18" ht="20.399999999999999">
      <c r="A59" s="15">
        <v>7</v>
      </c>
      <c r="B59" s="47" t="s">
        <v>105</v>
      </c>
      <c r="C59" s="47" t="s">
        <v>106</v>
      </c>
      <c r="D59" s="45" t="s">
        <v>107</v>
      </c>
      <c r="E59" s="45" t="s">
        <v>498</v>
      </c>
      <c r="F59" s="45" t="s">
        <v>118</v>
      </c>
      <c r="G59" s="34">
        <f t="shared" si="60"/>
        <v>0</v>
      </c>
      <c r="H59" s="35">
        <f t="shared" si="61"/>
        <v>11</v>
      </c>
      <c r="I59" s="35">
        <f t="shared" si="62"/>
        <v>5</v>
      </c>
      <c r="J59" s="36" t="str">
        <f t="shared" si="63"/>
        <v>7Imperatriz - MA11</v>
      </c>
      <c r="K59" s="36" t="str">
        <f t="shared" si="64"/>
        <v>7Imperatriz - MA5</v>
      </c>
      <c r="L59" s="37">
        <f>VLOOKUP(A59,'JOGOS BASE'!A:E,4,0)</f>
        <v>48</v>
      </c>
      <c r="M59" s="37">
        <f>VLOOKUP(A59,'JOGOS BASE'!A:E,5,0)</f>
        <v>51</v>
      </c>
      <c r="N59" s="38" t="str">
        <f t="shared" si="65"/>
        <v>I</v>
      </c>
      <c r="O59" s="37">
        <f t="shared" si="66"/>
        <v>0</v>
      </c>
      <c r="P59" s="37">
        <f t="shared" si="67"/>
        <v>51</v>
      </c>
      <c r="Q59" s="37">
        <f t="shared" si="68"/>
        <v>48</v>
      </c>
      <c r="R59" s="37">
        <f t="shared" si="69"/>
        <v>0</v>
      </c>
    </row>
    <row r="60" spans="1:18" ht="20.399999999999999">
      <c r="A60" s="15">
        <v>7</v>
      </c>
      <c r="B60" s="47" t="s">
        <v>396</v>
      </c>
      <c r="C60" s="47" t="s">
        <v>111</v>
      </c>
      <c r="D60" s="45" t="s">
        <v>107</v>
      </c>
      <c r="E60" s="45" t="s">
        <v>572</v>
      </c>
      <c r="F60" s="45" t="s">
        <v>109</v>
      </c>
      <c r="G60" s="34">
        <f t="shared" si="60"/>
        <v>30</v>
      </c>
      <c r="H60" s="35">
        <f t="shared" si="61"/>
        <v>14</v>
      </c>
      <c r="I60" s="35">
        <f t="shared" si="62"/>
        <v>10</v>
      </c>
      <c r="J60" s="36" t="str">
        <f t="shared" si="63"/>
        <v>7Imperatriz - MA14</v>
      </c>
      <c r="K60" s="36" t="str">
        <f t="shared" si="64"/>
        <v>7Imperatriz - MA10</v>
      </c>
      <c r="L60" s="37">
        <f>VLOOKUP(A60,'JOGOS BASE'!A:E,4,0)</f>
        <v>48</v>
      </c>
      <c r="M60" s="37">
        <f>VLOOKUP(A60,'JOGOS BASE'!A:E,5,0)</f>
        <v>51</v>
      </c>
      <c r="N60" s="38" t="str">
        <f t="shared" si="65"/>
        <v>2</v>
      </c>
      <c r="O60" s="37">
        <f t="shared" si="66"/>
        <v>0</v>
      </c>
      <c r="P60" s="37">
        <f t="shared" si="67"/>
        <v>21</v>
      </c>
      <c r="Q60" s="37">
        <f t="shared" si="68"/>
        <v>48</v>
      </c>
      <c r="R60" s="37">
        <f t="shared" si="69"/>
        <v>30</v>
      </c>
    </row>
    <row r="61" spans="1:18" ht="20.399999999999999">
      <c r="A61" s="15">
        <v>7</v>
      </c>
      <c r="B61" s="47" t="s">
        <v>396</v>
      </c>
      <c r="C61" s="47" t="s">
        <v>111</v>
      </c>
      <c r="D61" s="45" t="s">
        <v>107</v>
      </c>
      <c r="E61" s="45" t="s">
        <v>573</v>
      </c>
      <c r="F61" s="45" t="s">
        <v>574</v>
      </c>
      <c r="G61" s="34">
        <f t="shared" si="60"/>
        <v>30</v>
      </c>
      <c r="H61" s="35">
        <f t="shared" si="61"/>
        <v>13</v>
      </c>
      <c r="I61" s="35">
        <f t="shared" si="62"/>
        <v>3</v>
      </c>
      <c r="J61" s="36" t="str">
        <f t="shared" si="63"/>
        <v>7Imperatriz - MA13</v>
      </c>
      <c r="K61" s="36" t="str">
        <f t="shared" si="64"/>
        <v>7Imperatriz - MA3</v>
      </c>
      <c r="L61" s="37">
        <f>VLOOKUP(A61,'JOGOS BASE'!A:E,4,0)</f>
        <v>48</v>
      </c>
      <c r="M61" s="37">
        <f>VLOOKUP(A61,'JOGOS BASE'!A:E,5,0)</f>
        <v>51</v>
      </c>
      <c r="N61" s="38" t="str">
        <f t="shared" si="65"/>
        <v>2</v>
      </c>
      <c r="O61" s="37">
        <f t="shared" si="66"/>
        <v>0</v>
      </c>
      <c r="P61" s="37">
        <f t="shared" si="67"/>
        <v>21</v>
      </c>
      <c r="Q61" s="37">
        <f t="shared" si="68"/>
        <v>48</v>
      </c>
      <c r="R61" s="37">
        <f t="shared" si="69"/>
        <v>30</v>
      </c>
    </row>
    <row r="62" spans="1:18" ht="20.399999999999999">
      <c r="A62" s="15">
        <v>7</v>
      </c>
      <c r="B62" s="47" t="s">
        <v>105</v>
      </c>
      <c r="C62" s="47" t="s">
        <v>106</v>
      </c>
      <c r="D62" s="45" t="s">
        <v>368</v>
      </c>
      <c r="E62" s="45" t="s">
        <v>376</v>
      </c>
      <c r="F62" s="45" t="s">
        <v>377</v>
      </c>
      <c r="G62" s="34">
        <f t="shared" si="60"/>
        <v>0</v>
      </c>
      <c r="H62" s="35">
        <f t="shared" si="61"/>
        <v>15</v>
      </c>
      <c r="I62" s="35">
        <f t="shared" si="62"/>
        <v>6</v>
      </c>
      <c r="J62" s="36" t="str">
        <f t="shared" si="63"/>
        <v>7Pinheiro - MA15</v>
      </c>
      <c r="K62" s="36" t="str">
        <f t="shared" si="64"/>
        <v>7Pinheiro - MA6</v>
      </c>
      <c r="L62" s="37">
        <f>VLOOKUP(A62,'JOGOS BASE'!A:E,4,0)</f>
        <v>48</v>
      </c>
      <c r="M62" s="37">
        <f>VLOOKUP(A62,'JOGOS BASE'!A:E,5,0)</f>
        <v>51</v>
      </c>
      <c r="N62" s="38" t="str">
        <f t="shared" si="65"/>
        <v>I</v>
      </c>
      <c r="O62" s="37">
        <f t="shared" si="66"/>
        <v>0</v>
      </c>
      <c r="P62" s="37">
        <f t="shared" si="67"/>
        <v>51</v>
      </c>
      <c r="Q62" s="37">
        <f t="shared" si="68"/>
        <v>48</v>
      </c>
      <c r="R62" s="37">
        <f t="shared" si="69"/>
        <v>0</v>
      </c>
    </row>
    <row r="63" spans="1:18" ht="20.399999999999999">
      <c r="A63" s="15">
        <v>7</v>
      </c>
      <c r="B63" s="47" t="s">
        <v>105</v>
      </c>
      <c r="C63" s="47" t="s">
        <v>106</v>
      </c>
      <c r="D63" s="45" t="s">
        <v>368</v>
      </c>
      <c r="E63" s="45" t="s">
        <v>369</v>
      </c>
      <c r="F63" s="45" t="s">
        <v>370</v>
      </c>
      <c r="G63" s="34">
        <f t="shared" si="60"/>
        <v>0</v>
      </c>
      <c r="H63" s="35">
        <f t="shared" si="61"/>
        <v>18</v>
      </c>
      <c r="I63" s="35">
        <f t="shared" si="62"/>
        <v>11</v>
      </c>
      <c r="J63" s="36" t="str">
        <f t="shared" si="63"/>
        <v>7Pinheiro - MA18</v>
      </c>
      <c r="K63" s="36" t="str">
        <f t="shared" si="64"/>
        <v>7Pinheiro - MA11</v>
      </c>
      <c r="L63" s="37">
        <f>VLOOKUP(A63,'JOGOS BASE'!A:E,4,0)</f>
        <v>48</v>
      </c>
      <c r="M63" s="37">
        <f>VLOOKUP(A63,'JOGOS BASE'!A:E,5,0)</f>
        <v>51</v>
      </c>
      <c r="N63" s="38" t="str">
        <f t="shared" si="65"/>
        <v>I</v>
      </c>
      <c r="O63" s="37">
        <f t="shared" si="66"/>
        <v>0</v>
      </c>
      <c r="P63" s="37">
        <f t="shared" si="67"/>
        <v>51</v>
      </c>
      <c r="Q63" s="37">
        <f t="shared" si="68"/>
        <v>48</v>
      </c>
      <c r="R63" s="37">
        <f t="shared" si="69"/>
        <v>0</v>
      </c>
    </row>
    <row r="64" spans="1:18" ht="20.399999999999999">
      <c r="A64" s="15">
        <v>7</v>
      </c>
      <c r="B64" s="47" t="s">
        <v>396</v>
      </c>
      <c r="C64" s="47" t="s">
        <v>111</v>
      </c>
      <c r="D64" s="45" t="s">
        <v>368</v>
      </c>
      <c r="E64" s="45" t="s">
        <v>374</v>
      </c>
      <c r="F64" s="45" t="s">
        <v>375</v>
      </c>
      <c r="G64" s="34">
        <f t="shared" si="60"/>
        <v>30</v>
      </c>
      <c r="H64" s="35">
        <f t="shared" si="61"/>
        <v>17</v>
      </c>
      <c r="I64" s="35">
        <f t="shared" si="62"/>
        <v>9</v>
      </c>
      <c r="J64" s="36" t="str">
        <f t="shared" si="63"/>
        <v>7Pinheiro - MA17</v>
      </c>
      <c r="K64" s="36" t="str">
        <f t="shared" si="64"/>
        <v>7Pinheiro - MA9</v>
      </c>
      <c r="L64" s="37">
        <f>VLOOKUP(A64,'JOGOS BASE'!A:E,4,0)</f>
        <v>48</v>
      </c>
      <c r="M64" s="37">
        <f>VLOOKUP(A64,'JOGOS BASE'!A:E,5,0)</f>
        <v>51</v>
      </c>
      <c r="N64" s="38" t="str">
        <f t="shared" si="65"/>
        <v>2</v>
      </c>
      <c r="O64" s="37">
        <f t="shared" si="66"/>
        <v>0</v>
      </c>
      <c r="P64" s="37">
        <f t="shared" si="67"/>
        <v>21</v>
      </c>
      <c r="Q64" s="37">
        <f t="shared" si="68"/>
        <v>48</v>
      </c>
      <c r="R64" s="37">
        <f t="shared" si="69"/>
        <v>30</v>
      </c>
    </row>
    <row r="65" spans="1:18" ht="20.399999999999999">
      <c r="A65" s="15">
        <v>8</v>
      </c>
      <c r="B65" s="47" t="s">
        <v>105</v>
      </c>
      <c r="C65" s="47" t="s">
        <v>106</v>
      </c>
      <c r="D65" s="45" t="s">
        <v>381</v>
      </c>
      <c r="E65" s="45" t="s">
        <v>591</v>
      </c>
      <c r="F65" s="45" t="s">
        <v>592</v>
      </c>
      <c r="G65" s="34">
        <f t="shared" ref="G65:G72" si="70">VALUE(LEFT(B65,2))</f>
        <v>0</v>
      </c>
      <c r="H65" s="35">
        <f t="shared" ref="H65:H72" si="71">IF(VALUE(LEFT(E65,2))&lt;10,VALUE(LEFT(E65,1)),VALUE(LEFT(E65,2)))</f>
        <v>15</v>
      </c>
      <c r="I65" s="35">
        <f t="shared" ref="I65:I72" si="72">IF(VALUE(LEFT(F65,2))&lt;10,VALUE(LEFT(F65,1)),VALUE(LEFT(F65,2)))</f>
        <v>10</v>
      </c>
      <c r="J65" s="36" t="str">
        <f t="shared" ref="J65:J72" si="73">$A65&amp;$D65&amp;H65</f>
        <v>8Viana - MA15</v>
      </c>
      <c r="K65" s="36" t="str">
        <f t="shared" ref="K65:K72" si="74">$A65&amp;$D65&amp;I65</f>
        <v>8Viana - MA10</v>
      </c>
      <c r="L65" s="37">
        <f>VLOOKUP(A65,'JOGOS BASE'!A:E,4,0)</f>
        <v>50</v>
      </c>
      <c r="M65" s="37">
        <f>VLOOKUP(A65,'JOGOS BASE'!A:E,5,0)</f>
        <v>53</v>
      </c>
      <c r="N65" s="38" t="str">
        <f t="shared" ref="N65:N72" si="75">LEFT(C65,1)</f>
        <v>I</v>
      </c>
      <c r="O65" s="37">
        <f t="shared" ref="O65:O72" si="76">IF(N65="1",L65-G65,0)</f>
        <v>0</v>
      </c>
      <c r="P65" s="37">
        <f t="shared" ref="P65:P72" si="77">IF(N65="1",M65,IF(OR(N65="2",N65="I"),M65-G65,0))</f>
        <v>53</v>
      </c>
      <c r="Q65" s="37">
        <f t="shared" ref="Q65:Q72" si="78">IF(N65="1",G65,L65)</f>
        <v>50</v>
      </c>
      <c r="R65" s="37">
        <f t="shared" ref="R65:R72" si="79">IF(OR(N65="1",N65="I"),0,G65)</f>
        <v>0</v>
      </c>
    </row>
    <row r="66" spans="1:18" ht="20.399999999999999">
      <c r="A66" s="15">
        <v>8</v>
      </c>
      <c r="B66" s="47" t="s">
        <v>378</v>
      </c>
      <c r="C66" s="47" t="s">
        <v>111</v>
      </c>
      <c r="D66" s="45" t="s">
        <v>381</v>
      </c>
      <c r="E66" s="45" t="s">
        <v>382</v>
      </c>
      <c r="F66" s="45" t="s">
        <v>593</v>
      </c>
      <c r="G66" s="34">
        <f t="shared" si="70"/>
        <v>42</v>
      </c>
      <c r="H66" s="35">
        <f t="shared" si="71"/>
        <v>13</v>
      </c>
      <c r="I66" s="35">
        <f t="shared" si="72"/>
        <v>7</v>
      </c>
      <c r="J66" s="36" t="str">
        <f t="shared" si="73"/>
        <v>8Viana - MA13</v>
      </c>
      <c r="K66" s="36" t="str">
        <f t="shared" si="74"/>
        <v>8Viana - MA7</v>
      </c>
      <c r="L66" s="37">
        <f>VLOOKUP(A66,'JOGOS BASE'!A:E,4,0)</f>
        <v>50</v>
      </c>
      <c r="M66" s="37">
        <f>VLOOKUP(A66,'JOGOS BASE'!A:E,5,0)</f>
        <v>53</v>
      </c>
      <c r="N66" s="38" t="str">
        <f t="shared" si="75"/>
        <v>2</v>
      </c>
      <c r="O66" s="37">
        <f t="shared" si="76"/>
        <v>0</v>
      </c>
      <c r="P66" s="37">
        <f t="shared" si="77"/>
        <v>11</v>
      </c>
      <c r="Q66" s="37">
        <f t="shared" si="78"/>
        <v>50</v>
      </c>
      <c r="R66" s="37">
        <f t="shared" si="79"/>
        <v>42</v>
      </c>
    </row>
    <row r="67" spans="1:18" ht="20.399999999999999">
      <c r="A67" s="15">
        <v>8</v>
      </c>
      <c r="B67" s="47" t="s">
        <v>105</v>
      </c>
      <c r="C67" s="47" t="s">
        <v>106</v>
      </c>
      <c r="D67" s="45" t="s">
        <v>122</v>
      </c>
      <c r="E67" s="45" t="s">
        <v>594</v>
      </c>
      <c r="F67" s="45" t="s">
        <v>595</v>
      </c>
      <c r="G67" s="34">
        <f t="shared" si="70"/>
        <v>0</v>
      </c>
      <c r="H67" s="35">
        <f t="shared" si="71"/>
        <v>20</v>
      </c>
      <c r="I67" s="35">
        <f t="shared" si="72"/>
        <v>9</v>
      </c>
      <c r="J67" s="36" t="str">
        <f t="shared" si="73"/>
        <v>8Sampaio Corrêa - MA20</v>
      </c>
      <c r="K67" s="36" t="str">
        <f t="shared" si="74"/>
        <v>8Sampaio Corrêa - MA9</v>
      </c>
      <c r="L67" s="37">
        <f>VLOOKUP(A67,'JOGOS BASE'!A:E,4,0)</f>
        <v>50</v>
      </c>
      <c r="M67" s="37">
        <f>VLOOKUP(A67,'JOGOS BASE'!A:E,5,0)</f>
        <v>53</v>
      </c>
      <c r="N67" s="38" t="str">
        <f t="shared" si="75"/>
        <v>I</v>
      </c>
      <c r="O67" s="37">
        <f t="shared" si="76"/>
        <v>0</v>
      </c>
      <c r="P67" s="37">
        <f t="shared" si="77"/>
        <v>53</v>
      </c>
      <c r="Q67" s="37">
        <f t="shared" si="78"/>
        <v>50</v>
      </c>
      <c r="R67" s="37">
        <f t="shared" si="79"/>
        <v>0</v>
      </c>
    </row>
    <row r="68" spans="1:18" ht="20.399999999999999">
      <c r="A68" s="15">
        <v>8</v>
      </c>
      <c r="B68" s="47" t="s">
        <v>105</v>
      </c>
      <c r="C68" s="47" t="s">
        <v>106</v>
      </c>
      <c r="D68" s="45" t="s">
        <v>122</v>
      </c>
      <c r="E68" s="45" t="s">
        <v>596</v>
      </c>
      <c r="F68" s="45" t="s">
        <v>130</v>
      </c>
      <c r="G68" s="34">
        <f t="shared" si="70"/>
        <v>0</v>
      </c>
      <c r="H68" s="35">
        <f t="shared" si="71"/>
        <v>16</v>
      </c>
      <c r="I68" s="35">
        <f t="shared" si="72"/>
        <v>11</v>
      </c>
      <c r="J68" s="36" t="str">
        <f t="shared" si="73"/>
        <v>8Sampaio Corrêa - MA16</v>
      </c>
      <c r="K68" s="36" t="str">
        <f t="shared" si="74"/>
        <v>8Sampaio Corrêa - MA11</v>
      </c>
      <c r="L68" s="37">
        <f>VLOOKUP(A68,'JOGOS BASE'!A:E,4,0)</f>
        <v>50</v>
      </c>
      <c r="M68" s="37">
        <f>VLOOKUP(A68,'JOGOS BASE'!A:E,5,0)</f>
        <v>53</v>
      </c>
      <c r="N68" s="38" t="str">
        <f t="shared" si="75"/>
        <v>I</v>
      </c>
      <c r="O68" s="37">
        <f t="shared" si="76"/>
        <v>0</v>
      </c>
      <c r="P68" s="37">
        <f t="shared" si="77"/>
        <v>53</v>
      </c>
      <c r="Q68" s="37">
        <f t="shared" si="78"/>
        <v>50</v>
      </c>
      <c r="R68" s="37">
        <f t="shared" si="79"/>
        <v>0</v>
      </c>
    </row>
    <row r="69" spans="1:18" ht="20.399999999999999">
      <c r="A69" s="15">
        <v>8</v>
      </c>
      <c r="B69" s="47" t="s">
        <v>361</v>
      </c>
      <c r="C69" s="47" t="s">
        <v>111</v>
      </c>
      <c r="D69" s="45" t="s">
        <v>122</v>
      </c>
      <c r="E69" s="45" t="s">
        <v>126</v>
      </c>
      <c r="F69" s="45" t="s">
        <v>597</v>
      </c>
      <c r="G69" s="34">
        <f t="shared" si="70"/>
        <v>14</v>
      </c>
      <c r="H69" s="35">
        <f t="shared" si="71"/>
        <v>10</v>
      </c>
      <c r="I69" s="35">
        <f t="shared" si="72"/>
        <v>5</v>
      </c>
      <c r="J69" s="36" t="str">
        <f t="shared" si="73"/>
        <v>8Sampaio Corrêa - MA10</v>
      </c>
      <c r="K69" s="36" t="str">
        <f t="shared" si="74"/>
        <v>8Sampaio Corrêa - MA5</v>
      </c>
      <c r="L69" s="37">
        <f>VLOOKUP(A69,'JOGOS BASE'!A:E,4,0)</f>
        <v>50</v>
      </c>
      <c r="M69" s="37">
        <f>VLOOKUP(A69,'JOGOS BASE'!A:E,5,0)</f>
        <v>53</v>
      </c>
      <c r="N69" s="38" t="str">
        <f t="shared" si="75"/>
        <v>2</v>
      </c>
      <c r="O69" s="37">
        <f t="shared" si="76"/>
        <v>0</v>
      </c>
      <c r="P69" s="37">
        <f t="shared" si="77"/>
        <v>39</v>
      </c>
      <c r="Q69" s="37">
        <f t="shared" si="78"/>
        <v>50</v>
      </c>
      <c r="R69" s="37">
        <f t="shared" si="79"/>
        <v>14</v>
      </c>
    </row>
    <row r="70" spans="1:18" ht="20.399999999999999">
      <c r="A70" s="15">
        <v>8</v>
      </c>
      <c r="B70" s="47" t="s">
        <v>362</v>
      </c>
      <c r="C70" s="47" t="s">
        <v>111</v>
      </c>
      <c r="D70" s="45" t="s">
        <v>122</v>
      </c>
      <c r="E70" s="45" t="s">
        <v>598</v>
      </c>
      <c r="F70" s="45" t="s">
        <v>599</v>
      </c>
      <c r="G70" s="34">
        <f t="shared" si="70"/>
        <v>21</v>
      </c>
      <c r="H70" s="35">
        <f t="shared" si="71"/>
        <v>15</v>
      </c>
      <c r="I70" s="35">
        <f t="shared" si="72"/>
        <v>8</v>
      </c>
      <c r="J70" s="36" t="str">
        <f t="shared" si="73"/>
        <v>8Sampaio Corrêa - MA15</v>
      </c>
      <c r="K70" s="36" t="str">
        <f t="shared" si="74"/>
        <v>8Sampaio Corrêa - MA8</v>
      </c>
      <c r="L70" s="37">
        <f>VLOOKUP(A70,'JOGOS BASE'!A:E,4,0)</f>
        <v>50</v>
      </c>
      <c r="M70" s="37">
        <f>VLOOKUP(A70,'JOGOS BASE'!A:E,5,0)</f>
        <v>53</v>
      </c>
      <c r="N70" s="38" t="str">
        <f t="shared" si="75"/>
        <v>2</v>
      </c>
      <c r="O70" s="37">
        <f t="shared" si="76"/>
        <v>0</v>
      </c>
      <c r="P70" s="37">
        <f t="shared" si="77"/>
        <v>32</v>
      </c>
      <c r="Q70" s="37">
        <f t="shared" si="78"/>
        <v>50</v>
      </c>
      <c r="R70" s="37">
        <f t="shared" si="79"/>
        <v>21</v>
      </c>
    </row>
    <row r="71" spans="1:18" ht="20.399999999999999">
      <c r="A71" s="15">
        <v>8</v>
      </c>
      <c r="B71" s="47" t="s">
        <v>396</v>
      </c>
      <c r="C71" s="47" t="s">
        <v>111</v>
      </c>
      <c r="D71" s="45" t="s">
        <v>122</v>
      </c>
      <c r="E71" s="45" t="s">
        <v>600</v>
      </c>
      <c r="F71" s="45" t="s">
        <v>601</v>
      </c>
      <c r="G71" s="34">
        <f t="shared" si="70"/>
        <v>30</v>
      </c>
      <c r="H71" s="35">
        <f t="shared" si="71"/>
        <v>17</v>
      </c>
      <c r="I71" s="35">
        <f t="shared" si="72"/>
        <v>7</v>
      </c>
      <c r="J71" s="36" t="str">
        <f t="shared" si="73"/>
        <v>8Sampaio Corrêa - MA17</v>
      </c>
      <c r="K71" s="36" t="str">
        <f t="shared" si="74"/>
        <v>8Sampaio Corrêa - MA7</v>
      </c>
      <c r="L71" s="37">
        <f>VLOOKUP(A71,'JOGOS BASE'!A:E,4,0)</f>
        <v>50</v>
      </c>
      <c r="M71" s="37">
        <f>VLOOKUP(A71,'JOGOS BASE'!A:E,5,0)</f>
        <v>53</v>
      </c>
      <c r="N71" s="38" t="str">
        <f t="shared" si="75"/>
        <v>2</v>
      </c>
      <c r="O71" s="37">
        <f t="shared" si="76"/>
        <v>0</v>
      </c>
      <c r="P71" s="37">
        <f t="shared" si="77"/>
        <v>23</v>
      </c>
      <c r="Q71" s="37">
        <f t="shared" si="78"/>
        <v>50</v>
      </c>
      <c r="R71" s="37">
        <f t="shared" si="79"/>
        <v>30</v>
      </c>
    </row>
    <row r="72" spans="1:18" ht="20.399999999999999">
      <c r="A72" s="15">
        <v>8</v>
      </c>
      <c r="B72" s="47" t="s">
        <v>404</v>
      </c>
      <c r="C72" s="47" t="s">
        <v>111</v>
      </c>
      <c r="D72" s="45" t="s">
        <v>381</v>
      </c>
      <c r="E72" s="45" t="s">
        <v>602</v>
      </c>
      <c r="F72" s="45" t="s">
        <v>603</v>
      </c>
      <c r="G72" s="34">
        <f t="shared" si="70"/>
        <v>17</v>
      </c>
      <c r="H72" s="35">
        <f t="shared" si="71"/>
        <v>14</v>
      </c>
      <c r="I72" s="35">
        <f t="shared" si="72"/>
        <v>8</v>
      </c>
      <c r="J72" s="36" t="str">
        <f t="shared" si="73"/>
        <v>8Viana - MA14</v>
      </c>
      <c r="K72" s="36" t="str">
        <f t="shared" si="74"/>
        <v>8Viana - MA8</v>
      </c>
      <c r="L72" s="37">
        <f>VLOOKUP(A72,'JOGOS BASE'!A:E,4,0)</f>
        <v>50</v>
      </c>
      <c r="M72" s="37">
        <f>VLOOKUP(A72,'JOGOS BASE'!A:E,5,0)</f>
        <v>53</v>
      </c>
      <c r="N72" s="38" t="str">
        <f t="shared" si="75"/>
        <v>2</v>
      </c>
      <c r="O72" s="37">
        <f t="shared" si="76"/>
        <v>0</v>
      </c>
      <c r="P72" s="37">
        <f t="shared" si="77"/>
        <v>36</v>
      </c>
      <c r="Q72" s="37">
        <f t="shared" si="78"/>
        <v>50</v>
      </c>
      <c r="R72" s="37">
        <f t="shared" si="79"/>
        <v>17</v>
      </c>
    </row>
    <row r="73" spans="1:18" ht="20.399999999999999">
      <c r="A73" s="15">
        <v>9</v>
      </c>
      <c r="B73" s="47" t="s">
        <v>624</v>
      </c>
      <c r="C73" s="47" t="s">
        <v>111</v>
      </c>
      <c r="D73" s="45" t="s">
        <v>412</v>
      </c>
      <c r="E73" s="45" t="s">
        <v>625</v>
      </c>
      <c r="F73" s="45" t="s">
        <v>626</v>
      </c>
      <c r="G73" s="34">
        <f t="shared" ref="G73:G82" si="80">VALUE(LEFT(B73,2))</f>
        <v>9</v>
      </c>
      <c r="H73" s="35">
        <f t="shared" ref="H73:H82" si="81">IF(VALUE(LEFT(E73,2))&lt;10,VALUE(LEFT(E73,1)),VALUE(LEFT(E73,2)))</f>
        <v>21</v>
      </c>
      <c r="I73" s="35">
        <f t="shared" ref="I73:I82" si="82">IF(VALUE(LEFT(F73,2))&lt;10,VALUE(LEFT(F73,1)),VALUE(LEFT(F73,2)))</f>
        <v>11</v>
      </c>
      <c r="J73" s="36" t="str">
        <f t="shared" ref="J73:J82" si="83">$A73&amp;$D73&amp;H73</f>
        <v>9Iape - MA21</v>
      </c>
      <c r="K73" s="36" t="str">
        <f t="shared" ref="K73:K82" si="84">$A73&amp;$D73&amp;I73</f>
        <v>9Iape - MA11</v>
      </c>
      <c r="L73" s="37">
        <f>VLOOKUP(A73,'JOGOS BASE'!A:E,4,0)</f>
        <v>48</v>
      </c>
      <c r="M73" s="37">
        <f>VLOOKUP(A73,'JOGOS BASE'!A:E,5,0)</f>
        <v>49</v>
      </c>
      <c r="N73" s="38" t="str">
        <f t="shared" ref="N73:N82" si="85">LEFT(C73,1)</f>
        <v>2</v>
      </c>
      <c r="O73" s="37">
        <f t="shared" ref="O73:O82" si="86">IF(N73="1",L73-G73,0)</f>
        <v>0</v>
      </c>
      <c r="P73" s="37">
        <f t="shared" ref="P73:P82" si="87">IF(N73="1",M73,IF(OR(N73="2",N73="I"),M73-G73,0))</f>
        <v>40</v>
      </c>
      <c r="Q73" s="37">
        <f t="shared" ref="Q73:Q82" si="88">IF(N73="1",G73,L73)</f>
        <v>48</v>
      </c>
      <c r="R73" s="37">
        <f t="shared" ref="R73:R82" si="89">IF(OR(N73="1",N73="I"),0,G73)</f>
        <v>9</v>
      </c>
    </row>
    <row r="74" spans="1:18" ht="20.399999999999999">
      <c r="A74" s="15">
        <v>9</v>
      </c>
      <c r="B74" s="47" t="s">
        <v>624</v>
      </c>
      <c r="C74" s="47" t="s">
        <v>111</v>
      </c>
      <c r="D74" s="45" t="s">
        <v>412</v>
      </c>
      <c r="E74" s="45" t="s">
        <v>627</v>
      </c>
      <c r="F74" s="45" t="s">
        <v>422</v>
      </c>
      <c r="G74" s="34">
        <f t="shared" si="80"/>
        <v>9</v>
      </c>
      <c r="H74" s="35">
        <f t="shared" si="81"/>
        <v>22</v>
      </c>
      <c r="I74" s="35">
        <f t="shared" si="82"/>
        <v>9</v>
      </c>
      <c r="J74" s="36" t="str">
        <f t="shared" si="83"/>
        <v>9Iape - MA22</v>
      </c>
      <c r="K74" s="36" t="str">
        <f t="shared" si="84"/>
        <v>9Iape - MA9</v>
      </c>
      <c r="L74" s="37">
        <f>VLOOKUP(A74,'JOGOS BASE'!A:E,4,0)</f>
        <v>48</v>
      </c>
      <c r="M74" s="37">
        <f>VLOOKUP(A74,'JOGOS BASE'!A:E,5,0)</f>
        <v>49</v>
      </c>
      <c r="N74" s="38" t="str">
        <f t="shared" si="85"/>
        <v>2</v>
      </c>
      <c r="O74" s="37">
        <f t="shared" si="86"/>
        <v>0</v>
      </c>
      <c r="P74" s="37">
        <f t="shared" si="87"/>
        <v>40</v>
      </c>
      <c r="Q74" s="37">
        <f t="shared" si="88"/>
        <v>48</v>
      </c>
      <c r="R74" s="37">
        <f t="shared" si="89"/>
        <v>9</v>
      </c>
    </row>
    <row r="75" spans="1:18" ht="20.399999999999999">
      <c r="A75" s="15">
        <v>9</v>
      </c>
      <c r="B75" s="47" t="s">
        <v>404</v>
      </c>
      <c r="C75" s="47" t="s">
        <v>111</v>
      </c>
      <c r="D75" s="45" t="s">
        <v>412</v>
      </c>
      <c r="E75" s="45" t="s">
        <v>628</v>
      </c>
      <c r="F75" s="45" t="s">
        <v>629</v>
      </c>
      <c r="G75" s="34">
        <f t="shared" si="80"/>
        <v>17</v>
      </c>
      <c r="H75" s="35">
        <f t="shared" si="81"/>
        <v>18</v>
      </c>
      <c r="I75" s="35">
        <f t="shared" si="82"/>
        <v>5</v>
      </c>
      <c r="J75" s="36" t="str">
        <f t="shared" si="83"/>
        <v>9Iape - MA18</v>
      </c>
      <c r="K75" s="36" t="str">
        <f t="shared" si="84"/>
        <v>9Iape - MA5</v>
      </c>
      <c r="L75" s="37">
        <f>VLOOKUP(A75,'JOGOS BASE'!A:E,4,0)</f>
        <v>48</v>
      </c>
      <c r="M75" s="37">
        <f>VLOOKUP(A75,'JOGOS BASE'!A:E,5,0)</f>
        <v>49</v>
      </c>
      <c r="N75" s="38" t="str">
        <f t="shared" si="85"/>
        <v>2</v>
      </c>
      <c r="O75" s="37">
        <f t="shared" si="86"/>
        <v>0</v>
      </c>
      <c r="P75" s="37">
        <f t="shared" si="87"/>
        <v>32</v>
      </c>
      <c r="Q75" s="37">
        <f t="shared" si="88"/>
        <v>48</v>
      </c>
      <c r="R75" s="37">
        <f t="shared" si="89"/>
        <v>17</v>
      </c>
    </row>
    <row r="76" spans="1:18" ht="20.399999999999999">
      <c r="A76" s="15">
        <v>9</v>
      </c>
      <c r="B76" s="47" t="s">
        <v>367</v>
      </c>
      <c r="C76" s="47" t="s">
        <v>111</v>
      </c>
      <c r="D76" s="45" t="s">
        <v>412</v>
      </c>
      <c r="E76" s="45" t="s">
        <v>630</v>
      </c>
      <c r="F76" s="45" t="s">
        <v>419</v>
      </c>
      <c r="G76" s="34">
        <f t="shared" si="80"/>
        <v>25</v>
      </c>
      <c r="H76" s="35">
        <f t="shared" si="81"/>
        <v>17</v>
      </c>
      <c r="I76" s="35">
        <f t="shared" si="82"/>
        <v>25</v>
      </c>
      <c r="J76" s="36" t="str">
        <f t="shared" si="83"/>
        <v>9Iape - MA17</v>
      </c>
      <c r="K76" s="36" t="str">
        <f t="shared" si="84"/>
        <v>9Iape - MA25</v>
      </c>
      <c r="L76" s="37">
        <f>VLOOKUP(A76,'JOGOS BASE'!A:E,4,0)</f>
        <v>48</v>
      </c>
      <c r="M76" s="37">
        <f>VLOOKUP(A76,'JOGOS BASE'!A:E,5,0)</f>
        <v>49</v>
      </c>
      <c r="N76" s="38" t="str">
        <f t="shared" si="85"/>
        <v>2</v>
      </c>
      <c r="O76" s="37">
        <f t="shared" si="86"/>
        <v>0</v>
      </c>
      <c r="P76" s="37">
        <f t="shared" si="87"/>
        <v>24</v>
      </c>
      <c r="Q76" s="37">
        <f t="shared" si="88"/>
        <v>48</v>
      </c>
      <c r="R76" s="37">
        <f t="shared" si="89"/>
        <v>25</v>
      </c>
    </row>
    <row r="77" spans="1:18" ht="20.399999999999999">
      <c r="A77" s="15">
        <v>9</v>
      </c>
      <c r="B77" s="47" t="s">
        <v>367</v>
      </c>
      <c r="C77" s="47" t="s">
        <v>111</v>
      </c>
      <c r="D77" s="45" t="s">
        <v>412</v>
      </c>
      <c r="E77" s="45" t="s">
        <v>631</v>
      </c>
      <c r="F77" s="45" t="s">
        <v>632</v>
      </c>
      <c r="G77" s="34">
        <f t="shared" si="80"/>
        <v>25</v>
      </c>
      <c r="H77" s="35">
        <f t="shared" si="81"/>
        <v>2</v>
      </c>
      <c r="I77" s="35">
        <f t="shared" si="82"/>
        <v>3</v>
      </c>
      <c r="J77" s="36" t="str">
        <f t="shared" si="83"/>
        <v>9Iape - MA2</v>
      </c>
      <c r="K77" s="36" t="str">
        <f t="shared" si="84"/>
        <v>9Iape - MA3</v>
      </c>
      <c r="L77" s="37">
        <f>VLOOKUP(A77,'JOGOS BASE'!A:E,4,0)</f>
        <v>48</v>
      </c>
      <c r="M77" s="37">
        <f>VLOOKUP(A77,'JOGOS BASE'!A:E,5,0)</f>
        <v>49</v>
      </c>
      <c r="N77" s="38" t="str">
        <f t="shared" si="85"/>
        <v>2</v>
      </c>
      <c r="O77" s="37">
        <f t="shared" si="86"/>
        <v>0</v>
      </c>
      <c r="P77" s="37">
        <f t="shared" si="87"/>
        <v>24</v>
      </c>
      <c r="Q77" s="37">
        <f t="shared" si="88"/>
        <v>48</v>
      </c>
      <c r="R77" s="37">
        <f t="shared" si="89"/>
        <v>25</v>
      </c>
    </row>
    <row r="78" spans="1:18" ht="20.399999999999999">
      <c r="A78" s="15">
        <v>9</v>
      </c>
      <c r="B78" s="47" t="s">
        <v>105</v>
      </c>
      <c r="C78" s="47" t="s">
        <v>106</v>
      </c>
      <c r="D78" s="45" t="s">
        <v>107</v>
      </c>
      <c r="E78" s="45" t="s">
        <v>498</v>
      </c>
      <c r="F78" s="45" t="s">
        <v>501</v>
      </c>
      <c r="G78" s="34">
        <f t="shared" si="80"/>
        <v>0</v>
      </c>
      <c r="H78" s="35">
        <f t="shared" si="81"/>
        <v>11</v>
      </c>
      <c r="I78" s="35">
        <f t="shared" si="82"/>
        <v>8</v>
      </c>
      <c r="J78" s="36" t="str">
        <f t="shared" si="83"/>
        <v>9Imperatriz - MA11</v>
      </c>
      <c r="K78" s="36" t="str">
        <f t="shared" si="84"/>
        <v>9Imperatriz - MA8</v>
      </c>
      <c r="L78" s="37">
        <f>VLOOKUP(A78,'JOGOS BASE'!A:E,4,0)</f>
        <v>48</v>
      </c>
      <c r="M78" s="37">
        <f>VLOOKUP(A78,'JOGOS BASE'!A:E,5,0)</f>
        <v>49</v>
      </c>
      <c r="N78" s="38" t="str">
        <f t="shared" si="85"/>
        <v>I</v>
      </c>
      <c r="O78" s="37">
        <f t="shared" si="86"/>
        <v>0</v>
      </c>
      <c r="P78" s="37">
        <f t="shared" si="87"/>
        <v>49</v>
      </c>
      <c r="Q78" s="37">
        <f t="shared" si="88"/>
        <v>48</v>
      </c>
      <c r="R78" s="37">
        <f t="shared" si="89"/>
        <v>0</v>
      </c>
    </row>
    <row r="79" spans="1:18" ht="20.399999999999999">
      <c r="A79" s="15">
        <v>9</v>
      </c>
      <c r="B79" s="47" t="s">
        <v>621</v>
      </c>
      <c r="C79" s="47" t="s">
        <v>111</v>
      </c>
      <c r="D79" s="45" t="s">
        <v>107</v>
      </c>
      <c r="E79" s="45" t="s">
        <v>633</v>
      </c>
      <c r="F79" s="45" t="s">
        <v>497</v>
      </c>
      <c r="G79" s="34">
        <f t="shared" si="80"/>
        <v>19</v>
      </c>
      <c r="H79" s="35">
        <f t="shared" si="81"/>
        <v>20</v>
      </c>
      <c r="I79" s="35">
        <f t="shared" si="82"/>
        <v>19</v>
      </c>
      <c r="J79" s="36" t="str">
        <f t="shared" si="83"/>
        <v>9Imperatriz - MA20</v>
      </c>
      <c r="K79" s="36" t="str">
        <f t="shared" si="84"/>
        <v>9Imperatriz - MA19</v>
      </c>
      <c r="L79" s="37">
        <f>VLOOKUP(A79,'JOGOS BASE'!A:E,4,0)</f>
        <v>48</v>
      </c>
      <c r="M79" s="37">
        <f>VLOOKUP(A79,'JOGOS BASE'!A:E,5,0)</f>
        <v>49</v>
      </c>
      <c r="N79" s="38" t="str">
        <f t="shared" si="85"/>
        <v>2</v>
      </c>
      <c r="O79" s="37">
        <f t="shared" si="86"/>
        <v>0</v>
      </c>
      <c r="P79" s="37">
        <f t="shared" si="87"/>
        <v>30</v>
      </c>
      <c r="Q79" s="37">
        <f t="shared" si="88"/>
        <v>48</v>
      </c>
      <c r="R79" s="37">
        <f t="shared" si="89"/>
        <v>19</v>
      </c>
    </row>
    <row r="80" spans="1:18" ht="20.399999999999999">
      <c r="A80" s="15">
        <v>9</v>
      </c>
      <c r="B80" s="47" t="s">
        <v>417</v>
      </c>
      <c r="C80" s="47" t="s">
        <v>111</v>
      </c>
      <c r="D80" s="45" t="s">
        <v>107</v>
      </c>
      <c r="E80" s="45" t="s">
        <v>634</v>
      </c>
      <c r="F80" s="45" t="s">
        <v>109</v>
      </c>
      <c r="G80" s="34">
        <f t="shared" si="80"/>
        <v>10</v>
      </c>
      <c r="H80" s="35">
        <f t="shared" si="81"/>
        <v>17</v>
      </c>
      <c r="I80" s="35">
        <f t="shared" si="82"/>
        <v>10</v>
      </c>
      <c r="J80" s="36" t="str">
        <f t="shared" si="83"/>
        <v>9Imperatriz - MA17</v>
      </c>
      <c r="K80" s="36" t="str">
        <f t="shared" si="84"/>
        <v>9Imperatriz - MA10</v>
      </c>
      <c r="L80" s="37">
        <f>VLOOKUP(A80,'JOGOS BASE'!A:E,4,0)</f>
        <v>48</v>
      </c>
      <c r="M80" s="37">
        <f>VLOOKUP(A80,'JOGOS BASE'!A:E,5,0)</f>
        <v>49</v>
      </c>
      <c r="N80" s="38" t="str">
        <f t="shared" si="85"/>
        <v>2</v>
      </c>
      <c r="O80" s="37">
        <f t="shared" si="86"/>
        <v>0</v>
      </c>
      <c r="P80" s="37">
        <f t="shared" si="87"/>
        <v>39</v>
      </c>
      <c r="Q80" s="37">
        <f t="shared" si="88"/>
        <v>48</v>
      </c>
      <c r="R80" s="37">
        <f t="shared" si="89"/>
        <v>10</v>
      </c>
    </row>
    <row r="81" spans="1:18" ht="20.399999999999999">
      <c r="A81" s="15">
        <v>9</v>
      </c>
      <c r="B81" s="47" t="s">
        <v>417</v>
      </c>
      <c r="C81" s="47" t="s">
        <v>111</v>
      </c>
      <c r="D81" s="45" t="s">
        <v>107</v>
      </c>
      <c r="E81" s="45" t="s">
        <v>115</v>
      </c>
      <c r="F81" s="45" t="s">
        <v>116</v>
      </c>
      <c r="G81" s="34">
        <f t="shared" si="80"/>
        <v>10</v>
      </c>
      <c r="H81" s="35">
        <f t="shared" si="81"/>
        <v>22</v>
      </c>
      <c r="I81" s="35">
        <f t="shared" si="82"/>
        <v>9</v>
      </c>
      <c r="J81" s="36" t="str">
        <f t="shared" si="83"/>
        <v>9Imperatriz - MA22</v>
      </c>
      <c r="K81" s="36" t="str">
        <f t="shared" si="84"/>
        <v>9Imperatriz - MA9</v>
      </c>
      <c r="L81" s="37">
        <f>VLOOKUP(A81,'JOGOS BASE'!A:E,4,0)</f>
        <v>48</v>
      </c>
      <c r="M81" s="37">
        <f>VLOOKUP(A81,'JOGOS BASE'!A:E,5,0)</f>
        <v>49</v>
      </c>
      <c r="N81" s="38" t="str">
        <f t="shared" si="85"/>
        <v>2</v>
      </c>
      <c r="O81" s="37">
        <f t="shared" si="86"/>
        <v>0</v>
      </c>
      <c r="P81" s="37">
        <f t="shared" si="87"/>
        <v>39</v>
      </c>
      <c r="Q81" s="37">
        <f t="shared" si="88"/>
        <v>48</v>
      </c>
      <c r="R81" s="37">
        <f t="shared" si="89"/>
        <v>10</v>
      </c>
    </row>
    <row r="82" spans="1:18" ht="20.399999999999999">
      <c r="A82" s="15">
        <v>9</v>
      </c>
      <c r="B82" s="47" t="s">
        <v>364</v>
      </c>
      <c r="C82" s="47" t="s">
        <v>111</v>
      </c>
      <c r="D82" s="45" t="s">
        <v>107</v>
      </c>
      <c r="E82" s="45" t="s">
        <v>499</v>
      </c>
      <c r="F82" s="45" t="s">
        <v>635</v>
      </c>
      <c r="G82" s="34">
        <f t="shared" si="80"/>
        <v>34</v>
      </c>
      <c r="H82" s="35">
        <f t="shared" si="81"/>
        <v>18</v>
      </c>
      <c r="I82" s="35">
        <f t="shared" si="82"/>
        <v>7</v>
      </c>
      <c r="J82" s="36" t="str">
        <f t="shared" si="83"/>
        <v>9Imperatriz - MA18</v>
      </c>
      <c r="K82" s="36" t="str">
        <f t="shared" si="84"/>
        <v>9Imperatriz - MA7</v>
      </c>
      <c r="L82" s="37">
        <f>VLOOKUP(A82,'JOGOS BASE'!A:E,4,0)</f>
        <v>48</v>
      </c>
      <c r="M82" s="37">
        <f>VLOOKUP(A82,'JOGOS BASE'!A:E,5,0)</f>
        <v>49</v>
      </c>
      <c r="N82" s="38" t="str">
        <f t="shared" si="85"/>
        <v>2</v>
      </c>
      <c r="O82" s="37">
        <f t="shared" si="86"/>
        <v>0</v>
      </c>
      <c r="P82" s="37">
        <f t="shared" si="87"/>
        <v>15</v>
      </c>
      <c r="Q82" s="37">
        <f t="shared" si="88"/>
        <v>48</v>
      </c>
      <c r="R82" s="37">
        <f t="shared" si="89"/>
        <v>34</v>
      </c>
    </row>
    <row r="83" spans="1:18" ht="20.399999999999999">
      <c r="A83" s="15">
        <v>10</v>
      </c>
      <c r="B83" s="47" t="s">
        <v>665</v>
      </c>
      <c r="C83" s="47" t="s">
        <v>111</v>
      </c>
      <c r="D83" s="45" t="s">
        <v>388</v>
      </c>
      <c r="E83" s="45" t="s">
        <v>666</v>
      </c>
      <c r="F83" s="45" t="s">
        <v>667</v>
      </c>
      <c r="G83" s="34">
        <f t="shared" ref="G83:G92" si="90">VALUE(LEFT(B83,2))</f>
        <v>5</v>
      </c>
      <c r="H83" s="35">
        <f t="shared" ref="H83:H92" si="91">IF(VALUE(LEFT(E83,2))&lt;10,VALUE(LEFT(E83,1)),VALUE(LEFT(E83,2)))</f>
        <v>22</v>
      </c>
      <c r="I83" s="35">
        <f t="shared" ref="I83:I92" si="92">IF(VALUE(LEFT(F83,2))&lt;10,VALUE(LEFT(F83,1)),VALUE(LEFT(F83,2)))</f>
        <v>5</v>
      </c>
      <c r="J83" s="36" t="str">
        <f t="shared" ref="J83:J92" si="93">$A83&amp;$D83&amp;H83</f>
        <v>10Tuntum - MA22</v>
      </c>
      <c r="K83" s="36" t="str">
        <f t="shared" ref="K83:K92" si="94">$A83&amp;$D83&amp;I83</f>
        <v>10Tuntum - MA5</v>
      </c>
      <c r="L83" s="37">
        <f>VLOOKUP(A83,'JOGOS BASE'!A:E,4,0)</f>
        <v>48</v>
      </c>
      <c r="M83" s="37">
        <f>VLOOKUP(A83,'JOGOS BASE'!A:E,5,0)</f>
        <v>50</v>
      </c>
      <c r="N83" s="38" t="str">
        <f t="shared" ref="N83:N92" si="95">LEFT(C83,1)</f>
        <v>2</v>
      </c>
      <c r="O83" s="37">
        <f t="shared" ref="O83:O92" si="96">IF(N83="1",L83-G83,0)</f>
        <v>0</v>
      </c>
      <c r="P83" s="37">
        <f t="shared" ref="P83:P92" si="97">IF(N83="1",M83,IF(OR(N83="2",N83="I"),M83-G83,0))</f>
        <v>45</v>
      </c>
      <c r="Q83" s="37">
        <f t="shared" ref="Q83:Q92" si="98">IF(N83="1",G83,L83)</f>
        <v>48</v>
      </c>
      <c r="R83" s="37">
        <f t="shared" ref="R83:R92" si="99">IF(OR(N83="1",N83="I"),0,G83)</f>
        <v>5</v>
      </c>
    </row>
    <row r="84" spans="1:18" ht="20.399999999999999">
      <c r="A84" s="15">
        <v>10</v>
      </c>
      <c r="B84" s="47" t="s">
        <v>668</v>
      </c>
      <c r="C84" s="47" t="s">
        <v>111</v>
      </c>
      <c r="D84" s="45" t="s">
        <v>388</v>
      </c>
      <c r="E84" s="45" t="s">
        <v>669</v>
      </c>
      <c r="F84" s="45" t="s">
        <v>670</v>
      </c>
      <c r="G84" s="34">
        <f t="shared" si="90"/>
        <v>12</v>
      </c>
      <c r="H84" s="35">
        <f t="shared" si="91"/>
        <v>13</v>
      </c>
      <c r="I84" s="35">
        <f t="shared" si="92"/>
        <v>2</v>
      </c>
      <c r="J84" s="36" t="str">
        <f t="shared" si="93"/>
        <v>10Tuntum - MA13</v>
      </c>
      <c r="K84" s="36" t="str">
        <f t="shared" si="94"/>
        <v>10Tuntum - MA2</v>
      </c>
      <c r="L84" s="37">
        <f>VLOOKUP(A84,'JOGOS BASE'!A:E,4,0)</f>
        <v>48</v>
      </c>
      <c r="M84" s="37">
        <f>VLOOKUP(A84,'JOGOS BASE'!A:E,5,0)</f>
        <v>50</v>
      </c>
      <c r="N84" s="38" t="str">
        <f t="shared" si="95"/>
        <v>2</v>
      </c>
      <c r="O84" s="37">
        <f t="shared" si="96"/>
        <v>0</v>
      </c>
      <c r="P84" s="37">
        <f t="shared" si="97"/>
        <v>38</v>
      </c>
      <c r="Q84" s="37">
        <f t="shared" si="98"/>
        <v>48</v>
      </c>
      <c r="R84" s="37">
        <f t="shared" si="99"/>
        <v>12</v>
      </c>
    </row>
    <row r="85" spans="1:18" ht="20.399999999999999">
      <c r="A85" s="15">
        <v>10</v>
      </c>
      <c r="B85" s="47" t="s">
        <v>668</v>
      </c>
      <c r="C85" s="47" t="s">
        <v>111</v>
      </c>
      <c r="D85" s="45" t="s">
        <v>388</v>
      </c>
      <c r="E85" s="45" t="s">
        <v>671</v>
      </c>
      <c r="F85" s="45" t="s">
        <v>490</v>
      </c>
      <c r="G85" s="34">
        <f t="shared" si="90"/>
        <v>12</v>
      </c>
      <c r="H85" s="35">
        <f t="shared" si="91"/>
        <v>21</v>
      </c>
      <c r="I85" s="35">
        <f t="shared" si="92"/>
        <v>9</v>
      </c>
      <c r="J85" s="36" t="str">
        <f t="shared" si="93"/>
        <v>10Tuntum - MA21</v>
      </c>
      <c r="K85" s="36" t="str">
        <f t="shared" si="94"/>
        <v>10Tuntum - MA9</v>
      </c>
      <c r="L85" s="37">
        <f>VLOOKUP(A85,'JOGOS BASE'!A:E,4,0)</f>
        <v>48</v>
      </c>
      <c r="M85" s="37">
        <f>VLOOKUP(A85,'JOGOS BASE'!A:E,5,0)</f>
        <v>50</v>
      </c>
      <c r="N85" s="38" t="str">
        <f t="shared" si="95"/>
        <v>2</v>
      </c>
      <c r="O85" s="37">
        <f t="shared" si="96"/>
        <v>0</v>
      </c>
      <c r="P85" s="37">
        <f t="shared" si="97"/>
        <v>38</v>
      </c>
      <c r="Q85" s="37">
        <f t="shared" si="98"/>
        <v>48</v>
      </c>
      <c r="R85" s="37">
        <f t="shared" si="99"/>
        <v>12</v>
      </c>
    </row>
    <row r="86" spans="1:18" ht="20.399999999999999">
      <c r="A86" s="15">
        <v>10</v>
      </c>
      <c r="B86" s="47" t="s">
        <v>621</v>
      </c>
      <c r="C86" s="47" t="s">
        <v>111</v>
      </c>
      <c r="D86" s="45" t="s">
        <v>388</v>
      </c>
      <c r="E86" s="45" t="s">
        <v>672</v>
      </c>
      <c r="F86" s="45" t="s">
        <v>673</v>
      </c>
      <c r="G86" s="34">
        <f t="shared" si="90"/>
        <v>19</v>
      </c>
      <c r="H86" s="35">
        <f t="shared" si="91"/>
        <v>20</v>
      </c>
      <c r="I86" s="35">
        <f t="shared" si="92"/>
        <v>11</v>
      </c>
      <c r="J86" s="36" t="str">
        <f t="shared" si="93"/>
        <v>10Tuntum - MA20</v>
      </c>
      <c r="K86" s="36" t="str">
        <f t="shared" si="94"/>
        <v>10Tuntum - MA11</v>
      </c>
      <c r="L86" s="37">
        <f>VLOOKUP(A86,'JOGOS BASE'!A:E,4,0)</f>
        <v>48</v>
      </c>
      <c r="M86" s="37">
        <f>VLOOKUP(A86,'JOGOS BASE'!A:E,5,0)</f>
        <v>50</v>
      </c>
      <c r="N86" s="38" t="str">
        <f t="shared" si="95"/>
        <v>2</v>
      </c>
      <c r="O86" s="37">
        <f t="shared" si="96"/>
        <v>0</v>
      </c>
      <c r="P86" s="37">
        <f t="shared" si="97"/>
        <v>31</v>
      </c>
      <c r="Q86" s="37">
        <f t="shared" si="98"/>
        <v>48</v>
      </c>
      <c r="R86" s="37">
        <f t="shared" si="99"/>
        <v>19</v>
      </c>
    </row>
    <row r="87" spans="1:18" ht="20.399999999999999">
      <c r="A87" s="15">
        <v>10</v>
      </c>
      <c r="B87" s="47" t="s">
        <v>621</v>
      </c>
      <c r="C87" s="47" t="s">
        <v>111</v>
      </c>
      <c r="D87" s="45" t="s">
        <v>388</v>
      </c>
      <c r="E87" s="45" t="s">
        <v>674</v>
      </c>
      <c r="F87" s="45" t="s">
        <v>675</v>
      </c>
      <c r="G87" s="34">
        <f t="shared" si="90"/>
        <v>19</v>
      </c>
      <c r="H87" s="35">
        <f t="shared" si="91"/>
        <v>19</v>
      </c>
      <c r="I87" s="35">
        <f t="shared" si="92"/>
        <v>8</v>
      </c>
      <c r="J87" s="36" t="str">
        <f t="shared" si="93"/>
        <v>10Tuntum - MA19</v>
      </c>
      <c r="K87" s="36" t="str">
        <f t="shared" si="94"/>
        <v>10Tuntum - MA8</v>
      </c>
      <c r="L87" s="37">
        <f>VLOOKUP(A87,'JOGOS BASE'!A:E,4,0)</f>
        <v>48</v>
      </c>
      <c r="M87" s="37">
        <f>VLOOKUP(A87,'JOGOS BASE'!A:E,5,0)</f>
        <v>50</v>
      </c>
      <c r="N87" s="38" t="str">
        <f t="shared" si="95"/>
        <v>2</v>
      </c>
      <c r="O87" s="37">
        <f t="shared" si="96"/>
        <v>0</v>
      </c>
      <c r="P87" s="37">
        <f t="shared" si="97"/>
        <v>31</v>
      </c>
      <c r="Q87" s="37">
        <f t="shared" si="98"/>
        <v>48</v>
      </c>
      <c r="R87" s="37">
        <f t="shared" si="99"/>
        <v>19</v>
      </c>
    </row>
    <row r="88" spans="1:18" ht="20.399999999999999">
      <c r="A88" s="15">
        <v>10</v>
      </c>
      <c r="B88" s="47" t="s">
        <v>105</v>
      </c>
      <c r="C88" s="47" t="s">
        <v>106</v>
      </c>
      <c r="D88" s="45" t="s">
        <v>122</v>
      </c>
      <c r="E88" s="45" t="s">
        <v>676</v>
      </c>
      <c r="F88" s="45" t="s">
        <v>601</v>
      </c>
      <c r="G88" s="34">
        <f t="shared" si="90"/>
        <v>0</v>
      </c>
      <c r="H88" s="35">
        <f t="shared" si="91"/>
        <v>19</v>
      </c>
      <c r="I88" s="35">
        <f t="shared" si="92"/>
        <v>7</v>
      </c>
      <c r="J88" s="36" t="str">
        <f t="shared" si="93"/>
        <v>10Sampaio Corrêa - MA19</v>
      </c>
      <c r="K88" s="36" t="str">
        <f t="shared" si="94"/>
        <v>10Sampaio Corrêa - MA7</v>
      </c>
      <c r="L88" s="37">
        <f>VLOOKUP(A88,'JOGOS BASE'!A:E,4,0)</f>
        <v>48</v>
      </c>
      <c r="M88" s="37">
        <f>VLOOKUP(A88,'JOGOS BASE'!A:E,5,0)</f>
        <v>50</v>
      </c>
      <c r="N88" s="38" t="str">
        <f t="shared" si="95"/>
        <v>I</v>
      </c>
      <c r="O88" s="37">
        <f t="shared" si="96"/>
        <v>0</v>
      </c>
      <c r="P88" s="37">
        <f t="shared" si="97"/>
        <v>50</v>
      </c>
      <c r="Q88" s="37">
        <f t="shared" si="98"/>
        <v>48</v>
      </c>
      <c r="R88" s="37">
        <f t="shared" si="99"/>
        <v>0</v>
      </c>
    </row>
    <row r="89" spans="1:18" ht="20.399999999999999">
      <c r="A89" s="15">
        <v>10</v>
      </c>
      <c r="B89" s="47" t="s">
        <v>105</v>
      </c>
      <c r="C89" s="47" t="s">
        <v>106</v>
      </c>
      <c r="D89" s="45" t="s">
        <v>122</v>
      </c>
      <c r="E89" s="45" t="s">
        <v>426</v>
      </c>
      <c r="F89" s="45" t="s">
        <v>676</v>
      </c>
      <c r="G89" s="34">
        <f t="shared" si="90"/>
        <v>0</v>
      </c>
      <c r="H89" s="35">
        <f t="shared" si="91"/>
        <v>17</v>
      </c>
      <c r="I89" s="35">
        <f t="shared" si="92"/>
        <v>19</v>
      </c>
      <c r="J89" s="36" t="str">
        <f t="shared" si="93"/>
        <v>10Sampaio Corrêa - MA17</v>
      </c>
      <c r="K89" s="36" t="str">
        <f t="shared" si="94"/>
        <v>10Sampaio Corrêa - MA19</v>
      </c>
      <c r="L89" s="37">
        <f>VLOOKUP(A89,'JOGOS BASE'!A:E,4,0)</f>
        <v>48</v>
      </c>
      <c r="M89" s="37">
        <f>VLOOKUP(A89,'JOGOS BASE'!A:E,5,0)</f>
        <v>50</v>
      </c>
      <c r="N89" s="38" t="str">
        <f t="shared" si="95"/>
        <v>I</v>
      </c>
      <c r="O89" s="37">
        <f t="shared" si="96"/>
        <v>0</v>
      </c>
      <c r="P89" s="37">
        <f t="shared" si="97"/>
        <v>50</v>
      </c>
      <c r="Q89" s="37">
        <f t="shared" si="98"/>
        <v>48</v>
      </c>
      <c r="R89" s="37">
        <f t="shared" si="99"/>
        <v>0</v>
      </c>
    </row>
    <row r="90" spans="1:18" ht="20.399999999999999">
      <c r="A90" s="15">
        <v>10</v>
      </c>
      <c r="B90" s="47" t="s">
        <v>269</v>
      </c>
      <c r="C90" s="47" t="s">
        <v>111</v>
      </c>
      <c r="D90" s="45" t="s">
        <v>122</v>
      </c>
      <c r="E90" s="45" t="s">
        <v>677</v>
      </c>
      <c r="F90" s="45" t="s">
        <v>672</v>
      </c>
      <c r="G90" s="34">
        <f t="shared" si="90"/>
        <v>23</v>
      </c>
      <c r="H90" s="35">
        <f t="shared" si="91"/>
        <v>16</v>
      </c>
      <c r="I90" s="35">
        <f t="shared" si="92"/>
        <v>20</v>
      </c>
      <c r="J90" s="36" t="str">
        <f t="shared" si="93"/>
        <v>10Sampaio Corrêa - MA16</v>
      </c>
      <c r="K90" s="36" t="str">
        <f t="shared" si="94"/>
        <v>10Sampaio Corrêa - MA20</v>
      </c>
      <c r="L90" s="37">
        <f>VLOOKUP(A90,'JOGOS BASE'!A:E,4,0)</f>
        <v>48</v>
      </c>
      <c r="M90" s="37">
        <f>VLOOKUP(A90,'JOGOS BASE'!A:E,5,0)</f>
        <v>50</v>
      </c>
      <c r="N90" s="38" t="str">
        <f t="shared" si="95"/>
        <v>2</v>
      </c>
      <c r="O90" s="37">
        <f t="shared" si="96"/>
        <v>0</v>
      </c>
      <c r="P90" s="37">
        <f t="shared" si="97"/>
        <v>27</v>
      </c>
      <c r="Q90" s="37">
        <f t="shared" si="98"/>
        <v>48</v>
      </c>
      <c r="R90" s="37">
        <f t="shared" si="99"/>
        <v>23</v>
      </c>
    </row>
    <row r="91" spans="1:18" ht="20.399999999999999">
      <c r="A91" s="15">
        <v>10</v>
      </c>
      <c r="B91" s="47" t="s">
        <v>584</v>
      </c>
      <c r="C91" s="47" t="s">
        <v>111</v>
      </c>
      <c r="D91" s="45" t="s">
        <v>122</v>
      </c>
      <c r="E91" s="45" t="s">
        <v>598</v>
      </c>
      <c r="F91" s="45" t="s">
        <v>126</v>
      </c>
      <c r="G91" s="34">
        <f t="shared" si="90"/>
        <v>29</v>
      </c>
      <c r="H91" s="35">
        <f t="shared" si="91"/>
        <v>15</v>
      </c>
      <c r="I91" s="35">
        <f t="shared" si="92"/>
        <v>10</v>
      </c>
      <c r="J91" s="36" t="str">
        <f t="shared" si="93"/>
        <v>10Sampaio Corrêa - MA15</v>
      </c>
      <c r="K91" s="36" t="str">
        <f t="shared" si="94"/>
        <v>10Sampaio Corrêa - MA10</v>
      </c>
      <c r="L91" s="37">
        <f>VLOOKUP(A91,'JOGOS BASE'!A:E,4,0)</f>
        <v>48</v>
      </c>
      <c r="M91" s="37">
        <f>VLOOKUP(A91,'JOGOS BASE'!A:E,5,0)</f>
        <v>50</v>
      </c>
      <c r="N91" s="38" t="str">
        <f t="shared" si="95"/>
        <v>2</v>
      </c>
      <c r="O91" s="37">
        <f t="shared" si="96"/>
        <v>0</v>
      </c>
      <c r="P91" s="37">
        <f t="shared" si="97"/>
        <v>21</v>
      </c>
      <c r="Q91" s="37">
        <f t="shared" si="98"/>
        <v>48</v>
      </c>
      <c r="R91" s="37">
        <f t="shared" si="99"/>
        <v>29</v>
      </c>
    </row>
    <row r="92" spans="1:18" ht="20.399999999999999">
      <c r="A92" s="15">
        <v>10</v>
      </c>
      <c r="B92" s="47" t="s">
        <v>364</v>
      </c>
      <c r="C92" s="47" t="s">
        <v>111</v>
      </c>
      <c r="D92" s="45" t="s">
        <v>122</v>
      </c>
      <c r="E92" s="45" t="s">
        <v>678</v>
      </c>
      <c r="F92" s="45" t="s">
        <v>679</v>
      </c>
      <c r="G92" s="34">
        <f t="shared" si="90"/>
        <v>34</v>
      </c>
      <c r="H92" s="35">
        <f t="shared" si="91"/>
        <v>18</v>
      </c>
      <c r="I92" s="35">
        <f t="shared" si="92"/>
        <v>9</v>
      </c>
      <c r="J92" s="36" t="str">
        <f t="shared" si="93"/>
        <v>10Sampaio Corrêa - MA18</v>
      </c>
      <c r="K92" s="36" t="str">
        <f t="shared" si="94"/>
        <v>10Sampaio Corrêa - MA9</v>
      </c>
      <c r="L92" s="37">
        <f>VLOOKUP(A92,'JOGOS BASE'!A:E,4,0)</f>
        <v>48</v>
      </c>
      <c r="M92" s="37">
        <f>VLOOKUP(A92,'JOGOS BASE'!A:E,5,0)</f>
        <v>50</v>
      </c>
      <c r="N92" s="38" t="str">
        <f t="shared" si="95"/>
        <v>2</v>
      </c>
      <c r="O92" s="37">
        <f t="shared" si="96"/>
        <v>0</v>
      </c>
      <c r="P92" s="37">
        <f t="shared" si="97"/>
        <v>16</v>
      </c>
      <c r="Q92" s="37">
        <f t="shared" si="98"/>
        <v>48</v>
      </c>
      <c r="R92" s="37">
        <f t="shared" si="99"/>
        <v>34</v>
      </c>
    </row>
    <row r="93" spans="1:18" ht="20.399999999999999">
      <c r="A93" s="15">
        <v>11</v>
      </c>
      <c r="B93" s="47" t="s">
        <v>278</v>
      </c>
      <c r="C93" s="47" t="s">
        <v>111</v>
      </c>
      <c r="D93" s="45" t="s">
        <v>368</v>
      </c>
      <c r="E93" s="45" t="s">
        <v>700</v>
      </c>
      <c r="F93" s="45" t="s">
        <v>701</v>
      </c>
      <c r="G93" s="34">
        <f t="shared" ref="G93:G100" si="100">VALUE(LEFT(B93,2))</f>
        <v>20</v>
      </c>
      <c r="H93" s="35">
        <f t="shared" ref="H93:H100" si="101">IF(VALUE(LEFT(E93,2))&lt;10,VALUE(LEFT(E93,1)),VALUE(LEFT(E93,2)))</f>
        <v>15</v>
      </c>
      <c r="I93" s="35">
        <f t="shared" ref="I93:I100" si="102">IF(VALUE(LEFT(F93,2))&lt;10,VALUE(LEFT(F93,1)),VALUE(LEFT(F93,2)))</f>
        <v>6</v>
      </c>
      <c r="J93" s="36" t="str">
        <f t="shared" ref="J93:J100" si="103">$A93&amp;$D93&amp;H93</f>
        <v>11Pinheiro - MA15</v>
      </c>
      <c r="K93" s="36" t="str">
        <f t="shared" ref="K93:K100" si="104">$A93&amp;$D93&amp;I93</f>
        <v>11Pinheiro - MA6</v>
      </c>
      <c r="L93" s="37">
        <f>VLOOKUP(A93,'JOGOS BASE'!A:E,4,0)</f>
        <v>48</v>
      </c>
      <c r="M93" s="37">
        <f>VLOOKUP(A93,'JOGOS BASE'!A:E,5,0)</f>
        <v>51</v>
      </c>
      <c r="N93" s="38" t="str">
        <f t="shared" ref="N93:N100" si="105">LEFT(C93,1)</f>
        <v>2</v>
      </c>
      <c r="O93" s="37">
        <f t="shared" ref="O93:O100" si="106">IF(N93="1",L93-G93,0)</f>
        <v>0</v>
      </c>
      <c r="P93" s="37">
        <f t="shared" ref="P93:P100" si="107">IF(N93="1",M93,IF(OR(N93="2",N93="I"),M93-G93,0))</f>
        <v>31</v>
      </c>
      <c r="Q93" s="37">
        <f t="shared" ref="Q93:Q100" si="108">IF(N93="1",G93,L93)</f>
        <v>48</v>
      </c>
      <c r="R93" s="37">
        <f t="shared" ref="R93:R100" si="109">IF(OR(N93="1",N93="I"),0,G93)</f>
        <v>20</v>
      </c>
    </row>
    <row r="94" spans="1:18" ht="20.399999999999999">
      <c r="A94" s="15">
        <v>11</v>
      </c>
      <c r="B94" s="47" t="s">
        <v>278</v>
      </c>
      <c r="C94" s="47" t="s">
        <v>111</v>
      </c>
      <c r="D94" s="45" t="s">
        <v>368</v>
      </c>
      <c r="E94" s="45" t="s">
        <v>369</v>
      </c>
      <c r="F94" s="45" t="s">
        <v>370</v>
      </c>
      <c r="G94" s="34">
        <f t="shared" si="100"/>
        <v>20</v>
      </c>
      <c r="H94" s="35">
        <f t="shared" si="101"/>
        <v>18</v>
      </c>
      <c r="I94" s="35">
        <f t="shared" si="102"/>
        <v>11</v>
      </c>
      <c r="J94" s="36" t="str">
        <f t="shared" si="103"/>
        <v>11Pinheiro - MA18</v>
      </c>
      <c r="K94" s="36" t="str">
        <f t="shared" si="104"/>
        <v>11Pinheiro - MA11</v>
      </c>
      <c r="L94" s="37">
        <f>VLOOKUP(A94,'JOGOS BASE'!A:E,4,0)</f>
        <v>48</v>
      </c>
      <c r="M94" s="37">
        <f>VLOOKUP(A94,'JOGOS BASE'!A:E,5,0)</f>
        <v>51</v>
      </c>
      <c r="N94" s="38" t="str">
        <f t="shared" si="105"/>
        <v>2</v>
      </c>
      <c r="O94" s="37">
        <f t="shared" si="106"/>
        <v>0</v>
      </c>
      <c r="P94" s="37">
        <f t="shared" si="107"/>
        <v>31</v>
      </c>
      <c r="Q94" s="37">
        <f t="shared" si="108"/>
        <v>48</v>
      </c>
      <c r="R94" s="37">
        <f t="shared" si="109"/>
        <v>20</v>
      </c>
    </row>
    <row r="95" spans="1:18" ht="20.399999999999999">
      <c r="A95" s="15">
        <v>11</v>
      </c>
      <c r="B95" s="47" t="s">
        <v>364</v>
      </c>
      <c r="C95" s="47" t="s">
        <v>111</v>
      </c>
      <c r="D95" s="45" t="s">
        <v>368</v>
      </c>
      <c r="E95" s="45" t="s">
        <v>372</v>
      </c>
      <c r="F95" s="45" t="s">
        <v>375</v>
      </c>
      <c r="G95" s="34">
        <f t="shared" si="100"/>
        <v>34</v>
      </c>
      <c r="H95" s="35">
        <f t="shared" si="101"/>
        <v>13</v>
      </c>
      <c r="I95" s="35">
        <f t="shared" si="102"/>
        <v>9</v>
      </c>
      <c r="J95" s="36" t="str">
        <f t="shared" si="103"/>
        <v>11Pinheiro - MA13</v>
      </c>
      <c r="K95" s="36" t="str">
        <f t="shared" si="104"/>
        <v>11Pinheiro - MA9</v>
      </c>
      <c r="L95" s="37">
        <f>VLOOKUP(A95,'JOGOS BASE'!A:E,4,0)</f>
        <v>48</v>
      </c>
      <c r="M95" s="37">
        <f>VLOOKUP(A95,'JOGOS BASE'!A:E,5,0)</f>
        <v>51</v>
      </c>
      <c r="N95" s="38" t="str">
        <f t="shared" si="105"/>
        <v>2</v>
      </c>
      <c r="O95" s="37">
        <f t="shared" si="106"/>
        <v>0</v>
      </c>
      <c r="P95" s="37">
        <f t="shared" si="107"/>
        <v>17</v>
      </c>
      <c r="Q95" s="37">
        <f t="shared" si="108"/>
        <v>48</v>
      </c>
      <c r="R95" s="37">
        <f t="shared" si="109"/>
        <v>34</v>
      </c>
    </row>
    <row r="96" spans="1:18" ht="20.399999999999999">
      <c r="A96" s="15">
        <v>11</v>
      </c>
      <c r="B96" s="47" t="s">
        <v>702</v>
      </c>
      <c r="C96" s="47" t="s">
        <v>141</v>
      </c>
      <c r="D96" s="45" t="s">
        <v>273</v>
      </c>
      <c r="E96" s="45" t="s">
        <v>703</v>
      </c>
      <c r="F96" s="45" t="s">
        <v>704</v>
      </c>
      <c r="G96" s="34">
        <f t="shared" si="100"/>
        <v>44</v>
      </c>
      <c r="H96" s="35">
        <f t="shared" si="101"/>
        <v>18</v>
      </c>
      <c r="I96" s="35">
        <f t="shared" si="102"/>
        <v>2</v>
      </c>
      <c r="J96" s="36" t="str">
        <f t="shared" si="103"/>
        <v>11Moto Club - MA18</v>
      </c>
      <c r="K96" s="36" t="str">
        <f t="shared" si="104"/>
        <v>11Moto Club - MA2</v>
      </c>
      <c r="L96" s="37">
        <f>VLOOKUP(A96,'JOGOS BASE'!A:E,4,0)</f>
        <v>48</v>
      </c>
      <c r="M96" s="37">
        <f>VLOOKUP(A96,'JOGOS BASE'!A:E,5,0)</f>
        <v>51</v>
      </c>
      <c r="N96" s="38" t="str">
        <f t="shared" si="105"/>
        <v>1</v>
      </c>
      <c r="O96" s="37">
        <f t="shared" si="106"/>
        <v>4</v>
      </c>
      <c r="P96" s="37">
        <f t="shared" si="107"/>
        <v>51</v>
      </c>
      <c r="Q96" s="37">
        <f t="shared" si="108"/>
        <v>44</v>
      </c>
      <c r="R96" s="37">
        <f t="shared" si="109"/>
        <v>0</v>
      </c>
    </row>
    <row r="97" spans="1:18" ht="20.399999999999999">
      <c r="A97" s="15">
        <v>11</v>
      </c>
      <c r="B97" s="47" t="s">
        <v>105</v>
      </c>
      <c r="C97" s="47" t="s">
        <v>106</v>
      </c>
      <c r="D97" s="45" t="s">
        <v>273</v>
      </c>
      <c r="E97" s="45" t="s">
        <v>276</v>
      </c>
      <c r="F97" s="45" t="s">
        <v>705</v>
      </c>
      <c r="G97" s="34">
        <f t="shared" si="100"/>
        <v>0</v>
      </c>
      <c r="H97" s="35">
        <f t="shared" si="101"/>
        <v>15</v>
      </c>
      <c r="I97" s="35">
        <f t="shared" si="102"/>
        <v>8</v>
      </c>
      <c r="J97" s="36" t="str">
        <f t="shared" si="103"/>
        <v>11Moto Club - MA15</v>
      </c>
      <c r="K97" s="36" t="str">
        <f t="shared" si="104"/>
        <v>11Moto Club - MA8</v>
      </c>
      <c r="L97" s="37">
        <f>VLOOKUP(A97,'JOGOS BASE'!A:E,4,0)</f>
        <v>48</v>
      </c>
      <c r="M97" s="37">
        <f>VLOOKUP(A97,'JOGOS BASE'!A:E,5,0)</f>
        <v>51</v>
      </c>
      <c r="N97" s="38" t="str">
        <f t="shared" si="105"/>
        <v>I</v>
      </c>
      <c r="O97" s="37">
        <f t="shared" si="106"/>
        <v>0</v>
      </c>
      <c r="P97" s="37">
        <f t="shared" si="107"/>
        <v>51</v>
      </c>
      <c r="Q97" s="37">
        <f t="shared" si="108"/>
        <v>48</v>
      </c>
      <c r="R97" s="37">
        <f t="shared" si="109"/>
        <v>0</v>
      </c>
    </row>
    <row r="98" spans="1:18" ht="20.399999999999999">
      <c r="A98" s="15">
        <v>11</v>
      </c>
      <c r="B98" s="47" t="s">
        <v>278</v>
      </c>
      <c r="C98" s="47" t="s">
        <v>111</v>
      </c>
      <c r="D98" s="45" t="s">
        <v>273</v>
      </c>
      <c r="E98" s="45" t="s">
        <v>706</v>
      </c>
      <c r="F98" s="45" t="s">
        <v>707</v>
      </c>
      <c r="G98" s="34">
        <f t="shared" si="100"/>
        <v>20</v>
      </c>
      <c r="H98" s="35">
        <f t="shared" si="101"/>
        <v>17</v>
      </c>
      <c r="I98" s="35">
        <f t="shared" si="102"/>
        <v>5</v>
      </c>
      <c r="J98" s="36" t="str">
        <f t="shared" si="103"/>
        <v>11Moto Club - MA17</v>
      </c>
      <c r="K98" s="36" t="str">
        <f t="shared" si="104"/>
        <v>11Moto Club - MA5</v>
      </c>
      <c r="L98" s="37">
        <f>VLOOKUP(A98,'JOGOS BASE'!A:E,4,0)</f>
        <v>48</v>
      </c>
      <c r="M98" s="37">
        <f>VLOOKUP(A98,'JOGOS BASE'!A:E,5,0)</f>
        <v>51</v>
      </c>
      <c r="N98" s="38" t="str">
        <f t="shared" si="105"/>
        <v>2</v>
      </c>
      <c r="O98" s="37">
        <f t="shared" si="106"/>
        <v>0</v>
      </c>
      <c r="P98" s="37">
        <f t="shared" si="107"/>
        <v>31</v>
      </c>
      <c r="Q98" s="37">
        <f t="shared" si="108"/>
        <v>48</v>
      </c>
      <c r="R98" s="37">
        <f t="shared" si="109"/>
        <v>20</v>
      </c>
    </row>
    <row r="99" spans="1:18" ht="20.399999999999999">
      <c r="A99" s="15">
        <v>11</v>
      </c>
      <c r="B99" s="47" t="s">
        <v>278</v>
      </c>
      <c r="C99" s="47" t="s">
        <v>111</v>
      </c>
      <c r="D99" s="45" t="s">
        <v>273</v>
      </c>
      <c r="E99" s="45" t="s">
        <v>274</v>
      </c>
      <c r="F99" s="45" t="s">
        <v>708</v>
      </c>
      <c r="G99" s="34">
        <f t="shared" si="100"/>
        <v>20</v>
      </c>
      <c r="H99" s="35">
        <f t="shared" si="101"/>
        <v>19</v>
      </c>
      <c r="I99" s="35">
        <f t="shared" si="102"/>
        <v>9</v>
      </c>
      <c r="J99" s="36" t="str">
        <f t="shared" si="103"/>
        <v>11Moto Club - MA19</v>
      </c>
      <c r="K99" s="36" t="str">
        <f t="shared" si="104"/>
        <v>11Moto Club - MA9</v>
      </c>
      <c r="L99" s="37">
        <f>VLOOKUP(A99,'JOGOS BASE'!A:E,4,0)</f>
        <v>48</v>
      </c>
      <c r="M99" s="37">
        <f>VLOOKUP(A99,'JOGOS BASE'!A:E,5,0)</f>
        <v>51</v>
      </c>
      <c r="N99" s="38" t="str">
        <f t="shared" si="105"/>
        <v>2</v>
      </c>
      <c r="O99" s="37">
        <f t="shared" si="106"/>
        <v>0</v>
      </c>
      <c r="P99" s="37">
        <f t="shared" si="107"/>
        <v>31</v>
      </c>
      <c r="Q99" s="37">
        <f t="shared" si="108"/>
        <v>48</v>
      </c>
      <c r="R99" s="37">
        <f t="shared" si="109"/>
        <v>20</v>
      </c>
    </row>
    <row r="100" spans="1:18" ht="20.399999999999999">
      <c r="A100" s="15">
        <v>11</v>
      </c>
      <c r="B100" s="47" t="s">
        <v>584</v>
      </c>
      <c r="C100" s="47" t="s">
        <v>111</v>
      </c>
      <c r="D100" s="45" t="s">
        <v>273</v>
      </c>
      <c r="E100" s="45" t="s">
        <v>279</v>
      </c>
      <c r="F100" s="45" t="s">
        <v>280</v>
      </c>
      <c r="G100" s="34">
        <f t="shared" si="100"/>
        <v>29</v>
      </c>
      <c r="H100" s="35">
        <f t="shared" si="101"/>
        <v>16</v>
      </c>
      <c r="I100" s="35">
        <f t="shared" si="102"/>
        <v>6</v>
      </c>
      <c r="J100" s="36" t="str">
        <f t="shared" si="103"/>
        <v>11Moto Club - MA16</v>
      </c>
      <c r="K100" s="36" t="str">
        <f t="shared" si="104"/>
        <v>11Moto Club - MA6</v>
      </c>
      <c r="L100" s="37">
        <f>VLOOKUP(A100,'JOGOS BASE'!A:E,4,0)</f>
        <v>48</v>
      </c>
      <c r="M100" s="37">
        <f>VLOOKUP(A100,'JOGOS BASE'!A:E,5,0)</f>
        <v>51</v>
      </c>
      <c r="N100" s="38" t="str">
        <f t="shared" si="105"/>
        <v>2</v>
      </c>
      <c r="O100" s="37">
        <f t="shared" si="106"/>
        <v>0</v>
      </c>
      <c r="P100" s="37">
        <f t="shared" si="107"/>
        <v>22</v>
      </c>
      <c r="Q100" s="37">
        <f t="shared" si="108"/>
        <v>48</v>
      </c>
      <c r="R100" s="37">
        <f t="shared" si="109"/>
        <v>29</v>
      </c>
    </row>
    <row r="101" spans="1:18" ht="20.399999999999999">
      <c r="A101" s="15">
        <v>12</v>
      </c>
      <c r="B101" s="47" t="s">
        <v>364</v>
      </c>
      <c r="C101" s="47" t="s">
        <v>141</v>
      </c>
      <c r="D101" s="45" t="s">
        <v>381</v>
      </c>
      <c r="E101" s="45" t="s">
        <v>728</v>
      </c>
      <c r="F101" s="45" t="s">
        <v>729</v>
      </c>
      <c r="G101" s="34">
        <f t="shared" ref="G101:G108" si="110">VALUE(LEFT(B101,2))</f>
        <v>34</v>
      </c>
      <c r="H101" s="35">
        <f t="shared" ref="H101:H108" si="111">IF(VALUE(LEFT(E101,2))&lt;10,VALUE(LEFT(E101,1)),VALUE(LEFT(E101,2)))</f>
        <v>18</v>
      </c>
      <c r="I101" s="35">
        <f t="shared" ref="I101:I108" si="112">IF(VALUE(LEFT(F101,2))&lt;10,VALUE(LEFT(F101,1)),VALUE(LEFT(F101,2)))</f>
        <v>5</v>
      </c>
      <c r="J101" s="36" t="str">
        <f t="shared" ref="J101:J108" si="113">$A101&amp;$D101&amp;H101</f>
        <v>12Viana - MA18</v>
      </c>
      <c r="K101" s="36" t="str">
        <f t="shared" ref="K101:K108" si="114">$A101&amp;$D101&amp;I101</f>
        <v>12Viana - MA5</v>
      </c>
      <c r="L101" s="37">
        <f>VLOOKUP(A101,'JOGOS BASE'!A:E,4,0)</f>
        <v>47</v>
      </c>
      <c r="M101" s="37">
        <f>VLOOKUP(A101,'JOGOS BASE'!A:E,5,0)</f>
        <v>52</v>
      </c>
      <c r="N101" s="38" t="str">
        <f t="shared" ref="N101:N108" si="115">LEFT(C101,1)</f>
        <v>1</v>
      </c>
      <c r="O101" s="37">
        <f t="shared" ref="O101:O108" si="116">IF(N101="1",L101-G101,0)</f>
        <v>13</v>
      </c>
      <c r="P101" s="37">
        <f t="shared" ref="P101:P108" si="117">IF(N101="1",M101,IF(OR(N101="2",N101="I"),M101-G101,0))</f>
        <v>52</v>
      </c>
      <c r="Q101" s="37">
        <f t="shared" ref="Q101:Q108" si="118">IF(N101="1",G101,L101)</f>
        <v>34</v>
      </c>
      <c r="R101" s="37">
        <f t="shared" ref="R101:R108" si="119">IF(OR(N101="1",N101="I"),0,G101)</f>
        <v>0</v>
      </c>
    </row>
    <row r="102" spans="1:18" ht="20.399999999999999">
      <c r="A102" s="15">
        <v>12</v>
      </c>
      <c r="B102" s="47" t="s">
        <v>159</v>
      </c>
      <c r="C102" s="47" t="s">
        <v>111</v>
      </c>
      <c r="D102" s="45" t="s">
        <v>381</v>
      </c>
      <c r="E102" s="45" t="s">
        <v>730</v>
      </c>
      <c r="F102" s="45" t="s">
        <v>592</v>
      </c>
      <c r="G102" s="34">
        <f t="shared" si="110"/>
        <v>43</v>
      </c>
      <c r="H102" s="35">
        <f t="shared" si="111"/>
        <v>17</v>
      </c>
      <c r="I102" s="35">
        <f t="shared" si="112"/>
        <v>10</v>
      </c>
      <c r="J102" s="36" t="str">
        <f t="shared" si="113"/>
        <v>12Viana - MA17</v>
      </c>
      <c r="K102" s="36" t="str">
        <f t="shared" si="114"/>
        <v>12Viana - MA10</v>
      </c>
      <c r="L102" s="37">
        <f>VLOOKUP(A102,'JOGOS BASE'!A:E,4,0)</f>
        <v>47</v>
      </c>
      <c r="M102" s="37">
        <f>VLOOKUP(A102,'JOGOS BASE'!A:E,5,0)</f>
        <v>52</v>
      </c>
      <c r="N102" s="38" t="str">
        <f t="shared" si="115"/>
        <v>2</v>
      </c>
      <c r="O102" s="37">
        <f t="shared" si="116"/>
        <v>0</v>
      </c>
      <c r="P102" s="37">
        <f t="shared" si="117"/>
        <v>9</v>
      </c>
      <c r="Q102" s="37">
        <f t="shared" si="118"/>
        <v>47</v>
      </c>
      <c r="R102" s="37">
        <f t="shared" si="119"/>
        <v>43</v>
      </c>
    </row>
    <row r="103" spans="1:18" ht="20.399999999999999">
      <c r="A103" s="15">
        <v>12</v>
      </c>
      <c r="B103" s="47" t="s">
        <v>731</v>
      </c>
      <c r="C103" s="47" t="s">
        <v>111</v>
      </c>
      <c r="D103" s="45" t="s">
        <v>381</v>
      </c>
      <c r="E103" s="45" t="s">
        <v>732</v>
      </c>
      <c r="F103" s="45" t="s">
        <v>733</v>
      </c>
      <c r="G103" s="34">
        <f t="shared" si="110"/>
        <v>0</v>
      </c>
      <c r="H103" s="35">
        <f t="shared" si="111"/>
        <v>15</v>
      </c>
      <c r="I103" s="35">
        <f t="shared" si="112"/>
        <v>6</v>
      </c>
      <c r="J103" s="36" t="str">
        <f t="shared" si="113"/>
        <v>12Viana - MA15</v>
      </c>
      <c r="K103" s="36" t="str">
        <f t="shared" si="114"/>
        <v>12Viana - MA6</v>
      </c>
      <c r="L103" s="37">
        <f>VLOOKUP(A103,'JOGOS BASE'!A:E,4,0)</f>
        <v>47</v>
      </c>
      <c r="M103" s="37">
        <f>VLOOKUP(A103,'JOGOS BASE'!A:E,5,0)</f>
        <v>52</v>
      </c>
      <c r="N103" s="38" t="str">
        <f t="shared" si="115"/>
        <v>2</v>
      </c>
      <c r="O103" s="37">
        <f t="shared" si="116"/>
        <v>0</v>
      </c>
      <c r="P103" s="37">
        <f t="shared" si="117"/>
        <v>52</v>
      </c>
      <c r="Q103" s="37">
        <f t="shared" si="118"/>
        <v>47</v>
      </c>
      <c r="R103" s="37">
        <f t="shared" si="119"/>
        <v>0</v>
      </c>
    </row>
    <row r="104" spans="1:18" ht="20.399999999999999">
      <c r="A104" s="15">
        <v>12</v>
      </c>
      <c r="B104" s="47" t="s">
        <v>420</v>
      </c>
      <c r="C104" s="47" t="s">
        <v>111</v>
      </c>
      <c r="D104" s="45" t="s">
        <v>260</v>
      </c>
      <c r="E104" s="45" t="s">
        <v>734</v>
      </c>
      <c r="F104" s="45" t="s">
        <v>735</v>
      </c>
      <c r="G104" s="34">
        <f t="shared" si="110"/>
        <v>16</v>
      </c>
      <c r="H104" s="35">
        <f t="shared" si="111"/>
        <v>16</v>
      </c>
      <c r="I104" s="35">
        <f t="shared" si="112"/>
        <v>6</v>
      </c>
      <c r="J104" s="36" t="str">
        <f t="shared" si="113"/>
        <v>12Maranhão - MA16</v>
      </c>
      <c r="K104" s="36" t="str">
        <f t="shared" si="114"/>
        <v>12Maranhão - MA6</v>
      </c>
      <c r="L104" s="37">
        <f>VLOOKUP(A104,'JOGOS BASE'!A:E,4,0)</f>
        <v>47</v>
      </c>
      <c r="M104" s="37">
        <f>VLOOKUP(A104,'JOGOS BASE'!A:E,5,0)</f>
        <v>52</v>
      </c>
      <c r="N104" s="38" t="str">
        <f t="shared" si="115"/>
        <v>2</v>
      </c>
      <c r="O104" s="37">
        <f t="shared" si="116"/>
        <v>0</v>
      </c>
      <c r="P104" s="37">
        <f t="shared" si="117"/>
        <v>36</v>
      </c>
      <c r="Q104" s="37">
        <f t="shared" si="118"/>
        <v>47</v>
      </c>
      <c r="R104" s="37">
        <f t="shared" si="119"/>
        <v>16</v>
      </c>
    </row>
    <row r="105" spans="1:18" ht="20.399999999999999">
      <c r="A105" s="15">
        <v>12</v>
      </c>
      <c r="B105" s="47" t="s">
        <v>420</v>
      </c>
      <c r="C105" s="47" t="s">
        <v>111</v>
      </c>
      <c r="D105" s="45" t="s">
        <v>260</v>
      </c>
      <c r="E105" s="45" t="s">
        <v>267</v>
      </c>
      <c r="F105" s="45" t="s">
        <v>264</v>
      </c>
      <c r="G105" s="34">
        <f t="shared" si="110"/>
        <v>16</v>
      </c>
      <c r="H105" s="35">
        <f t="shared" si="111"/>
        <v>20</v>
      </c>
      <c r="I105" s="35">
        <f t="shared" si="112"/>
        <v>10</v>
      </c>
      <c r="J105" s="36" t="str">
        <f t="shared" si="113"/>
        <v>12Maranhão - MA20</v>
      </c>
      <c r="K105" s="36" t="str">
        <f t="shared" si="114"/>
        <v>12Maranhão - MA10</v>
      </c>
      <c r="L105" s="37">
        <f>VLOOKUP(A105,'JOGOS BASE'!A:E,4,0)</f>
        <v>47</v>
      </c>
      <c r="M105" s="37">
        <f>VLOOKUP(A105,'JOGOS BASE'!A:E,5,0)</f>
        <v>52</v>
      </c>
      <c r="N105" s="38" t="str">
        <f t="shared" si="115"/>
        <v>2</v>
      </c>
      <c r="O105" s="37">
        <f t="shared" si="116"/>
        <v>0</v>
      </c>
      <c r="P105" s="37">
        <f t="shared" si="117"/>
        <v>36</v>
      </c>
      <c r="Q105" s="37">
        <f t="shared" si="118"/>
        <v>47</v>
      </c>
      <c r="R105" s="37">
        <f t="shared" si="119"/>
        <v>16</v>
      </c>
    </row>
    <row r="106" spans="1:18" ht="20.399999999999999">
      <c r="A106" s="15">
        <v>12</v>
      </c>
      <c r="B106" s="47" t="s">
        <v>278</v>
      </c>
      <c r="C106" s="47" t="s">
        <v>111</v>
      </c>
      <c r="D106" s="45" t="s">
        <v>260</v>
      </c>
      <c r="E106" s="45" t="s">
        <v>262</v>
      </c>
      <c r="F106" s="45" t="s">
        <v>406</v>
      </c>
      <c r="G106" s="34">
        <f t="shared" si="110"/>
        <v>20</v>
      </c>
      <c r="H106" s="35">
        <f t="shared" si="111"/>
        <v>11</v>
      </c>
      <c r="I106" s="35">
        <f t="shared" si="112"/>
        <v>7</v>
      </c>
      <c r="J106" s="36" t="str">
        <f t="shared" si="113"/>
        <v>12Maranhão - MA11</v>
      </c>
      <c r="K106" s="36" t="str">
        <f t="shared" si="114"/>
        <v>12Maranhão - MA7</v>
      </c>
      <c r="L106" s="37">
        <f>VLOOKUP(A106,'JOGOS BASE'!A:E,4,0)</f>
        <v>47</v>
      </c>
      <c r="M106" s="37">
        <f>VLOOKUP(A106,'JOGOS BASE'!A:E,5,0)</f>
        <v>52</v>
      </c>
      <c r="N106" s="38" t="str">
        <f t="shared" si="115"/>
        <v>2</v>
      </c>
      <c r="O106" s="37">
        <f t="shared" si="116"/>
        <v>0</v>
      </c>
      <c r="P106" s="37">
        <f t="shared" si="117"/>
        <v>32</v>
      </c>
      <c r="Q106" s="37">
        <f t="shared" si="118"/>
        <v>47</v>
      </c>
      <c r="R106" s="37">
        <f t="shared" si="119"/>
        <v>20</v>
      </c>
    </row>
    <row r="107" spans="1:18" ht="20.399999999999999">
      <c r="A107" s="15">
        <v>12</v>
      </c>
      <c r="B107" s="47" t="s">
        <v>278</v>
      </c>
      <c r="C107" s="47" t="s">
        <v>111</v>
      </c>
      <c r="D107" s="45" t="s">
        <v>260</v>
      </c>
      <c r="E107" s="45" t="s">
        <v>736</v>
      </c>
      <c r="F107" s="45" t="s">
        <v>268</v>
      </c>
      <c r="G107" s="34">
        <f t="shared" si="110"/>
        <v>20</v>
      </c>
      <c r="H107" s="35">
        <f t="shared" si="111"/>
        <v>21</v>
      </c>
      <c r="I107" s="35">
        <f t="shared" si="112"/>
        <v>22</v>
      </c>
      <c r="J107" s="36" t="str">
        <f t="shared" si="113"/>
        <v>12Maranhão - MA21</v>
      </c>
      <c r="K107" s="36" t="str">
        <f t="shared" si="114"/>
        <v>12Maranhão - MA22</v>
      </c>
      <c r="L107" s="37">
        <f>VLOOKUP(A107,'JOGOS BASE'!A:E,4,0)</f>
        <v>47</v>
      </c>
      <c r="M107" s="37">
        <f>VLOOKUP(A107,'JOGOS BASE'!A:E,5,0)</f>
        <v>52</v>
      </c>
      <c r="N107" s="38" t="str">
        <f t="shared" si="115"/>
        <v>2</v>
      </c>
      <c r="O107" s="37">
        <f t="shared" si="116"/>
        <v>0</v>
      </c>
      <c r="P107" s="37">
        <f t="shared" si="117"/>
        <v>32</v>
      </c>
      <c r="Q107" s="37">
        <f t="shared" si="118"/>
        <v>47</v>
      </c>
      <c r="R107" s="37">
        <f t="shared" si="119"/>
        <v>20</v>
      </c>
    </row>
    <row r="108" spans="1:18" ht="20.399999999999999">
      <c r="A108" s="15">
        <v>12</v>
      </c>
      <c r="B108" s="47" t="s">
        <v>731</v>
      </c>
      <c r="C108" s="47" t="s">
        <v>111</v>
      </c>
      <c r="D108" s="45" t="s">
        <v>260</v>
      </c>
      <c r="E108" s="45" t="s">
        <v>737</v>
      </c>
      <c r="F108" s="45" t="s">
        <v>738</v>
      </c>
      <c r="G108" s="34">
        <f t="shared" si="110"/>
        <v>0</v>
      </c>
      <c r="H108" s="35">
        <f t="shared" si="111"/>
        <v>18</v>
      </c>
      <c r="I108" s="35">
        <f t="shared" si="112"/>
        <v>8</v>
      </c>
      <c r="J108" s="36" t="str">
        <f t="shared" si="113"/>
        <v>12Maranhão - MA18</v>
      </c>
      <c r="K108" s="36" t="str">
        <f t="shared" si="114"/>
        <v>12Maranhão - MA8</v>
      </c>
      <c r="L108" s="37">
        <f>VLOOKUP(A108,'JOGOS BASE'!A:E,4,0)</f>
        <v>47</v>
      </c>
      <c r="M108" s="37">
        <f>VLOOKUP(A108,'JOGOS BASE'!A:E,5,0)</f>
        <v>52</v>
      </c>
      <c r="N108" s="38" t="str">
        <f t="shared" si="115"/>
        <v>2</v>
      </c>
      <c r="O108" s="37">
        <f t="shared" si="116"/>
        <v>0</v>
      </c>
      <c r="P108" s="37">
        <f t="shared" si="117"/>
        <v>52</v>
      </c>
      <c r="Q108" s="37">
        <f t="shared" si="118"/>
        <v>47</v>
      </c>
      <c r="R108" s="37">
        <f t="shared" si="119"/>
        <v>0</v>
      </c>
    </row>
    <row r="109" spans="1:18" ht="20.399999999999999">
      <c r="A109" s="15">
        <v>13</v>
      </c>
      <c r="B109" s="47" t="s">
        <v>105</v>
      </c>
      <c r="C109" s="47" t="s">
        <v>106</v>
      </c>
      <c r="D109" s="45" t="s">
        <v>273</v>
      </c>
      <c r="E109" s="45" t="s">
        <v>744</v>
      </c>
      <c r="F109" s="45" t="s">
        <v>745</v>
      </c>
      <c r="G109" s="34">
        <f t="shared" ref="G109:G118" si="120">VALUE(LEFT(B109,2))</f>
        <v>0</v>
      </c>
      <c r="H109" s="35">
        <f t="shared" ref="H109:H118" si="121">IF(VALUE(LEFT(E109,2))&lt;10,VALUE(LEFT(E109,1)),VALUE(LEFT(E109,2)))</f>
        <v>21</v>
      </c>
      <c r="I109" s="35">
        <f t="shared" ref="I109:I118" si="122">IF(VALUE(LEFT(F109,2))&lt;10,VALUE(LEFT(F109,1)),VALUE(LEFT(F109,2)))</f>
        <v>7</v>
      </c>
      <c r="J109" s="36" t="str">
        <f t="shared" ref="J109:J118" si="123">$A109&amp;$D109&amp;H109</f>
        <v>13Moto Club - MA21</v>
      </c>
      <c r="K109" s="36" t="str">
        <f t="shared" ref="K109:K118" si="124">$A109&amp;$D109&amp;I109</f>
        <v>13Moto Club - MA7</v>
      </c>
      <c r="L109" s="37">
        <f>VLOOKUP(A109,'JOGOS BASE'!A:E,4,0)</f>
        <v>50</v>
      </c>
      <c r="M109" s="37">
        <f>VLOOKUP(A109,'JOGOS BASE'!A:E,5,0)</f>
        <v>51</v>
      </c>
      <c r="N109" s="38" t="str">
        <f t="shared" ref="N109:N118" si="125">LEFT(C109,1)</f>
        <v>I</v>
      </c>
      <c r="O109" s="37">
        <f t="shared" ref="O109:O118" si="126">IF(N109="1",L109-G109,0)</f>
        <v>0</v>
      </c>
      <c r="P109" s="37">
        <f t="shared" ref="P109:P118" si="127">IF(N109="1",M109,IF(OR(N109="2",N109="I"),M109-G109,0))</f>
        <v>51</v>
      </c>
      <c r="Q109" s="37">
        <f t="shared" ref="Q109:Q118" si="128">IF(N109="1",G109,L109)</f>
        <v>50</v>
      </c>
      <c r="R109" s="37">
        <f t="shared" ref="R109:R118" si="129">IF(OR(N109="1",N109="I"),0,G109)</f>
        <v>0</v>
      </c>
    </row>
    <row r="110" spans="1:18" ht="20.399999999999999">
      <c r="A110" s="15">
        <v>13</v>
      </c>
      <c r="B110" s="47" t="s">
        <v>105</v>
      </c>
      <c r="C110" s="47" t="s">
        <v>106</v>
      </c>
      <c r="D110" s="45" t="s">
        <v>273</v>
      </c>
      <c r="E110" s="45" t="s">
        <v>279</v>
      </c>
      <c r="F110" s="45" t="s">
        <v>280</v>
      </c>
      <c r="G110" s="34">
        <f t="shared" si="120"/>
        <v>0</v>
      </c>
      <c r="H110" s="35">
        <f t="shared" si="121"/>
        <v>16</v>
      </c>
      <c r="I110" s="35">
        <f t="shared" si="122"/>
        <v>6</v>
      </c>
      <c r="J110" s="36" t="str">
        <f t="shared" si="123"/>
        <v>13Moto Club - MA16</v>
      </c>
      <c r="K110" s="36" t="str">
        <f t="shared" si="124"/>
        <v>13Moto Club - MA6</v>
      </c>
      <c r="L110" s="37">
        <f>VLOOKUP(A110,'JOGOS BASE'!A:E,4,0)</f>
        <v>50</v>
      </c>
      <c r="M110" s="37">
        <f>VLOOKUP(A110,'JOGOS BASE'!A:E,5,0)</f>
        <v>51</v>
      </c>
      <c r="N110" s="38" t="str">
        <f t="shared" si="125"/>
        <v>I</v>
      </c>
      <c r="O110" s="37">
        <f t="shared" si="126"/>
        <v>0</v>
      </c>
      <c r="P110" s="37">
        <f t="shared" si="127"/>
        <v>51</v>
      </c>
      <c r="Q110" s="37">
        <f t="shared" si="128"/>
        <v>50</v>
      </c>
      <c r="R110" s="37">
        <f t="shared" si="129"/>
        <v>0</v>
      </c>
    </row>
    <row r="111" spans="1:18" ht="20.399999999999999">
      <c r="A111" s="15">
        <v>13</v>
      </c>
      <c r="B111" s="47" t="s">
        <v>105</v>
      </c>
      <c r="C111" s="47" t="s">
        <v>106</v>
      </c>
      <c r="D111" s="45" t="s">
        <v>273</v>
      </c>
      <c r="E111" s="45" t="s">
        <v>706</v>
      </c>
      <c r="F111" s="45" t="s">
        <v>746</v>
      </c>
      <c r="G111" s="34">
        <f t="shared" si="120"/>
        <v>0</v>
      </c>
      <c r="H111" s="35">
        <f t="shared" si="121"/>
        <v>17</v>
      </c>
      <c r="I111" s="35">
        <f t="shared" si="122"/>
        <v>10</v>
      </c>
      <c r="J111" s="36" t="str">
        <f t="shared" si="123"/>
        <v>13Moto Club - MA17</v>
      </c>
      <c r="K111" s="36" t="str">
        <f t="shared" si="124"/>
        <v>13Moto Club - MA10</v>
      </c>
      <c r="L111" s="37">
        <f>VLOOKUP(A111,'JOGOS BASE'!A:E,4,0)</f>
        <v>50</v>
      </c>
      <c r="M111" s="37">
        <f>VLOOKUP(A111,'JOGOS BASE'!A:E,5,0)</f>
        <v>51</v>
      </c>
      <c r="N111" s="38" t="str">
        <f t="shared" si="125"/>
        <v>I</v>
      </c>
      <c r="O111" s="37">
        <f t="shared" si="126"/>
        <v>0</v>
      </c>
      <c r="P111" s="37">
        <f t="shared" si="127"/>
        <v>51</v>
      </c>
      <c r="Q111" s="37">
        <f t="shared" si="128"/>
        <v>50</v>
      </c>
      <c r="R111" s="37">
        <f t="shared" si="129"/>
        <v>0</v>
      </c>
    </row>
    <row r="112" spans="1:18" ht="20.399999999999999">
      <c r="A112" s="15">
        <v>13</v>
      </c>
      <c r="B112" s="47" t="s">
        <v>621</v>
      </c>
      <c r="C112" s="47" t="s">
        <v>111</v>
      </c>
      <c r="D112" s="45" t="s">
        <v>273</v>
      </c>
      <c r="E112" s="45" t="s">
        <v>747</v>
      </c>
      <c r="F112" s="45" t="s">
        <v>748</v>
      </c>
      <c r="G112" s="34">
        <f t="shared" si="120"/>
        <v>19</v>
      </c>
      <c r="H112" s="35">
        <f t="shared" si="121"/>
        <v>15</v>
      </c>
      <c r="I112" s="35">
        <f t="shared" si="122"/>
        <v>8</v>
      </c>
      <c r="J112" s="36" t="str">
        <f t="shared" si="123"/>
        <v>13Moto Club - MA15</v>
      </c>
      <c r="K112" s="36" t="str">
        <f t="shared" si="124"/>
        <v>13Moto Club - MA8</v>
      </c>
      <c r="L112" s="37">
        <f>VLOOKUP(A112,'JOGOS BASE'!A:E,4,0)</f>
        <v>50</v>
      </c>
      <c r="M112" s="37">
        <f>VLOOKUP(A112,'JOGOS BASE'!A:E,5,0)</f>
        <v>51</v>
      </c>
      <c r="N112" s="38" t="str">
        <f t="shared" si="125"/>
        <v>2</v>
      </c>
      <c r="O112" s="37">
        <f t="shared" si="126"/>
        <v>0</v>
      </c>
      <c r="P112" s="37">
        <f t="shared" si="127"/>
        <v>32</v>
      </c>
      <c r="Q112" s="37">
        <f t="shared" si="128"/>
        <v>50</v>
      </c>
      <c r="R112" s="37">
        <f t="shared" si="129"/>
        <v>19</v>
      </c>
    </row>
    <row r="113" spans="1:18" ht="20.399999999999999">
      <c r="A113" s="15">
        <v>13</v>
      </c>
      <c r="B113" s="47" t="s">
        <v>281</v>
      </c>
      <c r="C113" s="47" t="s">
        <v>111</v>
      </c>
      <c r="D113" s="45" t="s">
        <v>273</v>
      </c>
      <c r="E113" s="45" t="s">
        <v>274</v>
      </c>
      <c r="F113" s="45" t="s">
        <v>749</v>
      </c>
      <c r="G113" s="34">
        <f t="shared" si="120"/>
        <v>24</v>
      </c>
      <c r="H113" s="35">
        <f t="shared" si="121"/>
        <v>19</v>
      </c>
      <c r="I113" s="35">
        <f t="shared" si="122"/>
        <v>11</v>
      </c>
      <c r="J113" s="36" t="str">
        <f t="shared" si="123"/>
        <v>13Moto Club - MA19</v>
      </c>
      <c r="K113" s="36" t="str">
        <f t="shared" si="124"/>
        <v>13Moto Club - MA11</v>
      </c>
      <c r="L113" s="37">
        <f>VLOOKUP(A113,'JOGOS BASE'!A:E,4,0)</f>
        <v>50</v>
      </c>
      <c r="M113" s="37">
        <f>VLOOKUP(A113,'JOGOS BASE'!A:E,5,0)</f>
        <v>51</v>
      </c>
      <c r="N113" s="38" t="str">
        <f t="shared" si="125"/>
        <v>2</v>
      </c>
      <c r="O113" s="37">
        <f t="shared" si="126"/>
        <v>0</v>
      </c>
      <c r="P113" s="37">
        <f t="shared" si="127"/>
        <v>27</v>
      </c>
      <c r="Q113" s="37">
        <f t="shared" si="128"/>
        <v>50</v>
      </c>
      <c r="R113" s="37">
        <f t="shared" si="129"/>
        <v>24</v>
      </c>
    </row>
    <row r="114" spans="1:18" ht="20.399999999999999">
      <c r="A114" s="15">
        <v>13</v>
      </c>
      <c r="B114" s="47" t="s">
        <v>105</v>
      </c>
      <c r="C114" s="47" t="s">
        <v>106</v>
      </c>
      <c r="D114" s="45" t="s">
        <v>388</v>
      </c>
      <c r="E114" s="45" t="s">
        <v>750</v>
      </c>
      <c r="F114" s="45" t="s">
        <v>751</v>
      </c>
      <c r="G114" s="34">
        <f t="shared" si="120"/>
        <v>0</v>
      </c>
      <c r="H114" s="35">
        <f t="shared" si="121"/>
        <v>18</v>
      </c>
      <c r="I114" s="35">
        <f t="shared" si="122"/>
        <v>7</v>
      </c>
      <c r="J114" s="36" t="str">
        <f t="shared" si="123"/>
        <v>13Tuntum - MA18</v>
      </c>
      <c r="K114" s="36" t="str">
        <f t="shared" si="124"/>
        <v>13Tuntum - MA7</v>
      </c>
      <c r="L114" s="37">
        <f>VLOOKUP(A114,'JOGOS BASE'!A:E,4,0)</f>
        <v>50</v>
      </c>
      <c r="M114" s="37">
        <f>VLOOKUP(A114,'JOGOS BASE'!A:E,5,0)</f>
        <v>51</v>
      </c>
      <c r="N114" s="38" t="str">
        <f t="shared" si="125"/>
        <v>I</v>
      </c>
      <c r="O114" s="37">
        <f t="shared" si="126"/>
        <v>0</v>
      </c>
      <c r="P114" s="37">
        <f t="shared" si="127"/>
        <v>51</v>
      </c>
      <c r="Q114" s="37">
        <f t="shared" si="128"/>
        <v>50</v>
      </c>
      <c r="R114" s="37">
        <f t="shared" si="129"/>
        <v>0</v>
      </c>
    </row>
    <row r="115" spans="1:18" ht="20.399999999999999">
      <c r="A115" s="15">
        <v>13</v>
      </c>
      <c r="B115" s="47" t="s">
        <v>105</v>
      </c>
      <c r="C115" s="47" t="s">
        <v>106</v>
      </c>
      <c r="D115" s="45" t="s">
        <v>388</v>
      </c>
      <c r="E115" s="45" t="s">
        <v>752</v>
      </c>
      <c r="F115" s="45" t="s">
        <v>675</v>
      </c>
      <c r="G115" s="34">
        <f t="shared" si="120"/>
        <v>0</v>
      </c>
      <c r="H115" s="35">
        <f t="shared" si="121"/>
        <v>21</v>
      </c>
      <c r="I115" s="35">
        <f t="shared" si="122"/>
        <v>8</v>
      </c>
      <c r="J115" s="36" t="str">
        <f t="shared" si="123"/>
        <v>13Tuntum - MA21</v>
      </c>
      <c r="K115" s="36" t="str">
        <f t="shared" si="124"/>
        <v>13Tuntum - MA8</v>
      </c>
      <c r="L115" s="37">
        <f>VLOOKUP(A115,'JOGOS BASE'!A:E,4,0)</f>
        <v>50</v>
      </c>
      <c r="M115" s="37">
        <f>VLOOKUP(A115,'JOGOS BASE'!A:E,5,0)</f>
        <v>51</v>
      </c>
      <c r="N115" s="38" t="str">
        <f t="shared" si="125"/>
        <v>I</v>
      </c>
      <c r="O115" s="37">
        <f t="shared" si="126"/>
        <v>0</v>
      </c>
      <c r="P115" s="37">
        <f t="shared" si="127"/>
        <v>51</v>
      </c>
      <c r="Q115" s="37">
        <f t="shared" si="128"/>
        <v>50</v>
      </c>
      <c r="R115" s="37">
        <f t="shared" si="129"/>
        <v>0</v>
      </c>
    </row>
    <row r="116" spans="1:18" ht="20.399999999999999">
      <c r="A116" s="15">
        <v>13</v>
      </c>
      <c r="B116" s="47" t="s">
        <v>668</v>
      </c>
      <c r="C116" s="47" t="s">
        <v>111</v>
      </c>
      <c r="D116" s="45" t="s">
        <v>388</v>
      </c>
      <c r="E116" s="45" t="s">
        <v>753</v>
      </c>
      <c r="F116" s="45" t="s">
        <v>494</v>
      </c>
      <c r="G116" s="34">
        <f t="shared" si="120"/>
        <v>12</v>
      </c>
      <c r="H116" s="35">
        <f t="shared" si="121"/>
        <v>14</v>
      </c>
      <c r="I116" s="35">
        <f t="shared" si="122"/>
        <v>2</v>
      </c>
      <c r="J116" s="36" t="str">
        <f t="shared" si="123"/>
        <v>13Tuntum - MA14</v>
      </c>
      <c r="K116" s="36" t="str">
        <f t="shared" si="124"/>
        <v>13Tuntum - MA2</v>
      </c>
      <c r="L116" s="37">
        <f>VLOOKUP(A116,'JOGOS BASE'!A:E,4,0)</f>
        <v>50</v>
      </c>
      <c r="M116" s="37">
        <f>VLOOKUP(A116,'JOGOS BASE'!A:E,5,0)</f>
        <v>51</v>
      </c>
      <c r="N116" s="38" t="str">
        <f t="shared" si="125"/>
        <v>2</v>
      </c>
      <c r="O116" s="37">
        <f t="shared" si="126"/>
        <v>0</v>
      </c>
      <c r="P116" s="37">
        <f t="shared" si="127"/>
        <v>39</v>
      </c>
      <c r="Q116" s="37">
        <f t="shared" si="128"/>
        <v>50</v>
      </c>
      <c r="R116" s="37">
        <f t="shared" si="129"/>
        <v>12</v>
      </c>
    </row>
    <row r="117" spans="1:18" ht="20.399999999999999">
      <c r="A117" s="15">
        <v>13</v>
      </c>
      <c r="B117" s="47" t="s">
        <v>668</v>
      </c>
      <c r="C117" s="47" t="s">
        <v>111</v>
      </c>
      <c r="D117" s="45" t="s">
        <v>388</v>
      </c>
      <c r="E117" s="45" t="s">
        <v>491</v>
      </c>
      <c r="F117" s="45" t="s">
        <v>496</v>
      </c>
      <c r="G117" s="34">
        <f t="shared" si="120"/>
        <v>12</v>
      </c>
      <c r="H117" s="35">
        <f t="shared" si="121"/>
        <v>20</v>
      </c>
      <c r="I117" s="35">
        <f t="shared" si="122"/>
        <v>10</v>
      </c>
      <c r="J117" s="36" t="str">
        <f t="shared" si="123"/>
        <v>13Tuntum - MA20</v>
      </c>
      <c r="K117" s="36" t="str">
        <f t="shared" si="124"/>
        <v>13Tuntum - MA10</v>
      </c>
      <c r="L117" s="37">
        <f>VLOOKUP(A117,'JOGOS BASE'!A:E,4,0)</f>
        <v>50</v>
      </c>
      <c r="M117" s="37">
        <f>VLOOKUP(A117,'JOGOS BASE'!A:E,5,0)</f>
        <v>51</v>
      </c>
      <c r="N117" s="38" t="str">
        <f t="shared" si="125"/>
        <v>2</v>
      </c>
      <c r="O117" s="37">
        <f t="shared" si="126"/>
        <v>0</v>
      </c>
      <c r="P117" s="37">
        <f t="shared" si="127"/>
        <v>39</v>
      </c>
      <c r="Q117" s="37">
        <f t="shared" si="128"/>
        <v>50</v>
      </c>
      <c r="R117" s="37">
        <f t="shared" si="129"/>
        <v>12</v>
      </c>
    </row>
    <row r="118" spans="1:18" ht="20.399999999999999">
      <c r="A118" s="15">
        <v>13</v>
      </c>
      <c r="B118" s="47" t="s">
        <v>281</v>
      </c>
      <c r="C118" s="47" t="s">
        <v>111</v>
      </c>
      <c r="D118" s="45" t="s">
        <v>388</v>
      </c>
      <c r="E118" s="45" t="s">
        <v>754</v>
      </c>
      <c r="F118" s="45" t="s">
        <v>752</v>
      </c>
      <c r="G118" s="34">
        <f t="shared" si="120"/>
        <v>24</v>
      </c>
      <c r="H118" s="35">
        <f t="shared" si="121"/>
        <v>17</v>
      </c>
      <c r="I118" s="35">
        <f t="shared" si="122"/>
        <v>21</v>
      </c>
      <c r="J118" s="36" t="str">
        <f t="shared" si="123"/>
        <v>13Tuntum - MA17</v>
      </c>
      <c r="K118" s="36" t="str">
        <f t="shared" si="124"/>
        <v>13Tuntum - MA21</v>
      </c>
      <c r="L118" s="37">
        <f>VLOOKUP(A118,'JOGOS BASE'!A:E,4,0)</f>
        <v>50</v>
      </c>
      <c r="M118" s="37">
        <f>VLOOKUP(A118,'JOGOS BASE'!A:E,5,0)</f>
        <v>51</v>
      </c>
      <c r="N118" s="38" t="str">
        <f t="shared" si="125"/>
        <v>2</v>
      </c>
      <c r="O118" s="37">
        <f t="shared" si="126"/>
        <v>0</v>
      </c>
      <c r="P118" s="37">
        <f t="shared" si="127"/>
        <v>27</v>
      </c>
      <c r="Q118" s="37">
        <f t="shared" si="128"/>
        <v>50</v>
      </c>
      <c r="R118" s="37">
        <f t="shared" si="129"/>
        <v>24</v>
      </c>
    </row>
    <row r="119" spans="1:18" ht="20.399999999999999">
      <c r="A119" s="15">
        <v>14</v>
      </c>
      <c r="B119" s="47" t="s">
        <v>105</v>
      </c>
      <c r="C119" s="47" t="s">
        <v>106</v>
      </c>
      <c r="D119" s="45" t="s">
        <v>122</v>
      </c>
      <c r="E119" s="45" t="s">
        <v>763</v>
      </c>
      <c r="F119" s="45" t="s">
        <v>764</v>
      </c>
      <c r="G119" s="34">
        <f t="shared" ref="G119:G128" si="130">VALUE(LEFT(B119,2))</f>
        <v>0</v>
      </c>
      <c r="H119" s="35">
        <f t="shared" ref="H119:H128" si="131">IF(VALUE(LEFT(E119,2))&lt;10,VALUE(LEFT(E119,1)),VALUE(LEFT(E119,2)))</f>
        <v>13</v>
      </c>
      <c r="I119" s="35">
        <f t="shared" ref="I119:I128" si="132">IF(VALUE(LEFT(F119,2))&lt;10,VALUE(LEFT(F119,1)),VALUE(LEFT(F119,2)))</f>
        <v>3</v>
      </c>
      <c r="J119" s="36" t="str">
        <f t="shared" ref="J119:J128" si="133">$A119&amp;$D119&amp;H119</f>
        <v>14Sampaio Corrêa - MA13</v>
      </c>
      <c r="K119" s="36" t="str">
        <f t="shared" ref="K119:K128" si="134">$A119&amp;$D119&amp;I119</f>
        <v>14Sampaio Corrêa - MA3</v>
      </c>
      <c r="L119" s="37">
        <f>VLOOKUP(A119,'JOGOS BASE'!A:E,4,0)</f>
        <v>48</v>
      </c>
      <c r="M119" s="37">
        <f>VLOOKUP(A119,'JOGOS BASE'!A:E,5,0)</f>
        <v>49</v>
      </c>
      <c r="N119" s="38" t="str">
        <f t="shared" ref="N119:N128" si="135">LEFT(C119,1)</f>
        <v>I</v>
      </c>
      <c r="O119" s="37">
        <f t="shared" ref="O119:O128" si="136">IF(N119="1",L119-G119,0)</f>
        <v>0</v>
      </c>
      <c r="P119" s="37">
        <f t="shared" ref="P119:P128" si="137">IF(N119="1",M119,IF(OR(N119="2",N119="I"),M119-G119,0))</f>
        <v>49</v>
      </c>
      <c r="Q119" s="37">
        <f t="shared" ref="Q119:Q128" si="138">IF(N119="1",G119,L119)</f>
        <v>48</v>
      </c>
      <c r="R119" s="37">
        <f t="shared" ref="R119:R128" si="139">IF(OR(N119="1",N119="I"),0,G119)</f>
        <v>0</v>
      </c>
    </row>
    <row r="120" spans="1:18" ht="30.6">
      <c r="A120" s="15">
        <v>14</v>
      </c>
      <c r="B120" s="47" t="s">
        <v>420</v>
      </c>
      <c r="C120" s="47" t="s">
        <v>111</v>
      </c>
      <c r="D120" s="45" t="s">
        <v>122</v>
      </c>
      <c r="E120" s="45" t="s">
        <v>426</v>
      </c>
      <c r="F120" s="45" t="s">
        <v>427</v>
      </c>
      <c r="G120" s="34">
        <f t="shared" si="130"/>
        <v>16</v>
      </c>
      <c r="H120" s="35">
        <f t="shared" si="131"/>
        <v>17</v>
      </c>
      <c r="I120" s="35">
        <f t="shared" si="132"/>
        <v>11</v>
      </c>
      <c r="J120" s="36" t="str">
        <f t="shared" si="133"/>
        <v>14Sampaio Corrêa - MA17</v>
      </c>
      <c r="K120" s="36" t="str">
        <f t="shared" si="134"/>
        <v>14Sampaio Corrêa - MA11</v>
      </c>
      <c r="L120" s="37">
        <f>VLOOKUP(A120,'JOGOS BASE'!A:E,4,0)</f>
        <v>48</v>
      </c>
      <c r="M120" s="37">
        <f>VLOOKUP(A120,'JOGOS BASE'!A:E,5,0)</f>
        <v>49</v>
      </c>
      <c r="N120" s="38" t="str">
        <f t="shared" si="135"/>
        <v>2</v>
      </c>
      <c r="O120" s="37">
        <f t="shared" si="136"/>
        <v>0</v>
      </c>
      <c r="P120" s="37">
        <f t="shared" si="137"/>
        <v>33</v>
      </c>
      <c r="Q120" s="37">
        <f t="shared" si="138"/>
        <v>48</v>
      </c>
      <c r="R120" s="37">
        <f t="shared" si="139"/>
        <v>16</v>
      </c>
    </row>
    <row r="121" spans="1:18" ht="20.399999999999999">
      <c r="A121" s="15">
        <v>14</v>
      </c>
      <c r="B121" s="47" t="s">
        <v>420</v>
      </c>
      <c r="C121" s="47" t="s">
        <v>111</v>
      </c>
      <c r="D121" s="45" t="s">
        <v>122</v>
      </c>
      <c r="E121" s="45" t="s">
        <v>765</v>
      </c>
      <c r="F121" s="45" t="s">
        <v>598</v>
      </c>
      <c r="G121" s="34">
        <f t="shared" si="130"/>
        <v>16</v>
      </c>
      <c r="H121" s="35">
        <f t="shared" si="131"/>
        <v>16</v>
      </c>
      <c r="I121" s="35">
        <f t="shared" si="132"/>
        <v>15</v>
      </c>
      <c r="J121" s="36" t="str">
        <f t="shared" si="133"/>
        <v>14Sampaio Corrêa - MA16</v>
      </c>
      <c r="K121" s="36" t="str">
        <f t="shared" si="134"/>
        <v>14Sampaio Corrêa - MA15</v>
      </c>
      <c r="L121" s="37">
        <f>VLOOKUP(A121,'JOGOS BASE'!A:E,4,0)</f>
        <v>48</v>
      </c>
      <c r="M121" s="37">
        <f>VLOOKUP(A121,'JOGOS BASE'!A:E,5,0)</f>
        <v>49</v>
      </c>
      <c r="N121" s="38" t="str">
        <f t="shared" si="135"/>
        <v>2</v>
      </c>
      <c r="O121" s="37">
        <f t="shared" si="136"/>
        <v>0</v>
      </c>
      <c r="P121" s="37">
        <f t="shared" si="137"/>
        <v>33</v>
      </c>
      <c r="Q121" s="37">
        <f t="shared" si="138"/>
        <v>48</v>
      </c>
      <c r="R121" s="37">
        <f t="shared" si="139"/>
        <v>16</v>
      </c>
    </row>
    <row r="122" spans="1:18" ht="20.399999999999999">
      <c r="A122" s="15">
        <v>14</v>
      </c>
      <c r="B122" s="47" t="s">
        <v>359</v>
      </c>
      <c r="C122" s="47" t="s">
        <v>111</v>
      </c>
      <c r="D122" s="45" t="s">
        <v>122</v>
      </c>
      <c r="E122" s="45" t="s">
        <v>678</v>
      </c>
      <c r="F122" s="45" t="s">
        <v>766</v>
      </c>
      <c r="G122" s="34">
        <f t="shared" si="130"/>
        <v>28</v>
      </c>
      <c r="H122" s="35">
        <f t="shared" si="131"/>
        <v>18</v>
      </c>
      <c r="I122" s="35">
        <f t="shared" si="132"/>
        <v>10</v>
      </c>
      <c r="J122" s="36" t="str">
        <f t="shared" si="133"/>
        <v>14Sampaio Corrêa - MA18</v>
      </c>
      <c r="K122" s="36" t="str">
        <f t="shared" si="134"/>
        <v>14Sampaio Corrêa - MA10</v>
      </c>
      <c r="L122" s="37">
        <f>VLOOKUP(A122,'JOGOS BASE'!A:E,4,0)</f>
        <v>48</v>
      </c>
      <c r="M122" s="37">
        <f>VLOOKUP(A122,'JOGOS BASE'!A:E,5,0)</f>
        <v>49</v>
      </c>
      <c r="N122" s="38" t="str">
        <f t="shared" si="135"/>
        <v>2</v>
      </c>
      <c r="O122" s="37">
        <f t="shared" si="136"/>
        <v>0</v>
      </c>
      <c r="P122" s="37">
        <f t="shared" si="137"/>
        <v>21</v>
      </c>
      <c r="Q122" s="37">
        <f t="shared" si="138"/>
        <v>48</v>
      </c>
      <c r="R122" s="37">
        <f t="shared" si="139"/>
        <v>28</v>
      </c>
    </row>
    <row r="123" spans="1:18" ht="20.399999999999999">
      <c r="A123" s="15">
        <v>14</v>
      </c>
      <c r="B123" s="47" t="s">
        <v>767</v>
      </c>
      <c r="C123" s="47" t="s">
        <v>111</v>
      </c>
      <c r="D123" s="45" t="s">
        <v>122</v>
      </c>
      <c r="E123" s="45" t="s">
        <v>672</v>
      </c>
      <c r="F123" s="45" t="s">
        <v>599</v>
      </c>
      <c r="G123" s="34">
        <f t="shared" si="130"/>
        <v>39</v>
      </c>
      <c r="H123" s="35">
        <f t="shared" si="131"/>
        <v>20</v>
      </c>
      <c r="I123" s="35">
        <f t="shared" si="132"/>
        <v>8</v>
      </c>
      <c r="J123" s="36" t="str">
        <f t="shared" si="133"/>
        <v>14Sampaio Corrêa - MA20</v>
      </c>
      <c r="K123" s="36" t="str">
        <f t="shared" si="134"/>
        <v>14Sampaio Corrêa - MA8</v>
      </c>
      <c r="L123" s="37">
        <f>VLOOKUP(A123,'JOGOS BASE'!A:E,4,0)</f>
        <v>48</v>
      </c>
      <c r="M123" s="37">
        <f>VLOOKUP(A123,'JOGOS BASE'!A:E,5,0)</f>
        <v>49</v>
      </c>
      <c r="N123" s="38" t="str">
        <f t="shared" si="135"/>
        <v>2</v>
      </c>
      <c r="O123" s="37">
        <f t="shared" si="136"/>
        <v>0</v>
      </c>
      <c r="P123" s="37">
        <f t="shared" si="137"/>
        <v>10</v>
      </c>
      <c r="Q123" s="37">
        <f t="shared" si="138"/>
        <v>48</v>
      </c>
      <c r="R123" s="37">
        <f t="shared" si="139"/>
        <v>39</v>
      </c>
    </row>
    <row r="124" spans="1:18" ht="20.399999999999999">
      <c r="A124" s="15">
        <v>14</v>
      </c>
      <c r="B124" s="47" t="s">
        <v>105</v>
      </c>
      <c r="C124" s="47" t="s">
        <v>106</v>
      </c>
      <c r="D124" s="45" t="s">
        <v>368</v>
      </c>
      <c r="E124" s="45" t="s">
        <v>372</v>
      </c>
      <c r="F124" s="45" t="s">
        <v>380</v>
      </c>
      <c r="G124" s="34">
        <f t="shared" si="130"/>
        <v>0</v>
      </c>
      <c r="H124" s="35">
        <f t="shared" si="131"/>
        <v>13</v>
      </c>
      <c r="I124" s="35">
        <f t="shared" si="132"/>
        <v>2</v>
      </c>
      <c r="J124" s="36" t="str">
        <f t="shared" si="133"/>
        <v>14Pinheiro - MA13</v>
      </c>
      <c r="K124" s="36" t="str">
        <f t="shared" si="134"/>
        <v>14Pinheiro - MA2</v>
      </c>
      <c r="L124" s="37">
        <f>VLOOKUP(A124,'JOGOS BASE'!A:E,4,0)</f>
        <v>48</v>
      </c>
      <c r="M124" s="37">
        <f>VLOOKUP(A124,'JOGOS BASE'!A:E,5,0)</f>
        <v>49</v>
      </c>
      <c r="N124" s="38" t="str">
        <f t="shared" si="135"/>
        <v>I</v>
      </c>
      <c r="O124" s="37">
        <f t="shared" si="136"/>
        <v>0</v>
      </c>
      <c r="P124" s="37">
        <f t="shared" si="137"/>
        <v>49</v>
      </c>
      <c r="Q124" s="37">
        <f t="shared" si="138"/>
        <v>48</v>
      </c>
      <c r="R124" s="37">
        <f t="shared" si="139"/>
        <v>0</v>
      </c>
    </row>
    <row r="125" spans="1:18" ht="20.399999999999999">
      <c r="A125" s="15">
        <v>14</v>
      </c>
      <c r="B125" s="47" t="s">
        <v>105</v>
      </c>
      <c r="C125" s="47" t="s">
        <v>106</v>
      </c>
      <c r="D125" s="45" t="s">
        <v>368</v>
      </c>
      <c r="E125" s="45" t="s">
        <v>768</v>
      </c>
      <c r="F125" s="45" t="s">
        <v>377</v>
      </c>
      <c r="G125" s="34">
        <f t="shared" si="130"/>
        <v>0</v>
      </c>
      <c r="H125" s="35">
        <f t="shared" si="131"/>
        <v>17</v>
      </c>
      <c r="I125" s="35">
        <f t="shared" si="132"/>
        <v>6</v>
      </c>
      <c r="J125" s="36" t="str">
        <f t="shared" si="133"/>
        <v>14Pinheiro - MA17</v>
      </c>
      <c r="K125" s="36" t="str">
        <f t="shared" si="134"/>
        <v>14Pinheiro - MA6</v>
      </c>
      <c r="L125" s="37">
        <f>VLOOKUP(A125,'JOGOS BASE'!A:E,4,0)</f>
        <v>48</v>
      </c>
      <c r="M125" s="37">
        <f>VLOOKUP(A125,'JOGOS BASE'!A:E,5,0)</f>
        <v>49</v>
      </c>
      <c r="N125" s="38" t="str">
        <f t="shared" si="135"/>
        <v>I</v>
      </c>
      <c r="O125" s="37">
        <f t="shared" si="136"/>
        <v>0</v>
      </c>
      <c r="P125" s="37">
        <f t="shared" si="137"/>
        <v>49</v>
      </c>
      <c r="Q125" s="37">
        <f t="shared" si="138"/>
        <v>48</v>
      </c>
      <c r="R125" s="37">
        <f t="shared" si="139"/>
        <v>0</v>
      </c>
    </row>
    <row r="126" spans="1:18" ht="20.399999999999999">
      <c r="A126" s="15">
        <v>14</v>
      </c>
      <c r="B126" s="47" t="s">
        <v>281</v>
      </c>
      <c r="C126" s="47" t="s">
        <v>111</v>
      </c>
      <c r="D126" s="45" t="s">
        <v>368</v>
      </c>
      <c r="E126" s="45" t="s">
        <v>769</v>
      </c>
      <c r="F126" s="45" t="s">
        <v>375</v>
      </c>
      <c r="G126" s="34">
        <f t="shared" si="130"/>
        <v>24</v>
      </c>
      <c r="H126" s="35">
        <f t="shared" si="131"/>
        <v>20</v>
      </c>
      <c r="I126" s="35">
        <f t="shared" si="132"/>
        <v>9</v>
      </c>
      <c r="J126" s="36" t="str">
        <f t="shared" si="133"/>
        <v>14Pinheiro - MA20</v>
      </c>
      <c r="K126" s="36" t="str">
        <f t="shared" si="134"/>
        <v>14Pinheiro - MA9</v>
      </c>
      <c r="L126" s="37">
        <f>VLOOKUP(A126,'JOGOS BASE'!A:E,4,0)</f>
        <v>48</v>
      </c>
      <c r="M126" s="37">
        <f>VLOOKUP(A126,'JOGOS BASE'!A:E,5,0)</f>
        <v>49</v>
      </c>
      <c r="N126" s="38" t="str">
        <f t="shared" si="135"/>
        <v>2</v>
      </c>
      <c r="O126" s="37">
        <f t="shared" si="136"/>
        <v>0</v>
      </c>
      <c r="P126" s="37">
        <f t="shared" si="137"/>
        <v>25</v>
      </c>
      <c r="Q126" s="37">
        <f t="shared" si="138"/>
        <v>48</v>
      </c>
      <c r="R126" s="37">
        <f t="shared" si="139"/>
        <v>24</v>
      </c>
    </row>
    <row r="127" spans="1:18" ht="20.399999999999999">
      <c r="A127" s="15">
        <v>14</v>
      </c>
      <c r="B127" s="47" t="s">
        <v>584</v>
      </c>
      <c r="C127" s="47" t="s">
        <v>111</v>
      </c>
      <c r="D127" s="45" t="s">
        <v>368</v>
      </c>
      <c r="E127" s="45" t="s">
        <v>770</v>
      </c>
      <c r="F127" s="45" t="s">
        <v>771</v>
      </c>
      <c r="G127" s="34">
        <f t="shared" si="130"/>
        <v>29</v>
      </c>
      <c r="H127" s="35">
        <f t="shared" si="131"/>
        <v>16</v>
      </c>
      <c r="I127" s="35">
        <f t="shared" si="132"/>
        <v>8</v>
      </c>
      <c r="J127" s="36" t="str">
        <f t="shared" si="133"/>
        <v>14Pinheiro - MA16</v>
      </c>
      <c r="K127" s="36" t="str">
        <f t="shared" si="134"/>
        <v>14Pinheiro - MA8</v>
      </c>
      <c r="L127" s="37">
        <f>VLOOKUP(A127,'JOGOS BASE'!A:E,4,0)</f>
        <v>48</v>
      </c>
      <c r="M127" s="37">
        <f>VLOOKUP(A127,'JOGOS BASE'!A:E,5,0)</f>
        <v>49</v>
      </c>
      <c r="N127" s="38" t="str">
        <f t="shared" si="135"/>
        <v>2</v>
      </c>
      <c r="O127" s="37">
        <f t="shared" si="136"/>
        <v>0</v>
      </c>
      <c r="P127" s="37">
        <f t="shared" si="137"/>
        <v>20</v>
      </c>
      <c r="Q127" s="37">
        <f t="shared" si="138"/>
        <v>48</v>
      </c>
      <c r="R127" s="37">
        <f t="shared" si="139"/>
        <v>29</v>
      </c>
    </row>
    <row r="128" spans="1:18" ht="20.399999999999999">
      <c r="A128" s="15">
        <v>14</v>
      </c>
      <c r="B128" s="47" t="s">
        <v>584</v>
      </c>
      <c r="C128" s="47" t="s">
        <v>111</v>
      </c>
      <c r="D128" s="45" t="s">
        <v>368</v>
      </c>
      <c r="E128" s="45" t="s">
        <v>369</v>
      </c>
      <c r="F128" s="45" t="s">
        <v>373</v>
      </c>
      <c r="G128" s="34">
        <f t="shared" si="130"/>
        <v>29</v>
      </c>
      <c r="H128" s="35">
        <f t="shared" si="131"/>
        <v>18</v>
      </c>
      <c r="I128" s="35">
        <f t="shared" si="132"/>
        <v>7</v>
      </c>
      <c r="J128" s="36" t="str">
        <f t="shared" si="133"/>
        <v>14Pinheiro - MA18</v>
      </c>
      <c r="K128" s="36" t="str">
        <f t="shared" si="134"/>
        <v>14Pinheiro - MA7</v>
      </c>
      <c r="L128" s="37">
        <f>VLOOKUP(A128,'JOGOS BASE'!A:E,4,0)</f>
        <v>48</v>
      </c>
      <c r="M128" s="37">
        <f>VLOOKUP(A128,'JOGOS BASE'!A:E,5,0)</f>
        <v>49</v>
      </c>
      <c r="N128" s="38" t="str">
        <f t="shared" si="135"/>
        <v>2</v>
      </c>
      <c r="O128" s="37">
        <f t="shared" si="136"/>
        <v>0</v>
      </c>
      <c r="P128" s="37">
        <f t="shared" si="137"/>
        <v>20</v>
      </c>
      <c r="Q128" s="37">
        <f t="shared" si="138"/>
        <v>48</v>
      </c>
      <c r="R128" s="37">
        <f t="shared" si="139"/>
        <v>29</v>
      </c>
    </row>
    <row r="129" spans="1:18" ht="20.399999999999999">
      <c r="A129" s="15">
        <v>15</v>
      </c>
      <c r="B129" s="47" t="s">
        <v>105</v>
      </c>
      <c r="C129" s="47" t="s">
        <v>106</v>
      </c>
      <c r="D129" s="45" t="s">
        <v>107</v>
      </c>
      <c r="E129" s="45" t="s">
        <v>572</v>
      </c>
      <c r="F129" s="45" t="s">
        <v>118</v>
      </c>
      <c r="G129" s="34">
        <f t="shared" ref="G129:G138" si="140">VALUE(LEFT(B129,2))</f>
        <v>0</v>
      </c>
      <c r="H129" s="35">
        <f t="shared" ref="H129:H138" si="141">IF(VALUE(LEFT(E129,2))&lt;10,VALUE(LEFT(E129,1)),VALUE(LEFT(E129,2)))</f>
        <v>14</v>
      </c>
      <c r="I129" s="35">
        <f t="shared" ref="I129:I138" si="142">IF(VALUE(LEFT(F129,2))&lt;10,VALUE(LEFT(F129,1)),VALUE(LEFT(F129,2)))</f>
        <v>5</v>
      </c>
      <c r="J129" s="36" t="str">
        <f t="shared" ref="J129:J138" si="143">$A129&amp;$D129&amp;H129</f>
        <v>15Imperatriz - MA14</v>
      </c>
      <c r="K129" s="36" t="str">
        <f t="shared" ref="K129:K138" si="144">$A129&amp;$D129&amp;I129</f>
        <v>15Imperatriz - MA5</v>
      </c>
      <c r="L129" s="37">
        <f>VLOOKUP(A129,'JOGOS BASE'!A:E,4,0)</f>
        <v>51</v>
      </c>
      <c r="M129" s="37">
        <f>VLOOKUP(A129,'JOGOS BASE'!A:E,5,0)</f>
        <v>45</v>
      </c>
      <c r="N129" s="38" t="str">
        <f t="shared" ref="N129:N138" si="145">LEFT(C129,1)</f>
        <v>I</v>
      </c>
      <c r="O129" s="37">
        <f t="shared" ref="O129:O138" si="146">IF(N129="1",L129-G129,0)</f>
        <v>0</v>
      </c>
      <c r="P129" s="37">
        <f t="shared" ref="P129:P138" si="147">IF(N129="1",M129,IF(OR(N129="2",N129="I"),M129-G129,0))</f>
        <v>45</v>
      </c>
      <c r="Q129" s="37">
        <f t="shared" ref="Q129:Q138" si="148">IF(N129="1",G129,L129)</f>
        <v>51</v>
      </c>
      <c r="R129" s="37">
        <f t="shared" ref="R129:R138" si="149">IF(OR(N129="1",N129="I"),0,G129)</f>
        <v>0</v>
      </c>
    </row>
    <row r="130" spans="1:18" ht="20.399999999999999">
      <c r="A130" s="15">
        <v>15</v>
      </c>
      <c r="B130" s="47" t="s">
        <v>105</v>
      </c>
      <c r="C130" s="47" t="s">
        <v>106</v>
      </c>
      <c r="D130" s="45" t="s">
        <v>107</v>
      </c>
      <c r="E130" s="45" t="s">
        <v>573</v>
      </c>
      <c r="F130" s="45" t="s">
        <v>574</v>
      </c>
      <c r="G130" s="34">
        <f t="shared" si="140"/>
        <v>0</v>
      </c>
      <c r="H130" s="35">
        <f t="shared" si="141"/>
        <v>13</v>
      </c>
      <c r="I130" s="35">
        <f t="shared" si="142"/>
        <v>3</v>
      </c>
      <c r="J130" s="36" t="str">
        <f t="shared" si="143"/>
        <v>15Imperatriz - MA13</v>
      </c>
      <c r="K130" s="36" t="str">
        <f t="shared" si="144"/>
        <v>15Imperatriz - MA3</v>
      </c>
      <c r="L130" s="37">
        <f>VLOOKUP(A130,'JOGOS BASE'!A:E,4,0)</f>
        <v>51</v>
      </c>
      <c r="M130" s="37">
        <f>VLOOKUP(A130,'JOGOS BASE'!A:E,5,0)</f>
        <v>45</v>
      </c>
      <c r="N130" s="38" t="str">
        <f t="shared" si="145"/>
        <v>I</v>
      </c>
      <c r="O130" s="37">
        <f t="shared" si="146"/>
        <v>0</v>
      </c>
      <c r="P130" s="37">
        <f t="shared" si="147"/>
        <v>45</v>
      </c>
      <c r="Q130" s="37">
        <f t="shared" si="148"/>
        <v>51</v>
      </c>
      <c r="R130" s="37">
        <f t="shared" si="149"/>
        <v>0</v>
      </c>
    </row>
    <row r="131" spans="1:18" ht="20.399999999999999">
      <c r="A131" s="15">
        <v>15</v>
      </c>
      <c r="B131" s="47" t="s">
        <v>640</v>
      </c>
      <c r="C131" s="47" t="s">
        <v>111</v>
      </c>
      <c r="D131" s="45" t="s">
        <v>107</v>
      </c>
      <c r="E131" s="45" t="s">
        <v>502</v>
      </c>
      <c r="F131" s="45" t="s">
        <v>780</v>
      </c>
      <c r="G131" s="34">
        <f t="shared" si="140"/>
        <v>18</v>
      </c>
      <c r="H131" s="35">
        <f t="shared" si="141"/>
        <v>15</v>
      </c>
      <c r="I131" s="35">
        <f t="shared" si="142"/>
        <v>8</v>
      </c>
      <c r="J131" s="36" t="str">
        <f t="shared" si="143"/>
        <v>15Imperatriz - MA15</v>
      </c>
      <c r="K131" s="36" t="str">
        <f t="shared" si="144"/>
        <v>15Imperatriz - MA8</v>
      </c>
      <c r="L131" s="37">
        <f>VLOOKUP(A131,'JOGOS BASE'!A:E,4,0)</f>
        <v>51</v>
      </c>
      <c r="M131" s="37">
        <f>VLOOKUP(A131,'JOGOS BASE'!A:E,5,0)</f>
        <v>45</v>
      </c>
      <c r="N131" s="38" t="str">
        <f t="shared" si="145"/>
        <v>2</v>
      </c>
      <c r="O131" s="37">
        <f t="shared" si="146"/>
        <v>0</v>
      </c>
      <c r="P131" s="37">
        <f t="shared" si="147"/>
        <v>27</v>
      </c>
      <c r="Q131" s="37">
        <f t="shared" si="148"/>
        <v>51</v>
      </c>
      <c r="R131" s="37">
        <f t="shared" si="149"/>
        <v>18</v>
      </c>
    </row>
    <row r="132" spans="1:18" ht="20.399999999999999">
      <c r="A132" s="15">
        <v>15</v>
      </c>
      <c r="B132" s="47" t="s">
        <v>484</v>
      </c>
      <c r="C132" s="47" t="s">
        <v>111</v>
      </c>
      <c r="D132" s="45" t="s">
        <v>107</v>
      </c>
      <c r="E132" s="45" t="s">
        <v>633</v>
      </c>
      <c r="F132" s="45" t="s">
        <v>109</v>
      </c>
      <c r="G132" s="34">
        <f t="shared" si="140"/>
        <v>26</v>
      </c>
      <c r="H132" s="35">
        <f t="shared" si="141"/>
        <v>20</v>
      </c>
      <c r="I132" s="35">
        <f t="shared" si="142"/>
        <v>10</v>
      </c>
      <c r="J132" s="36" t="str">
        <f t="shared" si="143"/>
        <v>15Imperatriz - MA20</v>
      </c>
      <c r="K132" s="36" t="str">
        <f t="shared" si="144"/>
        <v>15Imperatriz - MA10</v>
      </c>
      <c r="L132" s="37">
        <f>VLOOKUP(A132,'JOGOS BASE'!A:E,4,0)</f>
        <v>51</v>
      </c>
      <c r="M132" s="37">
        <f>VLOOKUP(A132,'JOGOS BASE'!A:E,5,0)</f>
        <v>45</v>
      </c>
      <c r="N132" s="38" t="str">
        <f t="shared" si="145"/>
        <v>2</v>
      </c>
      <c r="O132" s="37">
        <f t="shared" si="146"/>
        <v>0</v>
      </c>
      <c r="P132" s="37">
        <f t="shared" si="147"/>
        <v>19</v>
      </c>
      <c r="Q132" s="37">
        <f t="shared" si="148"/>
        <v>51</v>
      </c>
      <c r="R132" s="37">
        <f t="shared" si="149"/>
        <v>26</v>
      </c>
    </row>
    <row r="133" spans="1:18" ht="20.399999999999999">
      <c r="A133" s="15">
        <v>15</v>
      </c>
      <c r="B133" s="47" t="s">
        <v>484</v>
      </c>
      <c r="C133" s="47" t="s">
        <v>111</v>
      </c>
      <c r="D133" s="45" t="s">
        <v>107</v>
      </c>
      <c r="E133" s="45" t="s">
        <v>499</v>
      </c>
      <c r="F133" s="45" t="s">
        <v>497</v>
      </c>
      <c r="G133" s="34">
        <f t="shared" si="140"/>
        <v>26</v>
      </c>
      <c r="H133" s="35">
        <f t="shared" si="141"/>
        <v>18</v>
      </c>
      <c r="I133" s="35">
        <f t="shared" si="142"/>
        <v>19</v>
      </c>
      <c r="J133" s="36" t="str">
        <f t="shared" si="143"/>
        <v>15Imperatriz - MA18</v>
      </c>
      <c r="K133" s="36" t="str">
        <f t="shared" si="144"/>
        <v>15Imperatriz - MA19</v>
      </c>
      <c r="L133" s="37">
        <f>VLOOKUP(A133,'JOGOS BASE'!A:E,4,0)</f>
        <v>51</v>
      </c>
      <c r="M133" s="37">
        <f>VLOOKUP(A133,'JOGOS BASE'!A:E,5,0)</f>
        <v>45</v>
      </c>
      <c r="N133" s="38" t="str">
        <f t="shared" si="145"/>
        <v>2</v>
      </c>
      <c r="O133" s="37">
        <f t="shared" si="146"/>
        <v>0</v>
      </c>
      <c r="P133" s="37">
        <f t="shared" si="147"/>
        <v>19</v>
      </c>
      <c r="Q133" s="37">
        <f t="shared" si="148"/>
        <v>51</v>
      </c>
      <c r="R133" s="37">
        <f t="shared" si="149"/>
        <v>26</v>
      </c>
    </row>
    <row r="134" spans="1:18" ht="20.399999999999999">
      <c r="A134" s="15">
        <v>15</v>
      </c>
      <c r="B134" s="47" t="s">
        <v>781</v>
      </c>
      <c r="C134" s="47" t="s">
        <v>141</v>
      </c>
      <c r="D134" s="45" t="s">
        <v>381</v>
      </c>
      <c r="E134" s="45" t="s">
        <v>782</v>
      </c>
      <c r="F134" s="45" t="s">
        <v>783</v>
      </c>
      <c r="G134" s="34">
        <f t="shared" si="140"/>
        <v>11</v>
      </c>
      <c r="H134" s="35">
        <f t="shared" si="141"/>
        <v>1</v>
      </c>
      <c r="I134" s="35">
        <f t="shared" si="142"/>
        <v>12</v>
      </c>
      <c r="J134" s="36" t="str">
        <f t="shared" si="143"/>
        <v>15Viana - MA1</v>
      </c>
      <c r="K134" s="36" t="str">
        <f t="shared" si="144"/>
        <v>15Viana - MA12</v>
      </c>
      <c r="L134" s="37">
        <f>VLOOKUP(A134,'JOGOS BASE'!A:E,4,0)</f>
        <v>51</v>
      </c>
      <c r="M134" s="37">
        <f>VLOOKUP(A134,'JOGOS BASE'!A:E,5,0)</f>
        <v>45</v>
      </c>
      <c r="N134" s="38" t="str">
        <f t="shared" si="145"/>
        <v>1</v>
      </c>
      <c r="O134" s="37">
        <f t="shared" si="146"/>
        <v>40</v>
      </c>
      <c r="P134" s="37">
        <f t="shared" si="147"/>
        <v>45</v>
      </c>
      <c r="Q134" s="37">
        <f t="shared" si="148"/>
        <v>11</v>
      </c>
      <c r="R134" s="37">
        <f t="shared" si="149"/>
        <v>0</v>
      </c>
    </row>
    <row r="135" spans="1:18" ht="20.399999999999999">
      <c r="A135" s="15">
        <v>15</v>
      </c>
      <c r="B135" s="47" t="s">
        <v>105</v>
      </c>
      <c r="C135" s="47" t="s">
        <v>106</v>
      </c>
      <c r="D135" s="45" t="s">
        <v>381</v>
      </c>
      <c r="E135" s="45" t="s">
        <v>382</v>
      </c>
      <c r="F135" s="45" t="s">
        <v>784</v>
      </c>
      <c r="G135" s="34">
        <f t="shared" si="140"/>
        <v>0</v>
      </c>
      <c r="H135" s="35">
        <f t="shared" si="141"/>
        <v>13</v>
      </c>
      <c r="I135" s="35">
        <f t="shared" si="142"/>
        <v>2</v>
      </c>
      <c r="J135" s="36" t="str">
        <f t="shared" si="143"/>
        <v>15Viana - MA13</v>
      </c>
      <c r="K135" s="36" t="str">
        <f t="shared" si="144"/>
        <v>15Viana - MA2</v>
      </c>
      <c r="L135" s="37">
        <f>VLOOKUP(A135,'JOGOS BASE'!A:E,4,0)</f>
        <v>51</v>
      </c>
      <c r="M135" s="37">
        <f>VLOOKUP(A135,'JOGOS BASE'!A:E,5,0)</f>
        <v>45</v>
      </c>
      <c r="N135" s="38" t="str">
        <f t="shared" si="145"/>
        <v>I</v>
      </c>
      <c r="O135" s="37">
        <f t="shared" si="146"/>
        <v>0</v>
      </c>
      <c r="P135" s="37">
        <f t="shared" si="147"/>
        <v>45</v>
      </c>
      <c r="Q135" s="37">
        <f t="shared" si="148"/>
        <v>51</v>
      </c>
      <c r="R135" s="37">
        <f t="shared" si="149"/>
        <v>0</v>
      </c>
    </row>
    <row r="136" spans="1:18" ht="20.399999999999999">
      <c r="A136" s="15">
        <v>15</v>
      </c>
      <c r="B136" s="47" t="s">
        <v>105</v>
      </c>
      <c r="C136" s="47" t="s">
        <v>106</v>
      </c>
      <c r="D136" s="45" t="s">
        <v>381</v>
      </c>
      <c r="E136" s="45" t="s">
        <v>785</v>
      </c>
      <c r="F136" s="45" t="s">
        <v>786</v>
      </c>
      <c r="G136" s="34">
        <f t="shared" si="140"/>
        <v>0</v>
      </c>
      <c r="H136" s="35">
        <f t="shared" si="141"/>
        <v>19</v>
      </c>
      <c r="I136" s="35">
        <f t="shared" si="142"/>
        <v>11</v>
      </c>
      <c r="J136" s="36" t="str">
        <f t="shared" si="143"/>
        <v>15Viana - MA19</v>
      </c>
      <c r="K136" s="36" t="str">
        <f t="shared" si="144"/>
        <v>15Viana - MA11</v>
      </c>
      <c r="L136" s="37">
        <f>VLOOKUP(A136,'JOGOS BASE'!A:E,4,0)</f>
        <v>51</v>
      </c>
      <c r="M136" s="37">
        <f>VLOOKUP(A136,'JOGOS BASE'!A:E,5,0)</f>
        <v>45</v>
      </c>
      <c r="N136" s="38" t="str">
        <f t="shared" si="145"/>
        <v>I</v>
      </c>
      <c r="O136" s="37">
        <f t="shared" si="146"/>
        <v>0</v>
      </c>
      <c r="P136" s="37">
        <f t="shared" si="147"/>
        <v>45</v>
      </c>
      <c r="Q136" s="37">
        <f t="shared" si="148"/>
        <v>51</v>
      </c>
      <c r="R136" s="37">
        <f t="shared" si="149"/>
        <v>0</v>
      </c>
    </row>
    <row r="137" spans="1:18" ht="20.399999999999999">
      <c r="A137" s="15">
        <v>15</v>
      </c>
      <c r="B137" s="47" t="s">
        <v>787</v>
      </c>
      <c r="C137" s="47" t="s">
        <v>111</v>
      </c>
      <c r="D137" s="45" t="s">
        <v>381</v>
      </c>
      <c r="E137" s="45" t="s">
        <v>732</v>
      </c>
      <c r="F137" s="45" t="s">
        <v>788</v>
      </c>
      <c r="G137" s="34">
        <f t="shared" si="140"/>
        <v>3</v>
      </c>
      <c r="H137" s="35">
        <f t="shared" si="141"/>
        <v>15</v>
      </c>
      <c r="I137" s="35">
        <f t="shared" si="142"/>
        <v>3</v>
      </c>
      <c r="J137" s="36" t="str">
        <f t="shared" si="143"/>
        <v>15Viana - MA15</v>
      </c>
      <c r="K137" s="36" t="str">
        <f t="shared" si="144"/>
        <v>15Viana - MA3</v>
      </c>
      <c r="L137" s="37">
        <f>VLOOKUP(A137,'JOGOS BASE'!A:E,4,0)</f>
        <v>51</v>
      </c>
      <c r="M137" s="37">
        <f>VLOOKUP(A137,'JOGOS BASE'!A:E,5,0)</f>
        <v>45</v>
      </c>
      <c r="N137" s="38" t="str">
        <f t="shared" si="145"/>
        <v>2</v>
      </c>
      <c r="O137" s="37">
        <f t="shared" si="146"/>
        <v>0</v>
      </c>
      <c r="P137" s="37">
        <f t="shared" si="147"/>
        <v>42</v>
      </c>
      <c r="Q137" s="37">
        <f t="shared" si="148"/>
        <v>51</v>
      </c>
      <c r="R137" s="37">
        <f t="shared" si="149"/>
        <v>3</v>
      </c>
    </row>
    <row r="138" spans="1:18" ht="20.399999999999999">
      <c r="A138" s="15">
        <v>15</v>
      </c>
      <c r="B138" s="47" t="s">
        <v>105</v>
      </c>
      <c r="C138" s="47" t="s">
        <v>106</v>
      </c>
      <c r="D138" s="45" t="s">
        <v>381</v>
      </c>
      <c r="E138" s="45" t="s">
        <v>789</v>
      </c>
      <c r="F138" s="45" t="s">
        <v>790</v>
      </c>
      <c r="G138" s="34">
        <f t="shared" si="140"/>
        <v>0</v>
      </c>
      <c r="H138" s="35">
        <f t="shared" si="141"/>
        <v>18</v>
      </c>
      <c r="I138" s="35">
        <f t="shared" si="142"/>
        <v>6</v>
      </c>
      <c r="J138" s="36" t="str">
        <f t="shared" si="143"/>
        <v>15Viana - MA18</v>
      </c>
      <c r="K138" s="36" t="str">
        <f t="shared" si="144"/>
        <v>15Viana - MA6</v>
      </c>
      <c r="L138" s="37">
        <f>VLOOKUP(A138,'JOGOS BASE'!A:E,4,0)</f>
        <v>51</v>
      </c>
      <c r="M138" s="37">
        <f>VLOOKUP(A138,'JOGOS BASE'!A:E,5,0)</f>
        <v>45</v>
      </c>
      <c r="N138" s="38" t="str">
        <f t="shared" si="145"/>
        <v>I</v>
      </c>
      <c r="O138" s="37">
        <f t="shared" si="146"/>
        <v>0</v>
      </c>
      <c r="P138" s="37">
        <f t="shared" si="147"/>
        <v>45</v>
      </c>
      <c r="Q138" s="37">
        <f t="shared" si="148"/>
        <v>51</v>
      </c>
      <c r="R138" s="37">
        <f t="shared" si="14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C967-6924-4AD5-9990-FE8F24AEC083}">
  <dimension ref="A1"/>
  <sheetViews>
    <sheetView workbookViewId="0">
      <selection activeCell="F26" sqref="F26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JOGOS BASE</vt:lpstr>
      <vt:lpstr>Escalacao</vt:lpstr>
      <vt:lpstr>Cartoes</vt:lpstr>
      <vt:lpstr>Substituicoes</vt:lpstr>
      <vt:lpstr>Gols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Vilanova</dc:creator>
  <cp:lastModifiedBy>Andrew Vilanova</cp:lastModifiedBy>
  <dcterms:created xsi:type="dcterms:W3CDTF">2015-06-05T18:19:34Z</dcterms:created>
  <dcterms:modified xsi:type="dcterms:W3CDTF">2025-02-01T12:29:13Z</dcterms:modified>
</cp:coreProperties>
</file>